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codeName="ThisWorkbook" defaultThemeVersion="166925"/>
  <mc:AlternateContent xmlns:mc="http://schemas.openxmlformats.org/markup-compatibility/2006">
    <mc:Choice Requires="x15">
      <x15ac:absPath xmlns:x15ac="http://schemas.microsoft.com/office/spreadsheetml/2010/11/ac" url="W:\My Documents\Macros\Formats\Financials\"/>
    </mc:Choice>
  </mc:AlternateContent>
  <xr:revisionPtr revIDLastSave="0" documentId="13_ncr:1_{12D892A3-96E8-4380-9A04-634D823E5C60}" xr6:coauthVersionLast="47" xr6:coauthVersionMax="47" xr10:uidLastSave="{00000000-0000-0000-0000-000000000000}"/>
  <bookViews>
    <workbookView xWindow="-120" yWindow="-120" windowWidth="20730" windowHeight="11160" tabRatio="842" xr2:uid="{00000000-000D-0000-FFFF-FFFF00000000}"/>
  </bookViews>
  <sheets>
    <sheet name="EWS" sheetId="1" r:id="rId1"/>
    <sheet name="Financial Score" sheetId="2" r:id="rId2"/>
    <sheet name="Statutory Score" sheetId="3" r:id="rId3"/>
    <sheet name="Legal Score" sheetId="4" r:id="rId4"/>
    <sheet name="Bureau Score" sheetId="5" r:id="rId5"/>
    <sheet name="NC-RTR" sheetId="6" r:id="rId6"/>
    <sheet name="ROC" sheetId="7" r:id="rId7"/>
    <sheet name="GST" sheetId="8" r:id="rId8"/>
    <sheet name="EPFO" sheetId="9" r:id="rId9"/>
    <sheet name="Crime-Check Entity" sheetId="10" r:id="rId10"/>
    <sheet name="Crime-Check Promoter" sheetId="11" r:id="rId11"/>
    <sheet name="Consolidated Financials" sheetId="12" r:id="rId12"/>
    <sheet name="Analysis" sheetId="13" r:id="rId13"/>
    <sheet name="Financial 1" sheetId="14" r:id="rId14"/>
    <sheet name="Financial 2" sheetId="15" state="hidden" r:id="rId15"/>
    <sheet name="Financial 3" sheetId="16" state="hidden" r:id="rId16"/>
    <sheet name="Financial Statement" sheetId="17" state="hidden" r:id="rId17"/>
    <sheet name="Cash Flow" sheetId="18" r:id="rId18"/>
    <sheet name="Old - Banking Analysis" sheetId="19" state="hidden" r:id="rId19"/>
  </sheets>
  <definedNames>
    <definedName name="____xlfn_IFERROR">"#N/A"</definedName>
    <definedName name="___INDEX_SHEET___ASAP_Utilities">#REF!</definedName>
    <definedName name="___xlfn_IFERROR">"#N/A"</definedName>
    <definedName name="__xlfn_IFERROR">"#N/A"</definedName>
    <definedName name="_Key1">#REF!</definedName>
    <definedName name="_Key2">#REF!</definedName>
    <definedName name="_Order1">255</definedName>
    <definedName name="_Order2">255</definedName>
    <definedName name="_Parse_In">#REF!</definedName>
    <definedName name="_Parse_Out">#REF!</definedName>
    <definedName name="_Sort">#REF!</definedName>
    <definedName name="A">#REF!</definedName>
    <definedName name="Abrasives_and_Grinding__Mfg_Segment_">#REF!</definedName>
    <definedName name="Abrasives_and_Grinding_Service_Segment">#REF!</definedName>
    <definedName name="Abrasives_and_Grinding_Trading_Segment">#REF!</definedName>
    <definedName name="Acc_Type">OFFSET(#REF!,0,0,COUNTA(#REF!),1)</definedName>
    <definedName name="Accnt_Holder">#REF!</definedName>
    <definedName name="ADBSA">#REF!</definedName>
    <definedName name="Age">#REF!</definedName>
    <definedName name="Age_Proof">OFFSET(#REF!,0,0,COUNTA(#REF!),1)</definedName>
    <definedName name="Agriculture_Services_Industry">#REF!</definedName>
    <definedName name="Aluminium_and_Aluminium_Products__manufacturers__Service_Segment">#REF!</definedName>
    <definedName name="Amount">#REF!</definedName>
    <definedName name="Animal_Feed_Service_Segment">#REF!</definedName>
    <definedName name="Animal_Feed_Trading_Segment">#REF!</definedName>
    <definedName name="Applicant">#REF!</definedName>
    <definedName name="AppScore">#REF!</definedName>
    <definedName name="Asset_Description">#REF!</definedName>
    <definedName name="aud_opinion">#REF!</definedName>
    <definedName name="AuthCap">#REF!</definedName>
    <definedName name="Auto_Ancilliaries_Service_Segment">#REF!</definedName>
    <definedName name="Auto_Ancilliaries_Services_Industry">#REF!</definedName>
    <definedName name="Automobile_2W_M">#REF!</definedName>
    <definedName name="Automobile_2W_Services_Industry">#REF!</definedName>
    <definedName name="Aviation_M">#REF!</definedName>
    <definedName name="Aviation_Trading">#REF!</definedName>
    <definedName name="B">#REF!</definedName>
    <definedName name="Bank_Accs">OFFSET(#REF!,0,0,COUNTA(#REF!),1)</definedName>
    <definedName name="Bank_AcType">OFFSET(#REF!,0,0,COUNTA(#REF!),1)</definedName>
    <definedName name="Bank_Category">OFFSET(#REF!,0,0,COUNTA(#REF!),1)</definedName>
    <definedName name="Bank_Verification">OFFSET(#REF!,0,0,COUNTA(#REF!),1)</definedName>
    <definedName name="BankChart1">OFFSET(#REF!,0,0,3,COUNTIFS(#REF!,"&gt;0"))</definedName>
    <definedName name="Banking_1">#REF!</definedName>
    <definedName name="BankNames">#REF!</definedName>
    <definedName name="BankTable">"OFFSET(#REF!;0;0;COUNTA(#REF!:#REF!);5)"</definedName>
    <definedName name="Bearings_Service_Segment">#REF!</definedName>
    <definedName name="Bearings_Trading_Segment">#REF!</definedName>
    <definedName name="Beer__Wine_and_Distilled_Alcoholic_Beverages_Service_Segment">#REF!</definedName>
    <definedName name="Beg_Bal">#REF!</definedName>
    <definedName name="Benefit">#REF!</definedName>
    <definedName name="Benefit_Sch">#REF!</definedName>
    <definedName name="Bicycle_M">#REF!</definedName>
    <definedName name="Bicycle_Services_Industry">#REF!</definedName>
    <definedName name="Bicycle_Trading">#REF!</definedName>
    <definedName name="Biotech__Research_Service_Segment">#REF!</definedName>
    <definedName name="Biotech_Research_Trading_Segment">#REF!</definedName>
    <definedName name="Biz_Type">#REF!</definedName>
    <definedName name="Bkg_Surr">#REF!</definedName>
    <definedName name="Blank">#REF!</definedName>
    <definedName name="Books__office_supplies_and_stationery_Service_Segment">#REF!</definedName>
    <definedName name="Books_office_supplies_and_stationery__Mfg_Segment_">#REF!</definedName>
    <definedName name="Borrowers">OFFSET(#REF!,0,0,1,COUNTA(#REF!))</definedName>
    <definedName name="Bounce">#REF!</definedName>
    <definedName name="branch_code">#REF!</definedName>
    <definedName name="Branches">#REF!</definedName>
    <definedName name="Breweries__Distilleries_Service_Segment">#REF!</definedName>
    <definedName name="Breweries_Distilleries__Mfg_Segment_">#REF!</definedName>
    <definedName name="Breweries_Distilleries_Trading_Segment">#REF!</definedName>
    <definedName name="Brokers_and_Agents__Mfg_Segment_">#REF!</definedName>
    <definedName name="Brokers_and_Agents_Service_Segment">#REF!</definedName>
    <definedName name="Brokers_and_Agents_Trading_Segment">#REF!</definedName>
    <definedName name="Bureau_Dev1">OFFSET(#REF!,0,0,COUNTA(#REF!),1)</definedName>
    <definedName name="Bureau_Dev2">OFFSET(#REF!,0,0,COUNTA(#REF!),1)</definedName>
    <definedName name="Bureau_Dev3">OFFSET(#REF!,0,0,COUNTA(#REF!),1)</definedName>
    <definedName name="C_ADB">#REF!</definedName>
    <definedName name="C_CI10">#REF!</definedName>
    <definedName name="C_CI5">#REF!</definedName>
    <definedName name="C_TI">#REF!</definedName>
    <definedName name="C_TPD">#REF!</definedName>
    <definedName name="Cable_and_other_pay_TV_services__Mfg_Segment_">#REF!</definedName>
    <definedName name="Cable_and_other_pay_TV_services_Trading_Segment">#REF!</definedName>
    <definedName name="Cable_TV_M">#REF!</definedName>
    <definedName name="Cable_TV_Trading">#REF!</definedName>
    <definedName name="Carbon_black__Mfg_Segment_">#REF!</definedName>
    <definedName name="Carbon_black_Service_Segment">#REF!</definedName>
    <definedName name="Carbon_black_Trading_Segment">#REF!</definedName>
    <definedName name="CashSalTenor">#REF!</definedName>
    <definedName name="Casting_and_Forgings_Services_Industry">#REF!</definedName>
    <definedName name="Casting_and_Forgings_Trading">#REF!</definedName>
    <definedName name="Castings_and_Forgings_Service_Segment">#REF!</definedName>
    <definedName name="Castings_and_Forgings_Trading_Segment">#REF!</definedName>
    <definedName name="Caustic_Soda__Mfg_Segment_">#REF!</definedName>
    <definedName name="Caustic_Soda_Service_Segment">#REF!</definedName>
    <definedName name="Caustic_Soda_Trading_Segment">#REF!</definedName>
    <definedName name="Cement_and_Asbestos_Products_Service_Segment">#REF!</definedName>
    <definedName name="Cement_Services_Industry">#REF!</definedName>
    <definedName name="Chemical_Machinery_M">#REF!</definedName>
    <definedName name="Chemical_Machinery_Services_Industry">#REF!</definedName>
    <definedName name="Chemical_Machinery_Trading">#REF!</definedName>
    <definedName name="Chemicals__petrochemicals__specility_chemicals_Service_Segment">#REF!</definedName>
    <definedName name="Chemicals_Services_Industry">#REF!</definedName>
    <definedName name="CIBIL_Individual">#REF!</definedName>
    <definedName name="CIBIL_Score">OFFSET(#REF!,0,0,COUNTA(#REF!),1)</definedName>
    <definedName name="CIN">#REF!</definedName>
    <definedName name="CINStatus">#REF!</definedName>
    <definedName name="CISA">#REF!</definedName>
    <definedName name="Clearing_and_Forwarding__Storage_and_Warehouding_agents_Service_Segment">#REF!</definedName>
    <definedName name="Clearing_and_Forwarding_Storage_and_Warehouding_agents__Mfg_Segment_">#REF!</definedName>
    <definedName name="Clearing_and_Forwarding_Storage_and_Warehouding_agents_Trading_Segment">#REF!</definedName>
    <definedName name="Clocks_and_Watches_Service_Segment">#REF!</definedName>
    <definedName name="Coaching_Classes__Mfg_Segment_">#REF!</definedName>
    <definedName name="Coaching_Classes_Service_Segment">#REF!</definedName>
    <definedName name="Coaching_Classes_Trading_Segment">#REF!</definedName>
    <definedName name="Coal_and_Lignite__Minerals_Service_Segment">#REF!</definedName>
    <definedName name="Coal_Services_Industry">#REF!</definedName>
    <definedName name="Cocoa__Confectionary__Dairy_packaged_food__bakery_Service_Segment">#REF!</definedName>
    <definedName name="Coffee_Producers_and_coffee_chains_Service_Segment">#REF!</definedName>
    <definedName name="Coffee_Services_Industry">#REF!</definedName>
    <definedName name="Cold_storage_chains__Mfg_Segment_">#REF!</definedName>
    <definedName name="Cold_storage_chains_Trading_Segment">#REF!</definedName>
    <definedName name="Cold_Storage_M">#REF!</definedName>
    <definedName name="Cold_Storage_Trading">#REF!</definedName>
    <definedName name="Commercial_CIBIL">OFFSET(#REF!,0,0,COUNTA(#REF!),1)</definedName>
    <definedName name="Commercial_CIBIL_Scores">OFFSET(#REF!,0,0,COUNTA(#REF!),1)</definedName>
    <definedName name="Commercial_residential_industrial_buildings__Mfg_Segment_">#REF!</definedName>
    <definedName name="Commercial_residential_industrial_buildings_Trading_Segment">#REF!</definedName>
    <definedName name="COMNAME">#REF!</definedName>
    <definedName name="COMPANY">#REF!</definedName>
    <definedName name="Companyname">#REF!</definedName>
    <definedName name="Compressors_Service_Segment">#REF!</definedName>
    <definedName name="Compressors_Trading_Segment">#REF!</definedName>
    <definedName name="Computer_and_Peripherals_M">#REF!</definedName>
    <definedName name="Computer_and_Peripherals_Trading">#REF!</definedName>
    <definedName name="Computer_Software_and_Education_and_post_production_animation__Mfg_Segment_">#REF!</definedName>
    <definedName name="Computer_Software_and_Education_and_post_production_animation_Trading_Segment">#REF!</definedName>
    <definedName name="Computers___Hardware_Sales_and_service__networking_and_peripheral_sales_like_UPS_monitor_etc_Service_Segment">#REF!</definedName>
    <definedName name="Computers__Hardware_Sales_and_service_networking_and_peripheral_sales_like_UPS_monitor_etc__Mfg_Segment_">#REF!</definedName>
    <definedName name="Computers__Hardware_Sales_and_service_networking_and_peripheral_sales_like_UPS_monitor_etc_Trading_Segment">#REF!</definedName>
    <definedName name="Constitution">#REF!</definedName>
    <definedName name="Construction_Equipment__Mfg_Segment_">#REF!</definedName>
    <definedName name="Construction_Equipment_M">#REF!</definedName>
    <definedName name="Construction_Equipment_Service_Segment">#REF!</definedName>
    <definedName name="Construction_Equipment_Trading">#REF!</definedName>
    <definedName name="Construction_Equipment_Trading_Segment">#REF!</definedName>
    <definedName name="Construction_M">#REF!</definedName>
    <definedName name="Construction_materials__ceramic_tiles_Service_Segment">#REF!</definedName>
    <definedName name="Construction_Trading">#REF!</definedName>
    <definedName name="Consumer_Durables_M">#REF!</definedName>
    <definedName name="Consumer_Electronic_Spares_or_Components__Mfg_Segment_">#REF!</definedName>
    <definedName name="Consumer_Electronic_Spares_or_Components_Service_Segment">#REF!</definedName>
    <definedName name="Contractor__Mfg_Segment_">#REF!</definedName>
    <definedName name="Contractor_Trading_Segment">#REF!</definedName>
    <definedName name="Copper_and_Copper_Products_Service_Segment">#REF!</definedName>
    <definedName name="Cosmetics_and_Toiletries_Services_Industry">#REF!</definedName>
    <definedName name="Cotton__synthetic__blended__knitted_and_silk_fabric_or_cloth_Service_Segment">#REF!</definedName>
    <definedName name="Courier___Local_Service_Segment">#REF!</definedName>
    <definedName name="Courier___Local_Trading_Segment">#REF!</definedName>
    <definedName name="Courier___MNC_Cos__Trading_Segment">#REF!</definedName>
    <definedName name="Courier___MNC_Cosor_Service_Segment">#REF!</definedName>
    <definedName name="Courier__Local__Mfg_Segment_">#REF!</definedName>
    <definedName name="Courier__MNC_Cosor__Mfg_Segment_">#REF!</definedName>
    <definedName name="CRAMS___Formulations___API___Ayurveda___Bulk_Drugs_Trading_Segment">#REF!</definedName>
    <definedName name="CRAMS_or_Formulations_or_API_or_Ayurveda_or_Bulk_Drugs_Service_Segment">#REF!</definedName>
    <definedName name="_xlnm.Criteria">#REF!</definedName>
    <definedName name="Crude_Oil_and_Natural_Gas__Mfg_Segment_">#REF!</definedName>
    <definedName name="Crude_Oil_and_Natural_Gas_Service_Segment">#REF!</definedName>
    <definedName name="Crude_Oil_and_Natural_Gas_Trading_Segment">#REF!</definedName>
    <definedName name="Cum_Int">#REF!</definedName>
    <definedName name="Curr_Accs">#REF!</definedName>
    <definedName name="Customer_Category">OFFSET(#REF!,0,0,COUNTA(#REF!),1)</definedName>
    <definedName name="Customer_Type">#REF!</definedName>
    <definedName name="Cycle_and_Accessories__Mfg_Segment_">#REF!</definedName>
    <definedName name="Cycle_and_Accessories_Service_Segment">#REF!</definedName>
    <definedName name="Cycle_and_Accessories_Trading_Segment">#REF!</definedName>
    <definedName name="DailyBal">#REF!</definedName>
    <definedName name="Data">#REF!</definedName>
    <definedName name="date_established">#REF!</definedName>
    <definedName name="DAvg">#REF!</definedName>
    <definedName name="dcpd">#REF!</definedName>
    <definedName name="Designation">OFFSET(#REF!,0,0,COUNTA(#REF!),1)</definedName>
    <definedName name="Detergent_and_intermediaries__Mfg_Segment_">#REF!</definedName>
    <definedName name="Detergent_and_intermediaries_Service_Segment">#REF!</definedName>
    <definedName name="Detergent_and_intermediaries_Trading_Segment">#REF!</definedName>
    <definedName name="Deviation">#REF!</definedName>
    <definedName name="Diagnostic_Centre_Hospitals___Gyms___health_Centre_Trading_Segment">#REF!</definedName>
    <definedName name="Diagnostic_Centre_Hospitals_or_Gyms_or_health_Centre__Mfg_Segment_">#REF!</definedName>
    <definedName name="Disbursement_Mode">OFFSET(#REF!,0,0,COUNTA(#REF!),1)</definedName>
    <definedName name="Disributor_Dealers_Trading_Segment">#REF!</definedName>
    <definedName name="Disributor_or_Dealers__Mfg_Segment_">#REF!</definedName>
    <definedName name="Disributor_or_Dealers_Service_Segment">#REF!</definedName>
    <definedName name="Drug_Stores_Services_Industry">#REF!</definedName>
    <definedName name="Drugs_and_pharmaceuticals__drug_proprietaries_and_druggists_sundries_Service_Segment">#REF!</definedName>
    <definedName name="Dry_Fruits_Service_Segment">#REF!</definedName>
    <definedName name="Dyeing__cutting__stitching__any_other_process_Service_Segment">#REF!</definedName>
    <definedName name="Dyeing_cutting_stitching_any_other_process__Mfg_Segment_">#REF!</definedName>
    <definedName name="Dyeing_cutting_stitching_any_other_process_Trading_Segment">#REF!</definedName>
    <definedName name="Dyes_and_Pigments_Service_Segment">#REF!</definedName>
    <definedName name="Dyes_and_Pigments_Services_Industry">#REF!</definedName>
    <definedName name="Edible_Oils__Mfg_Segment_">#REF!</definedName>
    <definedName name="Edible_Oils_M">#REF!</definedName>
    <definedName name="Edible_Oils_Service_Segment">#REF!</definedName>
    <definedName name="Edible_Oils_Services_Industry">#REF!</definedName>
    <definedName name="Education__Mfg_Segment_">#REF!</definedName>
    <definedName name="Education_Consulting__Mfg_Segment_">#REF!</definedName>
    <definedName name="Education_Consulting_Service_Segment">#REF!</definedName>
    <definedName name="Education_Consulting_Trading_Segment">#REF!</definedName>
    <definedName name="Education_M">#REF!</definedName>
    <definedName name="Education_Trading">#REF!</definedName>
    <definedName name="Education_Trading_Segment">#REF!</definedName>
    <definedName name="Eff_STax">#REF!</definedName>
    <definedName name="Electrical_equipments__Mfg_Segment_">#REF!</definedName>
    <definedName name="Electrical_equipments_Service_Segment">#REF!</definedName>
    <definedName name="Electrical_equipments_Trading_Segment">#REF!</definedName>
    <definedName name="Electrical_good_and_equipments_Service_Segment">#REF!</definedName>
    <definedName name="Electrodes_and_Graphite__Mfg_Segment_">#REF!</definedName>
    <definedName name="Electrodes_and_Graphite_Service_Segment">#REF!</definedName>
    <definedName name="Electrodes_and_Graphite_Trading_Segment">#REF!</definedName>
    <definedName name="Electronic_Equipment__Mfg_Segment_">#REF!</definedName>
    <definedName name="emi_oblig">#REF!</definedName>
    <definedName name="EMI_Returns_per_Track">OFFSET(#REF!,0,0,COUNTA(#REF!),1)</definedName>
    <definedName name="End_Bal">#REF!</definedName>
    <definedName name="Engineering__Mfg_Segment_">#REF!</definedName>
    <definedName name="Engineering_Trading">#REF!</definedName>
    <definedName name="Engineering_Trading_Segment">#REF!</definedName>
    <definedName name="Engines_Service_Segment">#REF!</definedName>
    <definedName name="Engines_Trading_Segment">#REF!</definedName>
    <definedName name="Enterprises_Segment">OFFSET(#REF!,0,0,COUNTA(#REF!),1)</definedName>
    <definedName name="Entertainment_and_Leisure_M">#REF!</definedName>
    <definedName name="Entertainment_and_Leisure_Trading">#REF!</definedName>
    <definedName name="Entertainment_and_Medic_content_provider_motion_picture_production_distribution_exhibition__Mfg_Segment_">#REF!</definedName>
    <definedName name="Entertainment_and_Medic_content_provider_motion_picture_production_distribution_exhibition_Trading_Segment">#REF!</definedName>
    <definedName name="ERP___any_type_of_protecting_systems___anti_virus_Trading_Segment">#REF!</definedName>
    <definedName name="ERP_or_any_type_of_protecting_systems_or_anti_virus__Mfg_Segment_">#REF!</definedName>
    <definedName name="Excel_BuiltIn__FilterDatabase_1">#REF!</definedName>
    <definedName name="Excel_BuiltIn_Print_Area_10">#REF!</definedName>
    <definedName name="Excel_BuiltIn_Print_Area_13">#REF!</definedName>
    <definedName name="Excel_BuiltIn_Print_Area_15">#REF!</definedName>
    <definedName name="Excel_BuiltIn_Print_Area_5">#REF!</definedName>
    <definedName name="Excel_BuiltIn_Print_Area_5_1">#REF!</definedName>
    <definedName name="Excel_BuiltIn_Print_Area_5_1_1">#REF!</definedName>
    <definedName name="Excel_BuiltIn_Print_Area_5_1_1_5">#REF!</definedName>
    <definedName name="Excel_BuiltIn_Print_Area_5_1_4">#REF!</definedName>
    <definedName name="Excel_BuiltIn_Print_Area_5_1_4_5">#REF!</definedName>
    <definedName name="Excel_BuiltIn_Print_Area_5_4">#REF!</definedName>
    <definedName name="Excel_BuiltIn_Print_Area_5_4_5">#REF!</definedName>
    <definedName name="Excel_BuiltIn_Print_Area_6">#REF!</definedName>
    <definedName name="Excel_BuiltIn_Print_Area_6_1">#REF!</definedName>
    <definedName name="Executive_search___manpower_servicess_hostel_management_Trading_Segment">#REF!</definedName>
    <definedName name="Executive_search_or_manpower_servicess_hostel_management__Mfg_Segment_">#REF!</definedName>
    <definedName name="Existing_Loan_Conduct">OFFSET(#REF!,0,0,COUNTA(#REF!),1)</definedName>
    <definedName name="Extra_Pay">#REF!</definedName>
    <definedName name="F_Interest">#REF!</definedName>
    <definedName name="F_Moratorium">#REF!</definedName>
    <definedName name="F_Mortality">#REF!</definedName>
    <definedName name="F_TI">#REF!</definedName>
    <definedName name="fatversion">#REF!</definedName>
    <definedName name="FCU_Waived">OFFSET(#REF!,0,0,COUNTA(#REF!),1)</definedName>
    <definedName name="Fertiliser_Services_Industry">#REF!</definedName>
    <definedName name="Fertilisers_Service_Segment">#REF!</definedName>
    <definedName name="FI">#REF!</definedName>
    <definedName name="FI_Verification">OFFSET(#REF!,0,0,COUNTA(#REF!),1)</definedName>
    <definedName name="Film_Industry_M">#REF!</definedName>
    <definedName name="Film_Industry_Trading">#REF!</definedName>
    <definedName name="fin_classi">#REF!</definedName>
    <definedName name="Finance_relared_companies_and_consultancies__advisory_firms_Trading_Segment">#REF!</definedName>
    <definedName name="Finance_relared_companies_and_consultancies_advisory_firms__Mfg_Segment_">#REF!</definedName>
    <definedName name="Financers">OFFSET(#REF!,0,0,COUNTA(#REF!),1)</definedName>
    <definedName name="Financial_Services_M">#REF!</definedName>
    <definedName name="Financial_Services_Trading">#REF!</definedName>
    <definedName name="Financial_Year">OFFSET(#REF!,0,0,COUNTA(#REF!),1)</definedName>
    <definedName name="FIRM">#REF!</definedName>
    <definedName name="FirmType">#REF!</definedName>
    <definedName name="Flight_operator__Mfg_Segment_">#REF!</definedName>
    <definedName name="Flight_operator_Service_Segment">#REF!</definedName>
    <definedName name="Flight_operator_Trading_Segment">#REF!</definedName>
    <definedName name="Floriculture__Mfg_Segment_">#REF!</definedName>
    <definedName name="Floriculture_Service_Segment">#REF!</definedName>
    <definedName name="FMCG_M">#REF!</definedName>
    <definedName name="FMCG_Services_Industry">#REF!</definedName>
    <definedName name="Food_other_than_poultary_and_meat__Mfg_Segment_">#REF!</definedName>
    <definedName name="Food_other_than_poultary_and_meat_Service_Segment">#REF!</definedName>
    <definedName name="Food_other_than_poultary_and_meat_Trading_Segment">#REF!</definedName>
    <definedName name="Food_processing_Service_Segment">#REF!</definedName>
    <definedName name="Food_Processing_Services_Industry">#REF!</definedName>
    <definedName name="Food_processing_Trading_Segment">#REF!</definedName>
    <definedName name="Foorwear_bags__Mfg_Segment_">#REF!</definedName>
    <definedName name="Foorwear_bags_Service_Segment">#REF!</definedName>
    <definedName name="Foorwear_bags_Trading_Segment">#REF!</definedName>
    <definedName name="Fruits_and_Nurts_and_Vegatables_Service_Segment">#REF!</definedName>
    <definedName name="Fruits_and_Nurts_and_Vegatables_Trading_Segment">#REF!</definedName>
    <definedName name="Full_Print">#REF!</definedName>
    <definedName name="Future_Rentals_M">#REF!</definedName>
    <definedName name="Future_Rentals_Trading">#REF!</definedName>
    <definedName name="FY_Ended">OFFSET(#REF!,0,0,COUNTA(#REF!),1)</definedName>
    <definedName name="gearing">#REF!</definedName>
    <definedName name="Gems_and_jewellery_Service_Segment">#REF!</definedName>
    <definedName name="Gems_and_Jewellery_Services_Industry">#REF!</definedName>
    <definedName name="General_Merchandise_stores__Mfg_Segment_">#REF!</definedName>
    <definedName name="General_Merchandise_Stores_or_Kiryana_Stores__grocery_stores_etc_Service_Segment">#REF!</definedName>
    <definedName name="General_Merchandise_Stores_or_Kiryana_Stores_grocery_stores_etc__Mfg_Segment_">#REF!</definedName>
    <definedName name="General_Merchandise_stores_Service_Segment">#REF!</definedName>
    <definedName name="General_Merchandise_stores_Trading_Segment">#REF!</definedName>
    <definedName name="General_Purpose_Machinery_Service_Segment">#REF!</definedName>
    <definedName name="General_Purpose_Machinery_Trading_Segment">#REF!</definedName>
    <definedName name="Ginning_of_cotton_Service_Segment">#REF!</definedName>
    <definedName name="Ginning_of_cotton_Trading_Segment">#REF!</definedName>
    <definedName name="Glass_and_Glass_Products___Labware_Service_Segment">#REF!</definedName>
    <definedName name="Glass_and_Glass_Products___Labware_Trading_Segment">#REF!</definedName>
    <definedName name="Glass_and_Glass_Products__Labware__Mfg_Segment_">#REF!</definedName>
    <definedName name="Glass_and_Glass_Products_Service_Segment">#REF!</definedName>
    <definedName name="Glass_and_Glass_Products_Trading_Segment">#REF!</definedName>
    <definedName name="Glass_Services_Industry">#REF!</definedName>
    <definedName name="Glass_Trading">#REF!</definedName>
    <definedName name="Goods_Transport_Services__Road___Mfg_Segment_">#REF!</definedName>
    <definedName name="Goods_Transport_Services__Road__Service_Segment">#REF!</definedName>
    <definedName name="Goods_Transport_Services__Road__Trading_Segment">#REF!</definedName>
    <definedName name="Grocery_and_starch_related_products__Mfg_Segment_">#REF!</definedName>
    <definedName name="Grocery_and_starch_related_products_Service_Segment">#REF!</definedName>
    <definedName name="Grocery_and_starch_related_products_Trading_Segment">#REF!</definedName>
    <definedName name="GroupCo">#REF!</definedName>
    <definedName name="GSTIN">#REF!</definedName>
    <definedName name="GSTINStatus">#REF!</definedName>
    <definedName name="Haha">#REF!</definedName>
    <definedName name="Handicrafts_M">#REF!</definedName>
    <definedName name="Handicrafts_Services_Industry">#REF!</definedName>
    <definedName name="Handicrafts_Trading">#REF!</definedName>
    <definedName name="HdfcLifeSA">#REF!</definedName>
    <definedName name="Header_Row">ROW(#REF!)</definedName>
    <definedName name="Hobby__Toy__Game__Camera_and_Photographic_Supply_Stores_Service_Segment">#REF!</definedName>
    <definedName name="Hobby_Toy_Game_Camera_and_Photographic_Supply_Stores__Mfg_Segment_">#REF!</definedName>
    <definedName name="Hobby_Toy_Game_Camera_and_Photographic_Supply_Stores_Trading_Segment">#REF!</definedName>
    <definedName name="HoldingCo">#REF!</definedName>
    <definedName name="Home_Appliances_or_Kitchen_Appliances__Mfg_Segment_">#REF!</definedName>
    <definedName name="Home_Appliances_or_Kitchen_Appliances_Service_Segment">#REF!</definedName>
    <definedName name="Home_Furnishing_or_Kitchen_and_household_hardware_Service_Segment">#REF!</definedName>
    <definedName name="Home_furnishing_Service_Segment">#REF!</definedName>
    <definedName name="Home_furnishing_Trading_Segment">#REF!</definedName>
    <definedName name="Hospitals_and_Clinics_M">#REF!</definedName>
    <definedName name="Hospitals_and_Clinics_Trading">#REF!</definedName>
    <definedName name="Hotel_and_Restaurants_M">#REF!</definedName>
    <definedName name="Hotel_and_Restaurants_Trading">#REF!</definedName>
    <definedName name="Hotels_and_Restaurants__Mfg_Segment_">#REF!</definedName>
    <definedName name="Hotels_and_Restaurants_Trading_Segment">#REF!</definedName>
    <definedName name="HR_and_A___Medical_Transcriptions_Trading_Segment">#REF!</definedName>
    <definedName name="HR_and_A_or_Medical_Transcriptions__Mfg_Segment_">#REF!</definedName>
    <definedName name="Hunter_Match">OFFSET(#REF!,0,0,COUNTA(#REF!),1)</definedName>
    <definedName name="icr">#REF!</definedName>
    <definedName name="ID_Proof">OFFSET(#REF!,0,0,COUNTA(#REF!),1)</definedName>
    <definedName name="iIndicator">#REF!</definedName>
    <definedName name="IndMarginAllowed">#REF!</definedName>
    <definedName name="Industrial_Furnaces_Service_Segment">#REF!</definedName>
    <definedName name="Industrial_Furnaces_Trading_Segment">#REF!</definedName>
    <definedName name="Industrial_Machincery___Chemicals_Service_Segment">#REF!</definedName>
    <definedName name="Industrial_Machincery__Chemicals__Mfg_Segment_">#REF!</definedName>
    <definedName name="Industrial_Machincery__Chemicals_Trading_Segment">#REF!</definedName>
    <definedName name="Industries_not_classified_elsewhere__Mfg_Segment_">#REF!</definedName>
    <definedName name="Industries_not_classified_elsewhere_Service_Segment">#REF!</definedName>
    <definedName name="Industries_not_classified_elsewhere_Trading_Segment">#REF!</definedName>
    <definedName name="industry">#REF!</definedName>
    <definedName name="Inorganic_and_Organic_Chemicals__Mfg_Segment_">#REF!</definedName>
    <definedName name="Inorganic_and_Organic_Chemicals_Service_Segment">#REF!</definedName>
    <definedName name="Inorganic_and_Organic_Chemicals_Trading_Segment">#REF!</definedName>
    <definedName name="Int">#REF!</definedName>
    <definedName name="Interest_Rate">#REF!</definedName>
    <definedName name="Internal_Dedupe">OFFSET(#REF!,0,0,COUNTA(#REF!),1)</definedName>
    <definedName name="Internet_or_Broadband_Services_M">#REF!</definedName>
    <definedName name="Internet_or_Broadband_Services_Services_Industry">#REF!</definedName>
    <definedName name="Internet_or_Broadband_Services_Trading">#REF!</definedName>
    <definedName name="Internet_Services__Others_Service_Segment">#REF!</definedName>
    <definedName name="Internet_Services_Others__Mfg_Segment_">#REF!</definedName>
    <definedName name="Internet_Services_Others_Trading_Segment">#REF!</definedName>
    <definedName name="IntRat">#REF!</definedName>
    <definedName name="IT_or_Software_or_ITES_or_BPO_or_KPO_M">#REF!</definedName>
    <definedName name="IT_or_Software_or_ITES_or_BPO_or_KPO_Trading">#REF!</definedName>
    <definedName name="ITES___Call_Centres_Trading_Segment">#REF!</definedName>
    <definedName name="ITES_or_Call_Centres__Mfg_Segment_">#REF!</definedName>
    <definedName name="itpd">#REF!</definedName>
    <definedName name="JobOthers">#REF!</definedName>
    <definedName name="Jute_Service_Segment">#REF!</definedName>
    <definedName name="Jute_Services_Industry">#REF!</definedName>
    <definedName name="Jute_Trading">#REF!</definedName>
    <definedName name="Jute_Trading_Segment">#REF!</definedName>
    <definedName name="Landline">OFFSET(#REF!,0,0,COUNTA(#REF!),1)</definedName>
    <definedName name="Last_Row">IF(Values_Entered,Header_Row+Number_of_Payments,Header_Row)</definedName>
    <definedName name="Laundary_and_Surface_Care_M">#REF!</definedName>
    <definedName name="Laundary_and_Surface_Care_Services_Industry">#REF!</definedName>
    <definedName name="Laundary_and_Surface_Care_Trading">#REF!</definedName>
    <definedName name="Laundary_services_and_management_of_washing_etc__Mfg_Segment_">#REF!</definedName>
    <definedName name="Laundary_services_and_management_of_washing_etc_Service_Segment">#REF!</definedName>
    <definedName name="Laundary_services_and_management_of_washing_etc_Trading_Segment">#REF!</definedName>
    <definedName name="LDoBDays">#REF!</definedName>
    <definedName name="LDoBMonths">#REF!</definedName>
    <definedName name="LDoBYears">#REF!</definedName>
    <definedName name="Leather_Services_Industry">#REF!</definedName>
    <definedName name="Leather_Trading">#REF!</definedName>
    <definedName name="Legal_Services__Solicitor_firms__Public_Relations__Professional_or_Consultants_or_specialised_dance_schools_Service_Segment">#REF!</definedName>
    <definedName name="Legal_Services_Solicitor_firms_Public_Relations_Professional___Consultants___specialised_dance_schools_Trading_Segment">#REF!</definedName>
    <definedName name="Legal_Services_Solicitor_firms_Public_Relations_Professional_or_Consultants_or_specialised_dance_schools__Mfg_Segment_">#REF!</definedName>
    <definedName name="Lending_Program_Sel">#REF!</definedName>
    <definedName name="Lending_Programs">OFFSET(#REF!,0,0,COUNTA(#REF!),1)</definedName>
    <definedName name="Level">#REF!</definedName>
    <definedName name="Limit_Acc_Type">#REF!</definedName>
    <definedName name="Liquor_or_Breweries_or_imfi_Services_Industry">#REF!</definedName>
    <definedName name="Live_Stock_Services_Industry">#REF!</definedName>
    <definedName name="Live_Stock_Trading">#REF!</definedName>
    <definedName name="LLoanTerm">#REF!</definedName>
    <definedName name="Loan">#REF!</definedName>
    <definedName name="Loan_Amount">#REF!</definedName>
    <definedName name="Loan_Category">OFFSET(#REF!,0,0,COUNTA(#REF!),1)</definedName>
    <definedName name="Loan_Decision">OFFSET(#REF!,0,0,COUNTA(#REF!),1)</definedName>
    <definedName name="Loan_Requested">#REF!</definedName>
    <definedName name="Loan_Sel">#REF!</definedName>
    <definedName name="Loan_Start">#REF!</definedName>
    <definedName name="Loan_Type">#REF!</definedName>
    <definedName name="Loan_Years">#REF!</definedName>
    <definedName name="Login_Date">#REF!</definedName>
    <definedName name="Logistics_M">#REF!</definedName>
    <definedName name="Logistics_Services_Industry">#REF!</definedName>
    <definedName name="Logistics_Trading">#REF!</definedName>
    <definedName name="Low">#REF!</definedName>
    <definedName name="LPropDays">#REF!</definedName>
    <definedName name="LPropMonths">#REF!</definedName>
    <definedName name="LPropYears">#REF!</definedName>
    <definedName name="LRD_lease_rentals_rental_income__Mfg_Segment_">#REF!</definedName>
    <definedName name="LRD_lease_rentals_rental_income_Trading_Segment">#REF!</definedName>
    <definedName name="Lubricants___Gas_Cyliners_Trading_Segment">#REF!</definedName>
    <definedName name="Lubricants_or_Gas_Cyliners__Mfg_Segment_">#REF!</definedName>
    <definedName name="Lubricants_or_Gas_Cyliners_Service_Segment">#REF!</definedName>
    <definedName name="Luggage_and_Leather_Goods___other_leather_prodycts_Trading_Segment">#REF!</definedName>
    <definedName name="Luggage_and_Leather_Goods_or_other_leather_prodycts_Service_Segment">#REF!</definedName>
    <definedName name="Machine_Tools_Service_Segment">#REF!</definedName>
    <definedName name="Main_Cust_Categ">#REF!</definedName>
    <definedName name="Maintenance_and_overhauling_servicesl_ground_handling__Mfg_Segment_">#REF!</definedName>
    <definedName name="Maintenance_and_overhauling_servicesl_ground_handling_Trading_Segment">#REF!</definedName>
    <definedName name="MandyFields1">#REF!</definedName>
    <definedName name="Manufacturers_of_toiler_soaps__detergents__shampoos__toothpaste__shaving_products__shoe_polish_and_household_accessories_Service_Segment">#REF!</definedName>
    <definedName name="Manufacturers_of_toiler_soaps_detergents_shampoos_toothpaste_shaving_products_shoe_polish_and_household_accessories_Trading_Segment">#REF!</definedName>
    <definedName name="Manufacturing_of_handicrafts_and_selling_of_same__art_work_Service_Segment">#REF!</definedName>
    <definedName name="Manufacturing_of_handicrafts_and_selling_of_same__art_work_Trading_Segment">#REF!</definedName>
    <definedName name="Manufacturing_of_handicrafts_and_selling_of_same_art_work__Mfg_Segment_">#REF!</definedName>
    <definedName name="Marble_and_Granite_Service_Segment">#REF!</definedName>
    <definedName name="Marine_Foods__Soya_bean_products_Service_Segment">#REF!</definedName>
    <definedName name="Marital_Status">OFFSET(#REF!,0,0,COUNTA(#REF!),1)</definedName>
    <definedName name="Material_Handling_Equipment__Mfg_Segment_">#REF!</definedName>
    <definedName name="Material_Handling_Equipment_Service_Segment">#REF!</definedName>
    <definedName name="Material_Handling_Equipment_Trading_Segment">#REF!</definedName>
    <definedName name="Media_Advertising_and_Broadcasting_Animation_and_Post_production__Mfg_Segment_">#REF!</definedName>
    <definedName name="Media_Advertising_and_Broadcasting_Animation_and_Post_production_Trading_Segment">#REF!</definedName>
    <definedName name="Media_or_Entertainment_TV_Broadcasting_M">#REF!</definedName>
    <definedName name="Media_or_Entertainment_TV_Broadcasting_Trading">#REF!</definedName>
    <definedName name="Medical_Equipment__Mfg_Segment_">#REF!</definedName>
    <definedName name="Medical_Equipment_Service_Segment">#REF!</definedName>
    <definedName name="Medical_or_Pharma_Equipments_M">#REF!</definedName>
    <definedName name="Medical_or_Pharma_Equipments_Services_Industry">#REF!</definedName>
    <definedName name="Medical_Supplies__Mfg_Segment_">#REF!</definedName>
    <definedName name="Medical_Supplies_Service_Segment">#REF!</definedName>
    <definedName name="Medical_Supplies_Trading_Segment">#REF!</definedName>
    <definedName name="Medium">#REF!</definedName>
    <definedName name="Met">#REF!</definedName>
    <definedName name="Metals_aluminium_Services_Industry">#REF!</definedName>
    <definedName name="Metals_copper_Services_Industry">#REF!</definedName>
    <definedName name="Metals_others_Services_Industry">#REF!</definedName>
    <definedName name="Metals_zinc_Services_Industry">#REF!</definedName>
    <definedName name="Milling_Product_Service_Segment">#REF!</definedName>
    <definedName name="Milling_Product_Trading_Segment">#REF!</definedName>
    <definedName name="Mining_Trading">#REF!</definedName>
    <definedName name="Mining_Trading_Segment">#REF!</definedName>
    <definedName name="Motors__Generator_and_pumps_and_other_power_equipments_Service_Segment">#REF!</definedName>
    <definedName name="Motors_Generator_and_pumps_and_other_power_equipments_Trading_Segment">#REF!</definedName>
    <definedName name="Multibrand_Stores__Mfg_Segment_">#REF!</definedName>
    <definedName name="Multibrand_Stores_Service_Segment">#REF!</definedName>
    <definedName name="N">#REF!</definedName>
    <definedName name="Nature_of_Business">OFFSET(#REF!,0,0,COUNTA(#REF!)-COUNTBLANK(#REF!),1)</definedName>
    <definedName name="Negative_Salaried">#REF!</definedName>
    <definedName name="net_sales">#REF!</definedName>
    <definedName name="No">#REF!</definedName>
    <definedName name="No_Mths">#REF!</definedName>
    <definedName name="NOB_Selected">#REF!</definedName>
    <definedName name="Num_Pmt_Per_Year">#REF!</definedName>
    <definedName name="Number_of_Payments">MATCH(0.01,End_Bal,-1)+1</definedName>
    <definedName name="Obligation">#REF!</definedName>
    <definedName name="ODCC_Accs">#REF!</definedName>
    <definedName name="Office_Equipment_Networking__Mfg_Segment_">#REF!</definedName>
    <definedName name="Office_Equipment_Networking_Trading_Segment">#REF!</definedName>
    <definedName name="Office_Proof">OFFSET(#REF!,0,0,COUNTA(#REF!),1)</definedName>
    <definedName name="op_margin">#REF!</definedName>
    <definedName name="Opticians__Mfg_Segment_">#REF!</definedName>
    <definedName name="Opticians_Service_Segment">#REF!</definedName>
    <definedName name="Opticians_Trading_Segment">#REF!</definedName>
    <definedName name="Other_communication_services__telex_wireless_fax_pager_other_telephone_or_communication_services__mobile_phones_retail_wholesale_seller__Mfg_Segment_">#REF!</definedName>
    <definedName name="other_than_iron_and_steel__zince__copper_aluminium_Service_Segment">#REF!</definedName>
    <definedName name="Others_M">#REF!</definedName>
    <definedName name="Others_Services_Industry">#REF!</definedName>
    <definedName name="Others_Trading">#REF!</definedName>
    <definedName name="OtherTenor">#REF!</definedName>
    <definedName name="Ownership">OFFSET(#REF!,0,0,COUNTA(#REF!),1)</definedName>
    <definedName name="p">#REF!</definedName>
    <definedName name="Packaging_Material_Service_Segment">#REF!</definedName>
    <definedName name="Packaging_Material_Trading_Segment">#REF!</definedName>
    <definedName name="Packaging_Trading">#REF!</definedName>
    <definedName name="PaidUp">#REF!</definedName>
    <definedName name="Paints_Equipment__Mfg_Segment_">#REF!</definedName>
    <definedName name="Paints_Equipment_Service_Segment">#REF!</definedName>
    <definedName name="Paints_Equipment_Trading_Segment">#REF!</definedName>
    <definedName name="Paper_and_Paper_Products_Service_Segment">#REF!</definedName>
    <definedName name="Paper_Services_Industry">#REF!</definedName>
    <definedName name="Passenger_Transport_Services__Road___Mfg_Segment_">#REF!</definedName>
    <definedName name="Passenger_Transport_Services__Road__Service_Segment">#REF!</definedName>
    <definedName name="Passenger_Transport_Services__Road__Trading_Segment">#REF!</definedName>
    <definedName name="Pay_Date">#REF!</definedName>
    <definedName name="Pay_Num">#REF!</definedName>
    <definedName name="Payment_Date">DATE(YEAR(Loan_Start),MONTH(Loan_Start)+#REF!,DAY(Loan_Start))</definedName>
    <definedName name="PD">#REF!</definedName>
    <definedName name="Perfumes__cosmetics__toiletries__hair_oil__cream_Service_Segment">#REF!</definedName>
    <definedName name="Period">#REF!</definedName>
    <definedName name="Personal_Care__Mfg_Segment_">#REF!</definedName>
    <definedName name="Personal_Care_Service_Segment">#REF!</definedName>
    <definedName name="Personal_Care_Trading_Segment">#REF!</definedName>
    <definedName name="Personal_Liability">#REF!</definedName>
    <definedName name="Pesticides_Services_Industry">#REF!</definedName>
    <definedName name="Pesticied_Service_Segment">#REF!</definedName>
    <definedName name="Petroleum_Productdealer_M">#REF!</definedName>
    <definedName name="Petroleum_Productdealer_Services_Industry">#REF!</definedName>
    <definedName name="Petroleum_Productdealer_Trading">#REF!</definedName>
    <definedName name="Petroleum_Products__LPG_Dealers_Service_Segment">#REF!</definedName>
    <definedName name="Petroleum_Products_LPG_Dealers__Mfg_Segment_">#REF!</definedName>
    <definedName name="Petroleum_Products_LPG_Dealers_Trading_Segment">#REF!</definedName>
    <definedName name="Pharma_Machinery__Mfg_Segment_">#REF!</definedName>
    <definedName name="Pharma_Machinery_Service_Segment">#REF!</definedName>
    <definedName name="Pharma_Machinery_Trading_Segment">#REF!</definedName>
    <definedName name="Pharmaceuticals_Services_Industry">#REF!</definedName>
    <definedName name="Pharmaceuticals_Trading">#REF!</definedName>
    <definedName name="Photgraphic_and_Allied_Products_Service_Segment">#REF!</definedName>
    <definedName name="Photgraphic_and_Allied_Products_Trading_Segment">#REF!</definedName>
    <definedName name="Photographic_and_Allied_Products_Services_Industry">#REF!</definedName>
    <definedName name="Photographic_and_Allied_Products_Trading">#REF!</definedName>
    <definedName name="Plastic__Films_Service_Segment">#REF!</definedName>
    <definedName name="Plastic_Films_Trading_Segment">#REF!</definedName>
    <definedName name="Plastic_Packaging_Goods_Trading_Segment">#REF!</definedName>
    <definedName name="Plastic_tubes_and_sheets_and_other_plastic_products__plastic_resins__thermoplastics_Service_Segment">#REF!</definedName>
    <definedName name="Plastics_Services_Industry">#REF!</definedName>
    <definedName name="Pollution_Control__Mfg_Segment_">#REF!</definedName>
    <definedName name="Pollution_Control_Service_Segment">#REF!</definedName>
    <definedName name="Pollution_Control_Trading_Segment">#REF!</definedName>
    <definedName name="Pollution_M">#REF!</definedName>
    <definedName name="Pollution_Services_Industry">#REF!</definedName>
    <definedName name="Pollution_Trading">#REF!</definedName>
    <definedName name="Polymers_Service_Segment">#REF!</definedName>
    <definedName name="Positive">#REF!</definedName>
    <definedName name="Poultry_and_Meat_Products_Service_Segment">#REF!</definedName>
    <definedName name="Poultry_Services_Industry">#REF!</definedName>
    <definedName name="Power_Trading">#REF!</definedName>
    <definedName name="PRate">#REF!</definedName>
    <definedName name="PRateMB">#REF!</definedName>
    <definedName name="Precision_Dyes_and_Parts__Fasteners_Service_Segment">#REF!</definedName>
    <definedName name="Precision_Dyes_and_Parts_Fasteners_Trading_Segment">#REF!</definedName>
    <definedName name="Prime_Movers__Mfg_Segment_">#REF!</definedName>
    <definedName name="Prime_Movers_Trading_Segment">#REF!</definedName>
    <definedName name="Princ">#REF!</definedName>
    <definedName name="_xlnm.Print_Area">EWS!$B$2:$P$45</definedName>
    <definedName name="Print_Area_Reset">OFFSET(Full_Print,0,0,Last_Row)</definedName>
    <definedName name="Printing_and_Publishing_M">#REF!</definedName>
    <definedName name="Printing_and_Publishing_Trading">#REF!</definedName>
    <definedName name="Printing_machinery__Mfg_Segment_">#REF!</definedName>
    <definedName name="Printing_machinery_Service_Segment">#REF!</definedName>
    <definedName name="Printing_machinery_Trading_Segment">#REF!</definedName>
    <definedName name="Product">#REF!</definedName>
    <definedName name="Product_Type">#REF!</definedName>
    <definedName name="Professional_Services_M">#REF!</definedName>
    <definedName name="Professional_Services_Trading">#REF!</definedName>
    <definedName name="Program">#REF!</definedName>
    <definedName name="Program_Applicable">#REF!</definedName>
    <definedName name="PROP">#REF!</definedName>
    <definedName name="Property_Owned">OFFSET(#REF!,0,0,COUNTA(#REF!),1)</definedName>
    <definedName name="Property_Ownership_Proof">OFFSET(#REF!,0,0,COUNTA(#REF!),1)</definedName>
    <definedName name="Publishing__Mfg_Segment_">#REF!</definedName>
    <definedName name="Publishing_Trading_Segment">#REF!</definedName>
    <definedName name="Pumps_Service_Segment">#REF!</definedName>
    <definedName name="Purpose_of_Loan">OFFSET(#REF!,0,0,COUNTA(#REF!),1)</definedName>
    <definedName name="Q">#REF!</definedName>
    <definedName name="qqqq">#REF!</definedName>
    <definedName name="quick_ratio">#REF!</definedName>
    <definedName name="R_EMI">#REF!</definedName>
    <definedName name="ram">#REF!</definedName>
    <definedName name="Rating">#REF!</definedName>
    <definedName name="Readymade_garments_Service_Segment">#REF!</definedName>
    <definedName name="Real_Estate_M">#REF!</definedName>
    <definedName name="Real_Estate_Trading">#REF!</definedName>
    <definedName name="Recreation_and_Amusement_parks_event_management_gyms__Mfg_Segment_">#REF!</definedName>
    <definedName name="Recreation_and_Amusement_parks_event_management_gyms_Trading_Segment">#REF!</definedName>
    <definedName name="Refactory_and_Intermediates__Mfg_Segment_">#REF!</definedName>
    <definedName name="Refactory_and_Intermediates_Service_Segment">#REF!</definedName>
    <definedName name="Refactory_and_Intermediates_Trading_Segment">#REF!</definedName>
    <definedName name="RegAdd">#REF!</definedName>
    <definedName name="Reject_Reason">OFFSET(#REF!,0,0,COUNTA(#REF!),1)</definedName>
    <definedName name="Relationship">#REF!</definedName>
    <definedName name="rent">#REF!</definedName>
    <definedName name="Repayment_Bank_Acc">#REF!</definedName>
    <definedName name="Repayment_EMI_Type">OFFSET(#REF!,0,0,COUNTA(#REF!),1)</definedName>
    <definedName name="Resi_Proof">OFFSET(#REF!,0,0,COUNTA(#REF!),1)</definedName>
    <definedName name="ResiOthers">#REF!</definedName>
    <definedName name="Retail_M">#REF!</definedName>
    <definedName name="Retail_Services_Industry">#REF!</definedName>
    <definedName name="roce">#REF!</definedName>
    <definedName name="ROI_Sel">#REF!</definedName>
    <definedName name="RR">#REF!</definedName>
    <definedName name="Rubber_and_Rubber_products_Service_Segment">#REF!</definedName>
    <definedName name="Rubber_Natural_Services_Industry">#REF!</definedName>
    <definedName name="Safety_Prodycts__Mfg_Segment_">#REF!</definedName>
    <definedName name="Safety_Prodycts_Service_Segment">#REF!</definedName>
    <definedName name="Safety_Prodycts_Trading_Segment">#REF!</definedName>
    <definedName name="SalesGrowthTaken">#REF!</definedName>
    <definedName name="Sched_Pay">#REF!</definedName>
    <definedName name="Scheduled_Extra_Payments">#REF!</definedName>
    <definedName name="Scheduled_Interest_Rate">#REF!</definedName>
    <definedName name="Scheduled_Monthly_Payment">#REF!</definedName>
    <definedName name="sd">#REF!</definedName>
    <definedName name="Season">#REF!</definedName>
    <definedName name="Sector">#REF!</definedName>
    <definedName name="Seed_Related_Service_Segment">#REF!</definedName>
    <definedName name="segment">#REF!</definedName>
    <definedName name="Segment_Sel">#REF!</definedName>
    <definedName name="SelfSA">#REF!</definedName>
    <definedName name="Sign_Proof">OFFSET(#REF!,0,0,COUNTA(#REF!),1)</definedName>
    <definedName name="Silk__PSF__VSF__nylon_Service_Segment">#REF!</definedName>
    <definedName name="Silk_PSF_VSF_nylon_Trading_Segment">#REF!</definedName>
    <definedName name="Soaps_and_Detergents_Services_Industry">#REF!</definedName>
    <definedName name="Soft_drinks__bottled_water__Non_alcoholic_beverages_Service_Segment">#REF!</definedName>
    <definedName name="Soft_drinks_bottled_water_Non_alcoholic_beverages_Trading_Segment">#REF!</definedName>
    <definedName name="solvency">#REF!</definedName>
    <definedName name="SORP">#REF!</definedName>
    <definedName name="Speciality_Services_Industry">#REF!</definedName>
    <definedName name="Spices_and_Grams_Service_Segment">#REF!</definedName>
    <definedName name="Sports_Goods__Sports_Academy_Service_Segment">#REF!</definedName>
    <definedName name="Start4">#REF!</definedName>
    <definedName name="statmnt_date">#REF!</definedName>
    <definedName name="Status">#REF!</definedName>
    <definedName name="Storage_Batteries__Mfg_Segment_">#REF!</definedName>
    <definedName name="Storage_Batteries_Service_Segment">#REF!</definedName>
    <definedName name="Structurals__Mfg_Segment_">#REF!</definedName>
    <definedName name="Structurals_Trading_Segment">#REF!</definedName>
    <definedName name="Sugar_Service_Segment">#REF!</definedName>
    <definedName name="Sugar_Services_Industry">#REF!</definedName>
    <definedName name="SumAssured">#REF!</definedName>
    <definedName name="Switching_Appratus_Service_Segment">#REF!</definedName>
    <definedName name="Switching_Appratus_Trading_Segment">#REF!</definedName>
    <definedName name="TABLE_8">#REF!</definedName>
    <definedName name="TABLE_9">#REF!</definedName>
    <definedName name="Tax_and_Audit_Architects__Mfg_Segment_">#REF!</definedName>
    <definedName name="Tax_and_Audit_Architects_Trading_Segment">#REF!</definedName>
    <definedName name="Taxi___Car_Rental_Trading_Segment">#REF!</definedName>
    <definedName name="Taxi_or_Car_Rental__Mfg_Segment_">#REF!</definedName>
    <definedName name="Tea_Service_Segment">#REF!</definedName>
    <definedName name="Tea_Services_Industry">#REF!</definedName>
    <definedName name="Technical_Consultancy_and_Engg_services_IT_consulting_salaried_employees_doctors_only_rental_income__Mfg_Segment_">#REF!</definedName>
    <definedName name="Technical_Consultancy_and_Engg_services_IT_consulting_salaried_employees_doctors_only_rental_income_Trading_Segment">#REF!</definedName>
    <definedName name="Telecom_and_Telecom_Products_M">#REF!</definedName>
    <definedName name="Tenor_Sel">#REF!</definedName>
    <definedName name="Term">#REF!</definedName>
    <definedName name="Textile_Fabric_Services_Industry">#REF!</definedName>
    <definedName name="Textile_Furnishing_Services_Industry">#REF!</definedName>
    <definedName name="Textile_Furnishing_Trading">#REF!</definedName>
    <definedName name="Textile_Garments_and_Apparels_Services_Industry">#REF!</definedName>
    <definedName name="Textile_Ginning_Services_Industry">#REF!</definedName>
    <definedName name="Textile_Ginning_Trading">#REF!</definedName>
    <definedName name="Textile_machinery_Service_Segment">#REF!</definedName>
    <definedName name="Textile_Machinery_Services_Industry">#REF!</definedName>
    <definedName name="Textile_Machinery_Trading">#REF!</definedName>
    <definedName name="Textile_machinery_Trading_Segment">#REF!</definedName>
    <definedName name="Textile_other_than_mentioned_above_Service_Segment">#REF!</definedName>
    <definedName name="Textile_Others_Services_Industry">#REF!</definedName>
    <definedName name="Textile_Processing_M">#REF!</definedName>
    <definedName name="Textile_Processing_Services_Industry">#REF!</definedName>
    <definedName name="Textile_Processing_Trading">#REF!</definedName>
    <definedName name="Textile_Synthetic_Services_Industry">#REF!</definedName>
    <definedName name="Textile_Synthetic_Trading">#REF!</definedName>
    <definedName name="Textile_Yarn_Services_Industry">#REF!</definedName>
    <definedName name="Textiles__Blended_Yarn_Service_Segment">#REF!</definedName>
    <definedName name="Ticketing_and_Taxi_Services__Mfg_Segment_">#REF!</definedName>
    <definedName name="Ticketing_and_Taxi_Services_Service_Segment">#REF!</definedName>
    <definedName name="Ticketing_and_Taxi_Services_Trading_Segment">#REF!</definedName>
    <definedName name="Tiles_Ceramic_or_Building_Construction_Material_Services_Industry">#REF!</definedName>
    <definedName name="Timber_and_Timber_Products_Services_Industry">#REF!</definedName>
    <definedName name="Title">OFFSET(#REF!,0,0,COUNTA(#REF!),1)</definedName>
    <definedName name="Tobacco_Products_Service_Segment">#REF!</definedName>
    <definedName name="Tobacco_Services_Industry">#REF!</definedName>
    <definedName name="Total_Interest">#REF!</definedName>
    <definedName name="Total_Pay">#REF!</definedName>
    <definedName name="Total_Payment">#REF!+#REF!</definedName>
    <definedName name="Tours_and_Travels_M">#REF!</definedName>
    <definedName name="Tours_and_Travels_Trading">#REF!</definedName>
    <definedName name="Tractors_Service_Segment">#REF!</definedName>
    <definedName name="Tractors_Services_Industry">#REF!</definedName>
    <definedName name="Transformers_Service_Segment">#REF!</definedName>
    <definedName name="Transformers_Trading_Segment">#REF!</definedName>
    <definedName name="Transmission_line_towers_and_equipment__Mfg_Segment_">#REF!</definedName>
    <definedName name="Transmission_line_towers_and_equipment_Trading_Segment">#REF!</definedName>
    <definedName name="Transport_Road_M">#REF!</definedName>
    <definedName name="Transport_Road_Services_Industry">#REF!</definedName>
    <definedName name="Transport_Road_Trading">#REF!</definedName>
    <definedName name="turn_growth">#REF!</definedName>
    <definedName name="Turnkey_Services__Mfg_Segment_">#REF!</definedName>
    <definedName name="Turnkey_Services_Service_Segment">#REF!</definedName>
    <definedName name="Turnkey_Services_Trading_Segment">#REF!</definedName>
    <definedName name="Two_wheeler_dealers_and_manufacturers_including_scooters_bikes_etc_Mfg_Segment">#REF!</definedName>
    <definedName name="Two_wheeler_dealers_and_manufacturers_including_scooters_bikes_etc_Service_Segment">#REF!</definedName>
    <definedName name="Type">#REF!</definedName>
    <definedName name="Tyres_Service_Segment">#REF!</definedName>
    <definedName name="Tyres_Services_Industry">#REF!</definedName>
    <definedName name="Tyres_Trading">#REF!</definedName>
    <definedName name="Tyres_Trading_Segment">#REF!</definedName>
    <definedName name="Unsecured">#REF!</definedName>
    <definedName name="Values_Entered">IF(Loan_Amount*Interest_Rate*Loan_Years*Loan_Start&gt;0,1,0)</definedName>
    <definedName name="Valves_Service_Segment">#REF!</definedName>
    <definedName name="Verifn_Status">OFFSET(#REF!,0,0,COUNTA(#REF!),1)</definedName>
    <definedName name="Warehousing_M">#REF!</definedName>
    <definedName name="Warehousing_Services_Industry">#REF!</definedName>
    <definedName name="Warehousing_Trading">#REF!</definedName>
    <definedName name="Watches_Services_Industry">#REF!</definedName>
    <definedName name="Welding_Machinery__Mfg_Segment_">#REF!</definedName>
    <definedName name="Welding_Machinery_Service_Segment">#REF!</definedName>
    <definedName name="Welding_Machinery_Trading_Segment">#REF!</definedName>
    <definedName name="Wholesales_of_food_products__Mfg_Segment_">#REF!</definedName>
    <definedName name="Wholesales_of_food_products_Service_Segment">#REF!</definedName>
    <definedName name="With_original_weights">#REF!</definedName>
    <definedName name="Wood_and_wood_products___including_furnitures_Service_Segment">#REF!</definedName>
    <definedName name="Woolen_Service_Segment">#REF!</definedName>
    <definedName name="Woolen_Trading_Segment">#REF!</definedName>
    <definedName name="wrn.Print._.All.">"{""Page1"";#N/A!FALSE;""Page 1"";""Page2"";#N/A!FALSE;""Page 2"";""Industry etc."";#N/A!FALSE;""Industry and Country Scores""}"</definedName>
    <definedName name="wrn.Print._.All._1">"{""Page1"";#N/A!FALSE;""Page 1"";""Page2"";#N/A!FALSE;""Page 2"";""Industry etc."";#N/A!FALSE;""Industry and Country Scores""}"</definedName>
    <definedName name="wrn.Print._.All._1_1">"{""Page1"";#N/A!FALSE;""Page 1"";""Page2"";#N/A!FALSE;""Page 2"";""Industry etc."";#N/A!FALSE;""Industry and Country Scores""}"</definedName>
    <definedName name="wrn.Print._.All._1_1_1">"{""Page1"";#N/A!FALSE;""Page 1"";""Page2"";#N/A!FALSE;""Page 2"";""Industry etc."";#N/A!FALSE;""Industry and Country Scores""}"</definedName>
    <definedName name="wrn.Print._.All._1_1_2">"{""Page1"";#N/A!FALSE;""Page 1"";""Page2"";#N/A!FALSE;""Page 2"";""Industry etc."";#N/A!FALSE;""Industry and Country Scores""}"</definedName>
    <definedName name="wrn.Print._.All._1_2">"{""Page1"";#N/A!FALSE;""Page 1"";""Page2"";#N/A!FALSE;""Page 2"";""Industry etc."";#N/A!FALSE;""Industry and Country Scores""}"</definedName>
    <definedName name="wrn.Print._.All._1_2_1">"{""Page1"";#N/A!FALSE;""Page 1"";""Page2"";#N/A!FALSE;""Page 2"";""Industry etc."";#N/A!FALSE;""Industry and Country Scores""}"</definedName>
    <definedName name="wrn.Print._.All._1_3">"{""Page1"";#N/A!FALSE;""Page 1"";""Page2"";#N/A!FALSE;""Page 2"";""Industry etc."";#N/A!FALSE;""Industry and Country Scores""}"</definedName>
    <definedName name="wrn.Print._.All._1_4">"{""Page1"";#N/A!FALSE;""Page 1"";""Page2"";#N/A!FALSE;""Page 2"";""Industry etc."";#N/A!FALSE;""Industry and Country Scores""}"</definedName>
    <definedName name="wrn.Print._.All._1_5">"{""Page1"";#N/A!FALSE;""Page 1"";""Page2"";#N/A!FALSE;""Page 2"";""Industry etc."";#N/A!FALSE;""Industry and Country Scores""}"</definedName>
    <definedName name="wrn.Print._.All._2">"{""Page1"";#N/A!FALSE;""Page 1"";""Page2"";#N/A!FALSE;""Page 2"";""Industry etc."";#N/A!FALSE;""Industry and Country Scores""}"</definedName>
    <definedName name="wrn.Print._.All._2_1">"{""Page1"";#N/A!FALSE;""Page 1"";""Page2"";#N/A!FALSE;""Page 2"";""Industry etc."";#N/A!FALSE;""Industry and Country Scores""}"</definedName>
    <definedName name="wrn.Print._.All._2_1_1">"{""Page1"";#N/A!FALSE;""Page 1"";""Page2"";#N/A!FALSE;""Page 2"";""Industry etc."";#N/A!FALSE;""Industry and Country Scores""}"</definedName>
    <definedName name="wrn.Print._.All._3">"{""Page1"";#N/A!FALSE;""Page 1"";""Page2"";#N/A!FALSE;""Page 2"";""Industry etc."";#N/A!FALSE;""Industry and Country Scores""}"</definedName>
    <definedName name="wrn.Print._.All._3_1">"{""Page1"";#N/A!FALSE;""Page 1"";""Page2"";#N/A!FALSE;""Page 2"";""Industry etc."";#N/A!FALSE;""Industry and Country Scores""}"</definedName>
    <definedName name="wrn.Print._.All._3_1_1">"{""Page1"";#N/A!FALSE;""Page 1"";""Page2"";#N/A!FALSE;""Page 2"";""Industry etc."";#N/A!FALSE;""Industry and Country Scores""}"</definedName>
    <definedName name="wrn.Print._.All._4">"{""Page1"";#N/A!FALSE;""Page 1"";""Page2"";#N/A!FALSE;""Page 2"";""Industry etc."";#N/A!FALSE;""Industry and Country Scores""}"</definedName>
    <definedName name="wrn.Print._.All._4_1">"{""Page1"";#N/A!FALSE;""Page 1"";""Page2"";#N/A!FALSE;""Page 2"";""Industry etc."";#N/A!FALSE;""Industry and Country Scores""}"</definedName>
    <definedName name="wrn.Print._.All._4_1_1">"{""Page1"";#N/A!FALSE;""Page 1"";""Page2"";#N/A!FALSE;""Page 2"";""Industry etc."";#N/A!FALSE;""Industry and Country Scores""}"</definedName>
    <definedName name="wrn.Print._.All._5">"{""Page1"";#N/A!FALSE;""Page 1"";""Page2"";#N/A!FALSE;""Page 2"";""Industry etc."";#N/A!FALSE;""Industry and Country Scores""}"</definedName>
    <definedName name="wrn.Print._.All._5_1">"{""Page1"";#N/A!FALSE;""Page 1"";""Page2"";#N/A!FALSE;""Page 2"";""Industry etc."";#N/A!FALSE;""Industry and Country Scores""}"</definedName>
    <definedName name="Yes">#REF!</definedName>
    <definedName name="YesNoNA">#REF!</definedName>
    <definedName name="Zinc_Service_Segment">#REF!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19" i="1" l="1"/>
  <c r="P234" i="19"/>
  <c r="G234" i="19"/>
  <c r="F234" i="19"/>
  <c r="C234" i="19"/>
  <c r="B234" i="19"/>
  <c r="O233" i="19"/>
  <c r="N233" i="19"/>
  <c r="M233" i="19"/>
  <c r="L233" i="19"/>
  <c r="K233" i="19"/>
  <c r="P233" i="19" s="1"/>
  <c r="J233" i="19"/>
  <c r="G233" i="19"/>
  <c r="F233" i="19"/>
  <c r="C233" i="19"/>
  <c r="B233" i="19"/>
  <c r="P232" i="19"/>
  <c r="E232" i="19"/>
  <c r="D232" i="19"/>
  <c r="P231" i="19"/>
  <c r="E231" i="19"/>
  <c r="D231" i="19"/>
  <c r="P230" i="19"/>
  <c r="E230" i="19"/>
  <c r="D230" i="19"/>
  <c r="S229" i="19"/>
  <c r="P229" i="19"/>
  <c r="E229" i="19"/>
  <c r="D229" i="19"/>
  <c r="P228" i="19"/>
  <c r="E228" i="19"/>
  <c r="D228" i="19"/>
  <c r="P227" i="19"/>
  <c r="E227" i="19"/>
  <c r="D227" i="19"/>
  <c r="P226" i="19"/>
  <c r="E226" i="19"/>
  <c r="D226" i="19"/>
  <c r="P225" i="19"/>
  <c r="E225" i="19"/>
  <c r="D225" i="19"/>
  <c r="P224" i="19"/>
  <c r="E224" i="19"/>
  <c r="D224" i="19"/>
  <c r="S223" i="19"/>
  <c r="R223" i="19"/>
  <c r="P223" i="19"/>
  <c r="E223" i="19"/>
  <c r="D223" i="19"/>
  <c r="E222" i="19"/>
  <c r="D222" i="19"/>
  <c r="A222" i="19"/>
  <c r="A223" i="19" s="1"/>
  <c r="A224" i="19" s="1"/>
  <c r="A225" i="19" s="1"/>
  <c r="A226" i="19" s="1"/>
  <c r="A227" i="19" s="1"/>
  <c r="A228" i="19" s="1"/>
  <c r="A229" i="19" s="1"/>
  <c r="A230" i="19" s="1"/>
  <c r="A231" i="19" s="1"/>
  <c r="A232" i="19" s="1"/>
  <c r="E221" i="19"/>
  <c r="D221" i="19"/>
  <c r="A221" i="19"/>
  <c r="P213" i="19"/>
  <c r="G213" i="19"/>
  <c r="F213" i="19"/>
  <c r="C213" i="19"/>
  <c r="B213" i="19"/>
  <c r="O212" i="19"/>
  <c r="N212" i="19"/>
  <c r="M212" i="19"/>
  <c r="L212" i="19"/>
  <c r="K212" i="19"/>
  <c r="P212" i="19" s="1"/>
  <c r="J212" i="19"/>
  <c r="G212" i="19"/>
  <c r="F212" i="19"/>
  <c r="C212" i="19"/>
  <c r="B212" i="19"/>
  <c r="P211" i="19"/>
  <c r="E211" i="19"/>
  <c r="D211" i="19"/>
  <c r="P210" i="19"/>
  <c r="E210" i="19"/>
  <c r="D210" i="19"/>
  <c r="P209" i="19"/>
  <c r="E209" i="19"/>
  <c r="D209" i="19"/>
  <c r="S208" i="19"/>
  <c r="P208" i="19"/>
  <c r="E208" i="19"/>
  <c r="D208" i="19"/>
  <c r="P207" i="19"/>
  <c r="E207" i="19"/>
  <c r="D207" i="19"/>
  <c r="P206" i="19"/>
  <c r="E206" i="19"/>
  <c r="D206" i="19"/>
  <c r="P205" i="19"/>
  <c r="E205" i="19"/>
  <c r="D205" i="19"/>
  <c r="P204" i="19"/>
  <c r="E204" i="19"/>
  <c r="D204" i="19"/>
  <c r="P203" i="19"/>
  <c r="E203" i="19"/>
  <c r="D203" i="19"/>
  <c r="S202" i="19"/>
  <c r="R202" i="19"/>
  <c r="P202" i="19"/>
  <c r="E202" i="19"/>
  <c r="D202" i="19"/>
  <c r="E201" i="19"/>
  <c r="D201" i="19"/>
  <c r="E200" i="19"/>
  <c r="D200" i="19"/>
  <c r="A200" i="19"/>
  <c r="A201" i="19" s="1"/>
  <c r="A202" i="19" s="1"/>
  <c r="A203" i="19" s="1"/>
  <c r="A204" i="19" s="1"/>
  <c r="A205" i="19" s="1"/>
  <c r="A206" i="19" s="1"/>
  <c r="A207" i="19" s="1"/>
  <c r="A208" i="19" s="1"/>
  <c r="A209" i="19" s="1"/>
  <c r="A210" i="19" s="1"/>
  <c r="A211" i="19" s="1"/>
  <c r="P192" i="19"/>
  <c r="G192" i="19"/>
  <c r="F192" i="19"/>
  <c r="C192" i="19"/>
  <c r="B192" i="19"/>
  <c r="O191" i="19"/>
  <c r="N191" i="19"/>
  <c r="M191" i="19"/>
  <c r="L191" i="19"/>
  <c r="P191" i="19" s="1"/>
  <c r="K191" i="19"/>
  <c r="J191" i="19"/>
  <c r="G191" i="19"/>
  <c r="F191" i="19"/>
  <c r="C191" i="19"/>
  <c r="B191" i="19"/>
  <c r="P190" i="19"/>
  <c r="E190" i="19"/>
  <c r="D190" i="19"/>
  <c r="P189" i="19"/>
  <c r="E189" i="19"/>
  <c r="D189" i="19"/>
  <c r="P188" i="19"/>
  <c r="E188" i="19"/>
  <c r="D188" i="19"/>
  <c r="S187" i="19"/>
  <c r="P187" i="19"/>
  <c r="E187" i="19"/>
  <c r="D187" i="19"/>
  <c r="P186" i="19"/>
  <c r="E186" i="19"/>
  <c r="D186" i="19"/>
  <c r="P185" i="19"/>
  <c r="E185" i="19"/>
  <c r="D185" i="19"/>
  <c r="P184" i="19"/>
  <c r="E184" i="19"/>
  <c r="D184" i="19"/>
  <c r="P183" i="19"/>
  <c r="E183" i="19"/>
  <c r="D183" i="19"/>
  <c r="P182" i="19"/>
  <c r="E182" i="19"/>
  <c r="D182" i="19"/>
  <c r="S181" i="19"/>
  <c r="R181" i="19"/>
  <c r="P181" i="19"/>
  <c r="E181" i="19"/>
  <c r="D181" i="19"/>
  <c r="A181" i="19"/>
  <c r="A182" i="19" s="1"/>
  <c r="A183" i="19" s="1"/>
  <c r="A184" i="19" s="1"/>
  <c r="A185" i="19" s="1"/>
  <c r="A186" i="19" s="1"/>
  <c r="A187" i="19" s="1"/>
  <c r="A188" i="19" s="1"/>
  <c r="A189" i="19" s="1"/>
  <c r="A190" i="19" s="1"/>
  <c r="E180" i="19"/>
  <c r="D180" i="19"/>
  <c r="A180" i="19"/>
  <c r="E179" i="19"/>
  <c r="D179" i="19"/>
  <c r="A179" i="19"/>
  <c r="P171" i="19"/>
  <c r="G171" i="19"/>
  <c r="F171" i="19"/>
  <c r="C171" i="19"/>
  <c r="B171" i="19"/>
  <c r="O170" i="19"/>
  <c r="N170" i="19"/>
  <c r="M170" i="19"/>
  <c r="L170" i="19"/>
  <c r="K170" i="19"/>
  <c r="J170" i="19"/>
  <c r="G170" i="19"/>
  <c r="F170" i="19"/>
  <c r="C170" i="19"/>
  <c r="B170" i="19"/>
  <c r="P169" i="19"/>
  <c r="E169" i="19"/>
  <c r="D169" i="19"/>
  <c r="P168" i="19"/>
  <c r="E168" i="19"/>
  <c r="D168" i="19"/>
  <c r="P167" i="19"/>
  <c r="E167" i="19"/>
  <c r="D167" i="19"/>
  <c r="S166" i="19"/>
  <c r="P166" i="19"/>
  <c r="E166" i="19"/>
  <c r="D166" i="19"/>
  <c r="P165" i="19"/>
  <c r="E165" i="19"/>
  <c r="D165" i="19"/>
  <c r="P164" i="19"/>
  <c r="E164" i="19"/>
  <c r="D164" i="19"/>
  <c r="P163" i="19"/>
  <c r="E163" i="19"/>
  <c r="D163" i="19"/>
  <c r="P162" i="19"/>
  <c r="E162" i="19"/>
  <c r="D162" i="19"/>
  <c r="P161" i="19"/>
  <c r="E161" i="19"/>
  <c r="D161" i="19"/>
  <c r="S160" i="19"/>
  <c r="R160" i="19"/>
  <c r="P160" i="19"/>
  <c r="E160" i="19"/>
  <c r="D160" i="19"/>
  <c r="A160" i="19"/>
  <c r="A161" i="19" s="1"/>
  <c r="A162" i="19" s="1"/>
  <c r="A163" i="19" s="1"/>
  <c r="A164" i="19" s="1"/>
  <c r="A165" i="19" s="1"/>
  <c r="A166" i="19" s="1"/>
  <c r="A167" i="19" s="1"/>
  <c r="A168" i="19" s="1"/>
  <c r="A169" i="19" s="1"/>
  <c r="E159" i="19"/>
  <c r="D159" i="19"/>
  <c r="A159" i="19"/>
  <c r="E158" i="19"/>
  <c r="D158" i="19"/>
  <c r="A158" i="19"/>
  <c r="P150" i="19"/>
  <c r="G150" i="19"/>
  <c r="F150" i="19"/>
  <c r="C150" i="19"/>
  <c r="B150" i="19"/>
  <c r="O149" i="19"/>
  <c r="N149" i="19"/>
  <c r="M149" i="19"/>
  <c r="L149" i="19"/>
  <c r="K149" i="19"/>
  <c r="J149" i="19"/>
  <c r="G149" i="19"/>
  <c r="F149" i="19"/>
  <c r="C149" i="19"/>
  <c r="B149" i="19"/>
  <c r="P148" i="19"/>
  <c r="E148" i="19"/>
  <c r="D148" i="19"/>
  <c r="P147" i="19"/>
  <c r="E147" i="19"/>
  <c r="D147" i="19"/>
  <c r="P146" i="19"/>
  <c r="E146" i="19"/>
  <c r="D146" i="19"/>
  <c r="S145" i="19"/>
  <c r="P145" i="19"/>
  <c r="E145" i="19"/>
  <c r="D145" i="19"/>
  <c r="P144" i="19"/>
  <c r="E144" i="19"/>
  <c r="D144" i="19"/>
  <c r="P143" i="19"/>
  <c r="E143" i="19"/>
  <c r="D143" i="19"/>
  <c r="P142" i="19"/>
  <c r="E142" i="19"/>
  <c r="D142" i="19"/>
  <c r="P141" i="19"/>
  <c r="E141" i="19"/>
  <c r="D141" i="19"/>
  <c r="P140" i="19"/>
  <c r="E140" i="19"/>
  <c r="D140" i="19"/>
  <c r="S139" i="19"/>
  <c r="R139" i="19"/>
  <c r="P139" i="19"/>
  <c r="E139" i="19"/>
  <c r="D139" i="19"/>
  <c r="E138" i="19"/>
  <c r="D138" i="19"/>
  <c r="E137" i="19"/>
  <c r="D137" i="19"/>
  <c r="A137" i="19"/>
  <c r="A138" i="19" s="1"/>
  <c r="A139" i="19" s="1"/>
  <c r="A140" i="19" s="1"/>
  <c r="A141" i="19" s="1"/>
  <c r="A142" i="19" s="1"/>
  <c r="A143" i="19" s="1"/>
  <c r="A144" i="19" s="1"/>
  <c r="A145" i="19" s="1"/>
  <c r="A146" i="19" s="1"/>
  <c r="A147" i="19" s="1"/>
  <c r="A148" i="19" s="1"/>
  <c r="P129" i="19"/>
  <c r="G129" i="19"/>
  <c r="F129" i="19"/>
  <c r="C129" i="19"/>
  <c r="B129" i="19"/>
  <c r="O128" i="19"/>
  <c r="N128" i="19"/>
  <c r="M128" i="19"/>
  <c r="L128" i="19"/>
  <c r="P128" i="19" s="1"/>
  <c r="K128" i="19"/>
  <c r="J128" i="19"/>
  <c r="G128" i="19"/>
  <c r="F128" i="19"/>
  <c r="C128" i="19"/>
  <c r="B128" i="19"/>
  <c r="P127" i="19"/>
  <c r="E127" i="19"/>
  <c r="D127" i="19"/>
  <c r="P126" i="19"/>
  <c r="E126" i="19"/>
  <c r="D126" i="19"/>
  <c r="P125" i="19"/>
  <c r="E125" i="19"/>
  <c r="D125" i="19"/>
  <c r="S124" i="19"/>
  <c r="P124" i="19"/>
  <c r="E124" i="19"/>
  <c r="D124" i="19"/>
  <c r="P123" i="19"/>
  <c r="E123" i="19"/>
  <c r="D123" i="19"/>
  <c r="P122" i="19"/>
  <c r="E122" i="19"/>
  <c r="D122" i="19"/>
  <c r="P121" i="19"/>
  <c r="E121" i="19"/>
  <c r="D121" i="19"/>
  <c r="P120" i="19"/>
  <c r="E120" i="19"/>
  <c r="D120" i="19"/>
  <c r="P119" i="19"/>
  <c r="E119" i="19"/>
  <c r="D119" i="19"/>
  <c r="A119" i="19"/>
  <c r="A120" i="19" s="1"/>
  <c r="A121" i="19" s="1"/>
  <c r="A122" i="19" s="1"/>
  <c r="A123" i="19" s="1"/>
  <c r="A124" i="19" s="1"/>
  <c r="A125" i="19" s="1"/>
  <c r="A126" i="19" s="1"/>
  <c r="A127" i="19" s="1"/>
  <c r="S118" i="19"/>
  <c r="R118" i="19"/>
  <c r="P118" i="19"/>
  <c r="E118" i="19"/>
  <c r="D118" i="19"/>
  <c r="E117" i="19"/>
  <c r="D117" i="19"/>
  <c r="E116" i="19"/>
  <c r="D116" i="19"/>
  <c r="A116" i="19"/>
  <c r="A117" i="19" s="1"/>
  <c r="A118" i="19" s="1"/>
  <c r="P108" i="19"/>
  <c r="G108" i="19"/>
  <c r="F108" i="19"/>
  <c r="C108" i="19"/>
  <c r="B108" i="19"/>
  <c r="O107" i="19"/>
  <c r="N107" i="19"/>
  <c r="M107" i="19"/>
  <c r="L107" i="19"/>
  <c r="K107" i="19"/>
  <c r="J107" i="19"/>
  <c r="G107" i="19"/>
  <c r="F107" i="19"/>
  <c r="C107" i="19"/>
  <c r="B107" i="19"/>
  <c r="P106" i="19"/>
  <c r="E106" i="19"/>
  <c r="D106" i="19"/>
  <c r="P105" i="19"/>
  <c r="E105" i="19"/>
  <c r="D105" i="19"/>
  <c r="P104" i="19"/>
  <c r="E104" i="19"/>
  <c r="D104" i="19"/>
  <c r="S103" i="19"/>
  <c r="P103" i="19"/>
  <c r="E103" i="19"/>
  <c r="D103" i="19"/>
  <c r="P102" i="19"/>
  <c r="E102" i="19"/>
  <c r="D102" i="19"/>
  <c r="P101" i="19"/>
  <c r="E101" i="19"/>
  <c r="D101" i="19"/>
  <c r="P100" i="19"/>
  <c r="E100" i="19"/>
  <c r="D100" i="19"/>
  <c r="P99" i="19"/>
  <c r="E99" i="19"/>
  <c r="D99" i="19"/>
  <c r="P98" i="19"/>
  <c r="E98" i="19"/>
  <c r="D98" i="19"/>
  <c r="S97" i="19"/>
  <c r="R97" i="19"/>
  <c r="P97" i="19"/>
  <c r="E97" i="19"/>
  <c r="D97" i="19"/>
  <c r="A97" i="19"/>
  <c r="A98" i="19" s="1"/>
  <c r="A99" i="19" s="1"/>
  <c r="A100" i="19" s="1"/>
  <c r="A101" i="19" s="1"/>
  <c r="A102" i="19" s="1"/>
  <c r="A103" i="19" s="1"/>
  <c r="A104" i="19" s="1"/>
  <c r="A105" i="19" s="1"/>
  <c r="A106" i="19" s="1"/>
  <c r="E96" i="19"/>
  <c r="D96" i="19"/>
  <c r="A96" i="19"/>
  <c r="E95" i="19"/>
  <c r="D95" i="19"/>
  <c r="A95" i="19"/>
  <c r="P87" i="19"/>
  <c r="G87" i="19"/>
  <c r="F87" i="19"/>
  <c r="C87" i="19"/>
  <c r="B87" i="19"/>
  <c r="O86" i="19"/>
  <c r="N86" i="19"/>
  <c r="M86" i="19"/>
  <c r="L86" i="19"/>
  <c r="K86" i="19"/>
  <c r="J86" i="19"/>
  <c r="P86" i="19" s="1"/>
  <c r="G86" i="19"/>
  <c r="F86" i="19"/>
  <c r="C86" i="19"/>
  <c r="B86" i="19"/>
  <c r="P85" i="19"/>
  <c r="E85" i="19"/>
  <c r="D85" i="19"/>
  <c r="P84" i="19"/>
  <c r="E84" i="19"/>
  <c r="D84" i="19"/>
  <c r="P83" i="19"/>
  <c r="E83" i="19"/>
  <c r="D83" i="19"/>
  <c r="S82" i="19"/>
  <c r="P82" i="19"/>
  <c r="E82" i="19"/>
  <c r="D82" i="19"/>
  <c r="P81" i="19"/>
  <c r="E81" i="19"/>
  <c r="D81" i="19"/>
  <c r="P80" i="19"/>
  <c r="E80" i="19"/>
  <c r="D80" i="19"/>
  <c r="P79" i="19"/>
  <c r="E79" i="19"/>
  <c r="D79" i="19"/>
  <c r="P78" i="19"/>
  <c r="E78" i="19"/>
  <c r="D78" i="19"/>
  <c r="P77" i="19"/>
  <c r="E77" i="19"/>
  <c r="D77" i="19"/>
  <c r="S76" i="19"/>
  <c r="R76" i="19"/>
  <c r="P76" i="19"/>
  <c r="E76" i="19"/>
  <c r="D76" i="19"/>
  <c r="A76" i="19"/>
  <c r="A77" i="19" s="1"/>
  <c r="A78" i="19" s="1"/>
  <c r="A79" i="19" s="1"/>
  <c r="A80" i="19" s="1"/>
  <c r="A81" i="19" s="1"/>
  <c r="A82" i="19" s="1"/>
  <c r="A83" i="19" s="1"/>
  <c r="A84" i="19" s="1"/>
  <c r="A85" i="19" s="1"/>
  <c r="E75" i="19"/>
  <c r="D75" i="19"/>
  <c r="A75" i="19"/>
  <c r="E74" i="19"/>
  <c r="D74" i="19"/>
  <c r="A74" i="19"/>
  <c r="P66" i="19"/>
  <c r="G66" i="19"/>
  <c r="F66" i="19"/>
  <c r="C66" i="19"/>
  <c r="B66" i="19"/>
  <c r="O65" i="19"/>
  <c r="N65" i="19"/>
  <c r="M65" i="19"/>
  <c r="L65" i="19"/>
  <c r="K65" i="19"/>
  <c r="J65" i="19"/>
  <c r="G65" i="19"/>
  <c r="F65" i="19"/>
  <c r="C65" i="19"/>
  <c r="B65" i="19"/>
  <c r="P64" i="19"/>
  <c r="E64" i="19"/>
  <c r="D64" i="19"/>
  <c r="P63" i="19"/>
  <c r="E63" i="19"/>
  <c r="D63" i="19"/>
  <c r="P62" i="19"/>
  <c r="E62" i="19"/>
  <c r="D62" i="19"/>
  <c r="S61" i="19"/>
  <c r="P61" i="19"/>
  <c r="E61" i="19"/>
  <c r="D61" i="19"/>
  <c r="P60" i="19"/>
  <c r="E60" i="19"/>
  <c r="D60" i="19"/>
  <c r="P59" i="19"/>
  <c r="E59" i="19"/>
  <c r="D59" i="19"/>
  <c r="P58" i="19"/>
  <c r="E58" i="19"/>
  <c r="D58" i="19"/>
  <c r="P57" i="19"/>
  <c r="E57" i="19"/>
  <c r="D57" i="19"/>
  <c r="P56" i="19"/>
  <c r="E56" i="19"/>
  <c r="D56" i="19"/>
  <c r="S55" i="19"/>
  <c r="R55" i="19"/>
  <c r="P55" i="19"/>
  <c r="E55" i="19"/>
  <c r="D55" i="19"/>
  <c r="E54" i="19"/>
  <c r="D54" i="19"/>
  <c r="E53" i="19"/>
  <c r="D53" i="19"/>
  <c r="A53" i="19"/>
  <c r="A54" i="19" s="1"/>
  <c r="A55" i="19" s="1"/>
  <c r="A56" i="19" s="1"/>
  <c r="A57" i="19" s="1"/>
  <c r="A58" i="19" s="1"/>
  <c r="A59" i="19" s="1"/>
  <c r="A60" i="19" s="1"/>
  <c r="A61" i="19" s="1"/>
  <c r="A62" i="19" s="1"/>
  <c r="A63" i="19" s="1"/>
  <c r="A64" i="19" s="1"/>
  <c r="P43" i="19"/>
  <c r="G43" i="19"/>
  <c r="F43" i="19"/>
  <c r="C43" i="19"/>
  <c r="B43" i="19"/>
  <c r="O42" i="19"/>
  <c r="N42" i="19"/>
  <c r="M42" i="19"/>
  <c r="L42" i="19"/>
  <c r="K42" i="19"/>
  <c r="J42" i="19"/>
  <c r="G42" i="19"/>
  <c r="F42" i="19"/>
  <c r="C42" i="19"/>
  <c r="B42" i="19"/>
  <c r="P41" i="19"/>
  <c r="E41" i="19"/>
  <c r="D41" i="19"/>
  <c r="P40" i="19"/>
  <c r="E40" i="19"/>
  <c r="D40" i="19"/>
  <c r="P39" i="19"/>
  <c r="E39" i="19"/>
  <c r="D39" i="19"/>
  <c r="P38" i="19"/>
  <c r="E38" i="19"/>
  <c r="D38" i="19"/>
  <c r="P37" i="19"/>
  <c r="P42" i="19" s="1"/>
  <c r="E37" i="19"/>
  <c r="D37" i="19"/>
  <c r="S36" i="19"/>
  <c r="S10" i="19" s="1"/>
  <c r="P36" i="19"/>
  <c r="E36" i="19"/>
  <c r="D36" i="19"/>
  <c r="P35" i="19"/>
  <c r="E35" i="19"/>
  <c r="D35" i="19"/>
  <c r="P34" i="19"/>
  <c r="E34" i="19"/>
  <c r="D34" i="19"/>
  <c r="P33" i="19"/>
  <c r="E33" i="19"/>
  <c r="D33" i="19"/>
  <c r="P32" i="19"/>
  <c r="E32" i="19"/>
  <c r="D32" i="19"/>
  <c r="P31" i="19"/>
  <c r="E31" i="19"/>
  <c r="D31" i="19"/>
  <c r="A31" i="19"/>
  <c r="A32" i="19" s="1"/>
  <c r="A33" i="19" s="1"/>
  <c r="A34" i="19" s="1"/>
  <c r="A35" i="19" s="1"/>
  <c r="A36" i="19" s="1"/>
  <c r="A37" i="19" s="1"/>
  <c r="A38" i="19" s="1"/>
  <c r="A39" i="19" s="1"/>
  <c r="A40" i="19" s="1"/>
  <c r="A41" i="19" s="1"/>
  <c r="S30" i="19"/>
  <c r="R30" i="19"/>
  <c r="P30" i="19"/>
  <c r="E30" i="19"/>
  <c r="D30" i="19"/>
  <c r="L16" i="19"/>
  <c r="O15" i="19"/>
  <c r="N15" i="19"/>
  <c r="M15" i="19"/>
  <c r="L15" i="19"/>
  <c r="P15" i="19" s="1"/>
  <c r="K15" i="19"/>
  <c r="J15" i="19"/>
  <c r="G15" i="19"/>
  <c r="F15" i="19"/>
  <c r="C15" i="19"/>
  <c r="B15" i="19"/>
  <c r="O14" i="19"/>
  <c r="N14" i="19"/>
  <c r="M14" i="19"/>
  <c r="L14" i="19"/>
  <c r="K14" i="19"/>
  <c r="J14" i="19"/>
  <c r="G14" i="19"/>
  <c r="F14" i="19"/>
  <c r="C14" i="19"/>
  <c r="B14" i="19"/>
  <c r="A14" i="19"/>
  <c r="A15" i="19" s="1"/>
  <c r="O13" i="19"/>
  <c r="N13" i="19"/>
  <c r="M13" i="19"/>
  <c r="L13" i="19"/>
  <c r="P13" i="19" s="1"/>
  <c r="K13" i="19"/>
  <c r="J13" i="19"/>
  <c r="G13" i="19"/>
  <c r="F13" i="19"/>
  <c r="C13" i="19"/>
  <c r="B13" i="19"/>
  <c r="O12" i="19"/>
  <c r="O16" i="19" s="1"/>
  <c r="N12" i="19"/>
  <c r="M12" i="19"/>
  <c r="L12" i="19"/>
  <c r="K12" i="19"/>
  <c r="J12" i="19"/>
  <c r="G12" i="19"/>
  <c r="F12" i="19"/>
  <c r="C12" i="19"/>
  <c r="B12" i="19"/>
  <c r="O11" i="19"/>
  <c r="N11" i="19"/>
  <c r="M11" i="19"/>
  <c r="L11" i="19"/>
  <c r="P11" i="19" s="1"/>
  <c r="K11" i="19"/>
  <c r="J11" i="19"/>
  <c r="G11" i="19"/>
  <c r="F11" i="19"/>
  <c r="C11" i="19"/>
  <c r="B11" i="19"/>
  <c r="O10" i="19"/>
  <c r="N10" i="19"/>
  <c r="M10" i="19"/>
  <c r="L10" i="19"/>
  <c r="P10" i="19" s="1"/>
  <c r="K10" i="19"/>
  <c r="J10" i="19"/>
  <c r="G10" i="19"/>
  <c r="F10" i="19"/>
  <c r="C10" i="19"/>
  <c r="B10" i="19"/>
  <c r="O9" i="19"/>
  <c r="N9" i="19"/>
  <c r="M9" i="19"/>
  <c r="L9" i="19"/>
  <c r="K9" i="19"/>
  <c r="J9" i="19"/>
  <c r="G9" i="19"/>
  <c r="F9" i="19"/>
  <c r="C9" i="19"/>
  <c r="B9" i="19"/>
  <c r="O8" i="19"/>
  <c r="N8" i="19"/>
  <c r="M8" i="19"/>
  <c r="L8" i="19"/>
  <c r="P8" i="19" s="1"/>
  <c r="K8" i="19"/>
  <c r="J8" i="19"/>
  <c r="G8" i="19"/>
  <c r="F8" i="19"/>
  <c r="C8" i="19"/>
  <c r="B8" i="19"/>
  <c r="A8" i="19"/>
  <c r="A9" i="19" s="1"/>
  <c r="A10" i="19" s="1"/>
  <c r="A11" i="19" s="1"/>
  <c r="A12" i="19" s="1"/>
  <c r="A13" i="19" s="1"/>
  <c r="O7" i="19"/>
  <c r="N7" i="19"/>
  <c r="M7" i="19"/>
  <c r="L7" i="19"/>
  <c r="K7" i="19"/>
  <c r="J7" i="19"/>
  <c r="G7" i="19"/>
  <c r="F7" i="19"/>
  <c r="C7" i="19"/>
  <c r="B7" i="19"/>
  <c r="O6" i="19"/>
  <c r="N6" i="19"/>
  <c r="M6" i="19"/>
  <c r="L6" i="19"/>
  <c r="P6" i="19" s="1"/>
  <c r="K6" i="19"/>
  <c r="K16" i="19" s="1"/>
  <c r="J6" i="19"/>
  <c r="G6" i="19"/>
  <c r="F6" i="19"/>
  <c r="C6" i="19"/>
  <c r="B6" i="19"/>
  <c r="O5" i="19"/>
  <c r="N5" i="19"/>
  <c r="M5" i="19"/>
  <c r="L5" i="19"/>
  <c r="K5" i="19"/>
  <c r="J5" i="19"/>
  <c r="G5" i="19"/>
  <c r="F5" i="19"/>
  <c r="C5" i="19"/>
  <c r="B5" i="19"/>
  <c r="S4" i="19"/>
  <c r="O4" i="19"/>
  <c r="N4" i="19"/>
  <c r="N16" i="19" s="1"/>
  <c r="M4" i="19"/>
  <c r="L4" i="19"/>
  <c r="P4" i="19" s="1"/>
  <c r="K4" i="19"/>
  <c r="J4" i="19"/>
  <c r="J16" i="19" s="1"/>
  <c r="G4" i="19"/>
  <c r="F4" i="19"/>
  <c r="C4" i="19"/>
  <c r="B4" i="19"/>
  <c r="A4" i="19"/>
  <c r="A5" i="19" s="1"/>
  <c r="A6" i="19" s="1"/>
  <c r="A7" i="19" s="1"/>
  <c r="I264" i="17"/>
  <c r="I263" i="17"/>
  <c r="H260" i="17"/>
  <c r="G255" i="17"/>
  <c r="J248" i="17"/>
  <c r="J249" i="17" s="1"/>
  <c r="I229" i="17"/>
  <c r="I227" i="17"/>
  <c r="K215" i="17"/>
  <c r="J215" i="17"/>
  <c r="J214" i="17" s="1"/>
  <c r="I215" i="17"/>
  <c r="I214" i="17" s="1"/>
  <c r="H215" i="17"/>
  <c r="G215" i="17"/>
  <c r="K214" i="17"/>
  <c r="H214" i="17"/>
  <c r="G214" i="17"/>
  <c r="K208" i="17"/>
  <c r="J208" i="17"/>
  <c r="I208" i="17"/>
  <c r="H208" i="17"/>
  <c r="G208" i="17"/>
  <c r="K203" i="17"/>
  <c r="J203" i="17"/>
  <c r="I203" i="17"/>
  <c r="H203" i="17"/>
  <c r="G203" i="17"/>
  <c r="K197" i="17"/>
  <c r="J197" i="17"/>
  <c r="J196" i="17" s="1"/>
  <c r="J221" i="17" s="1"/>
  <c r="I197" i="17"/>
  <c r="I196" i="17" s="1"/>
  <c r="H197" i="17"/>
  <c r="G197" i="17"/>
  <c r="K196" i="17"/>
  <c r="K221" i="17" s="1"/>
  <c r="H196" i="17"/>
  <c r="G196" i="17"/>
  <c r="K193" i="17"/>
  <c r="K189" i="17"/>
  <c r="J189" i="17"/>
  <c r="I189" i="17"/>
  <c r="H189" i="17"/>
  <c r="G189" i="17"/>
  <c r="K183" i="17"/>
  <c r="K182" i="17" s="1"/>
  <c r="J183" i="17"/>
  <c r="I183" i="17"/>
  <c r="H183" i="17"/>
  <c r="G183" i="17"/>
  <c r="G182" i="17" s="1"/>
  <c r="I182" i="17"/>
  <c r="H182" i="17"/>
  <c r="K177" i="17"/>
  <c r="J177" i="17"/>
  <c r="I177" i="17"/>
  <c r="H177" i="17"/>
  <c r="G177" i="17"/>
  <c r="K168" i="17"/>
  <c r="K167" i="17" s="1"/>
  <c r="J168" i="17"/>
  <c r="I168" i="17"/>
  <c r="H168" i="17"/>
  <c r="G168" i="17"/>
  <c r="G167" i="17" s="1"/>
  <c r="G193" i="17" s="1"/>
  <c r="J167" i="17"/>
  <c r="I167" i="17"/>
  <c r="I193" i="17" s="1"/>
  <c r="H167" i="17"/>
  <c r="H193" i="17" s="1"/>
  <c r="H162" i="17"/>
  <c r="K158" i="17"/>
  <c r="J158" i="17"/>
  <c r="I158" i="17"/>
  <c r="H158" i="17"/>
  <c r="G158" i="17"/>
  <c r="K152" i="17"/>
  <c r="J152" i="17"/>
  <c r="J162" i="17" s="1"/>
  <c r="I152" i="17"/>
  <c r="H152" i="17"/>
  <c r="H264" i="17" s="1"/>
  <c r="G152" i="17"/>
  <c r="K144" i="17"/>
  <c r="J144" i="17"/>
  <c r="I144" i="17"/>
  <c r="H144" i="17"/>
  <c r="G144" i="17"/>
  <c r="G141" i="17"/>
  <c r="K137" i="17"/>
  <c r="J137" i="17"/>
  <c r="I137" i="17"/>
  <c r="H137" i="17"/>
  <c r="H141" i="17" s="1"/>
  <c r="H261" i="17" s="1"/>
  <c r="G137" i="17"/>
  <c r="K134" i="17"/>
  <c r="J134" i="17"/>
  <c r="I134" i="17"/>
  <c r="H134" i="17"/>
  <c r="G134" i="17"/>
  <c r="K125" i="17"/>
  <c r="J125" i="17"/>
  <c r="I125" i="17"/>
  <c r="H125" i="17"/>
  <c r="G125" i="17"/>
  <c r="K121" i="17"/>
  <c r="K119" i="17"/>
  <c r="G119" i="17"/>
  <c r="K113" i="17"/>
  <c r="J113" i="17"/>
  <c r="I113" i="17"/>
  <c r="H113" i="17"/>
  <c r="H119" i="17" s="1"/>
  <c r="G113" i="17"/>
  <c r="K107" i="17"/>
  <c r="J107" i="17"/>
  <c r="J119" i="17" s="1"/>
  <c r="J121" i="17" s="1"/>
  <c r="I107" i="17"/>
  <c r="I119" i="17" s="1"/>
  <c r="H107" i="17"/>
  <c r="G107" i="17"/>
  <c r="I103" i="17"/>
  <c r="K96" i="17"/>
  <c r="J96" i="17"/>
  <c r="I96" i="17"/>
  <c r="H96" i="17"/>
  <c r="G96" i="17"/>
  <c r="K91" i="17"/>
  <c r="J91" i="17"/>
  <c r="I91" i="17"/>
  <c r="H91" i="17"/>
  <c r="K86" i="17"/>
  <c r="J86" i="17"/>
  <c r="I86" i="17"/>
  <c r="H86" i="17"/>
  <c r="G86" i="17"/>
  <c r="J73" i="17"/>
  <c r="I73" i="17"/>
  <c r="H73" i="17"/>
  <c r="G73" i="17"/>
  <c r="K67" i="17"/>
  <c r="J67" i="17"/>
  <c r="I67" i="17"/>
  <c r="H67" i="17"/>
  <c r="G67" i="17"/>
  <c r="K61" i="17"/>
  <c r="J61" i="17"/>
  <c r="I61" i="17"/>
  <c r="H61" i="17"/>
  <c r="G61" i="17"/>
  <c r="K58" i="17"/>
  <c r="J58" i="17"/>
  <c r="I58" i="17"/>
  <c r="H58" i="17"/>
  <c r="G58" i="17"/>
  <c r="K52" i="17"/>
  <c r="J52" i="17"/>
  <c r="I52" i="17"/>
  <c r="H52" i="17"/>
  <c r="G52" i="17"/>
  <c r="K49" i="17"/>
  <c r="J49" i="17"/>
  <c r="I49" i="17"/>
  <c r="H49" i="17"/>
  <c r="G49" i="17"/>
  <c r="K45" i="17"/>
  <c r="J45" i="17"/>
  <c r="I45" i="17"/>
  <c r="H45" i="17"/>
  <c r="G45" i="17"/>
  <c r="K38" i="17"/>
  <c r="J38" i="17"/>
  <c r="J43" i="17" s="1"/>
  <c r="J55" i="17" s="1"/>
  <c r="I38" i="17"/>
  <c r="H38" i="17"/>
  <c r="G38" i="17"/>
  <c r="K34" i="17"/>
  <c r="I34" i="17"/>
  <c r="H34" i="17"/>
  <c r="G34" i="17"/>
  <c r="K31" i="17"/>
  <c r="J31" i="17"/>
  <c r="I31" i="17"/>
  <c r="H31" i="17"/>
  <c r="G31" i="17"/>
  <c r="K27" i="17"/>
  <c r="J27" i="17"/>
  <c r="I27" i="17"/>
  <c r="H27" i="17"/>
  <c r="G27" i="17"/>
  <c r="J26" i="17"/>
  <c r="I26" i="17"/>
  <c r="H26" i="17"/>
  <c r="G23" i="17"/>
  <c r="K16" i="17"/>
  <c r="J16" i="17"/>
  <c r="I16" i="17"/>
  <c r="H16" i="17"/>
  <c r="H11" i="17" s="1"/>
  <c r="H23" i="17" s="1"/>
  <c r="G16" i="17"/>
  <c r="K12" i="17"/>
  <c r="K11" i="17" s="1"/>
  <c r="K23" i="17" s="1"/>
  <c r="J12" i="17"/>
  <c r="I12" i="17"/>
  <c r="H12" i="17"/>
  <c r="G12" i="17"/>
  <c r="G11" i="17" s="1"/>
  <c r="J11" i="17"/>
  <c r="J23" i="17" s="1"/>
  <c r="I11" i="17"/>
  <c r="I23" i="17" s="1"/>
  <c r="J6" i="17"/>
  <c r="H6" i="17"/>
  <c r="K260" i="16"/>
  <c r="I250" i="16"/>
  <c r="I251" i="16" s="1"/>
  <c r="I227" i="16"/>
  <c r="J221" i="16"/>
  <c r="K215" i="16"/>
  <c r="J215" i="16"/>
  <c r="J214" i="16" s="1"/>
  <c r="I215" i="16"/>
  <c r="H215" i="16"/>
  <c r="G215" i="16"/>
  <c r="K214" i="16"/>
  <c r="I214" i="16"/>
  <c r="H214" i="16"/>
  <c r="G214" i="16"/>
  <c r="K208" i="16"/>
  <c r="J208" i="16"/>
  <c r="I208" i="16"/>
  <c r="H208" i="16"/>
  <c r="G208" i="16"/>
  <c r="K203" i="16"/>
  <c r="J203" i="16"/>
  <c r="I203" i="16"/>
  <c r="H203" i="16"/>
  <c r="G203" i="16"/>
  <c r="K197" i="16"/>
  <c r="J197" i="16"/>
  <c r="J196" i="16" s="1"/>
  <c r="I197" i="16"/>
  <c r="H197" i="16"/>
  <c r="G197" i="16"/>
  <c r="K196" i="16"/>
  <c r="I196" i="16"/>
  <c r="H196" i="16"/>
  <c r="H221" i="16" s="1"/>
  <c r="G196" i="16"/>
  <c r="H193" i="16"/>
  <c r="K189" i="16"/>
  <c r="J189" i="16"/>
  <c r="I189" i="16"/>
  <c r="H189" i="16"/>
  <c r="G189" i="16"/>
  <c r="K183" i="16"/>
  <c r="J183" i="16"/>
  <c r="J182" i="16" s="1"/>
  <c r="I183" i="16"/>
  <c r="H183" i="16"/>
  <c r="G183" i="16"/>
  <c r="K182" i="16"/>
  <c r="I182" i="16"/>
  <c r="I193" i="16" s="1"/>
  <c r="H182" i="16"/>
  <c r="G182" i="16"/>
  <c r="K177" i="16"/>
  <c r="J177" i="16"/>
  <c r="I177" i="16"/>
  <c r="H177" i="16"/>
  <c r="G177" i="16"/>
  <c r="K168" i="16"/>
  <c r="K167" i="16" s="1"/>
  <c r="K193" i="16" s="1"/>
  <c r="J168" i="16"/>
  <c r="I168" i="16"/>
  <c r="I167" i="16" s="1"/>
  <c r="H168" i="16"/>
  <c r="G168" i="16"/>
  <c r="G167" i="16" s="1"/>
  <c r="G193" i="16" s="1"/>
  <c r="J167" i="16"/>
  <c r="J193" i="16" s="1"/>
  <c r="H167" i="16"/>
  <c r="K158" i="16"/>
  <c r="J158" i="16"/>
  <c r="I158" i="16"/>
  <c r="H158" i="16"/>
  <c r="G158" i="16"/>
  <c r="K152" i="16"/>
  <c r="J152" i="16"/>
  <c r="J264" i="16" s="1"/>
  <c r="I152" i="16"/>
  <c r="H152" i="16"/>
  <c r="H162" i="16" s="1"/>
  <c r="G152" i="16"/>
  <c r="K144" i="16"/>
  <c r="J144" i="16"/>
  <c r="J260" i="16" s="1"/>
  <c r="I144" i="16"/>
  <c r="H144" i="16"/>
  <c r="G144" i="16"/>
  <c r="I141" i="16"/>
  <c r="K137" i="16"/>
  <c r="J137" i="16"/>
  <c r="I137" i="16"/>
  <c r="H137" i="16"/>
  <c r="G137" i="16"/>
  <c r="K134" i="16"/>
  <c r="K141" i="16" s="1"/>
  <c r="J134" i="16"/>
  <c r="J141" i="16" s="1"/>
  <c r="I134" i="16"/>
  <c r="H134" i="16"/>
  <c r="G134" i="16"/>
  <c r="K125" i="16"/>
  <c r="J125" i="16"/>
  <c r="I125" i="16"/>
  <c r="H125" i="16"/>
  <c r="G125" i="16"/>
  <c r="K119" i="16"/>
  <c r="G119" i="16"/>
  <c r="K113" i="16"/>
  <c r="J113" i="16"/>
  <c r="J119" i="16" s="1"/>
  <c r="I113" i="16"/>
  <c r="H113" i="16"/>
  <c r="G113" i="16"/>
  <c r="K107" i="16"/>
  <c r="J107" i="16"/>
  <c r="I107" i="16"/>
  <c r="I119" i="16" s="1"/>
  <c r="H107" i="16"/>
  <c r="G107" i="16"/>
  <c r="I103" i="16"/>
  <c r="H103" i="16"/>
  <c r="K96" i="16"/>
  <c r="J96" i="16"/>
  <c r="I96" i="16"/>
  <c r="H96" i="16"/>
  <c r="G96" i="16"/>
  <c r="K91" i="16"/>
  <c r="J91" i="16"/>
  <c r="I91" i="16"/>
  <c r="H91" i="16"/>
  <c r="K86" i="16"/>
  <c r="J86" i="16"/>
  <c r="I86" i="16"/>
  <c r="H86" i="16"/>
  <c r="G86" i="16"/>
  <c r="K73" i="16"/>
  <c r="J73" i="16"/>
  <c r="I73" i="16"/>
  <c r="H73" i="16"/>
  <c r="G73" i="16"/>
  <c r="K67" i="16"/>
  <c r="J67" i="16"/>
  <c r="I67" i="16"/>
  <c r="H67" i="16"/>
  <c r="G67" i="16"/>
  <c r="K61" i="16"/>
  <c r="J61" i="16"/>
  <c r="I61" i="16"/>
  <c r="H61" i="16"/>
  <c r="G61" i="16"/>
  <c r="K58" i="16"/>
  <c r="J58" i="16"/>
  <c r="I58" i="16"/>
  <c r="H58" i="16"/>
  <c r="G58" i="16"/>
  <c r="K52" i="16"/>
  <c r="J52" i="16"/>
  <c r="I52" i="16"/>
  <c r="H52" i="16"/>
  <c r="G52" i="16"/>
  <c r="K49" i="16"/>
  <c r="J49" i="16"/>
  <c r="I49" i="16"/>
  <c r="H49" i="16"/>
  <c r="G49" i="16"/>
  <c r="K45" i="16"/>
  <c r="J45" i="16"/>
  <c r="I45" i="16"/>
  <c r="H45" i="16"/>
  <c r="G45" i="16"/>
  <c r="K38" i="16"/>
  <c r="J38" i="16"/>
  <c r="I38" i="16"/>
  <c r="H38" i="16"/>
  <c r="G38" i="16"/>
  <c r="K34" i="16"/>
  <c r="J34" i="16"/>
  <c r="I34" i="16"/>
  <c r="H34" i="16"/>
  <c r="G34" i="16"/>
  <c r="K31" i="16"/>
  <c r="J31" i="16"/>
  <c r="I31" i="16"/>
  <c r="H31" i="16"/>
  <c r="H26" i="16" s="1"/>
  <c r="G31" i="16"/>
  <c r="K27" i="16"/>
  <c r="J27" i="16"/>
  <c r="I27" i="16"/>
  <c r="H27" i="16"/>
  <c r="G27" i="16"/>
  <c r="J26" i="16"/>
  <c r="I26" i="16"/>
  <c r="I23" i="16"/>
  <c r="K16" i="16"/>
  <c r="J16" i="16"/>
  <c r="J11" i="16" s="1"/>
  <c r="J23" i="16" s="1"/>
  <c r="I16" i="16"/>
  <c r="H16" i="16"/>
  <c r="G16" i="16"/>
  <c r="K12" i="16"/>
  <c r="K11" i="16" s="1"/>
  <c r="K23" i="16" s="1"/>
  <c r="J12" i="16"/>
  <c r="I12" i="16"/>
  <c r="H12" i="16"/>
  <c r="G12" i="16"/>
  <c r="G11" i="16" s="1"/>
  <c r="G23" i="16" s="1"/>
  <c r="I11" i="16"/>
  <c r="H11" i="16"/>
  <c r="H23" i="16" s="1"/>
  <c r="K6" i="16"/>
  <c r="J6" i="16"/>
  <c r="H6" i="16"/>
  <c r="G6" i="16" s="1"/>
  <c r="G103" i="16" s="1"/>
  <c r="J264" i="15"/>
  <c r="I264" i="15"/>
  <c r="G260" i="15"/>
  <c r="I227" i="15"/>
  <c r="H227" i="15"/>
  <c r="K215" i="15"/>
  <c r="K214" i="15" s="1"/>
  <c r="J215" i="15"/>
  <c r="J214" i="15" s="1"/>
  <c r="I215" i="15"/>
  <c r="H215" i="15"/>
  <c r="G215" i="15"/>
  <c r="I214" i="15"/>
  <c r="I221" i="15" s="1"/>
  <c r="H214" i="15"/>
  <c r="G214" i="15"/>
  <c r="K208" i="15"/>
  <c r="J208" i="15"/>
  <c r="I208" i="15"/>
  <c r="H208" i="15"/>
  <c r="G208" i="15"/>
  <c r="K203" i="15"/>
  <c r="J203" i="15"/>
  <c r="I203" i="15"/>
  <c r="H203" i="15"/>
  <c r="G203" i="15"/>
  <c r="K197" i="15"/>
  <c r="K196" i="15" s="1"/>
  <c r="J197" i="15"/>
  <c r="J196" i="15" s="1"/>
  <c r="I197" i="15"/>
  <c r="H197" i="15"/>
  <c r="H196" i="15" s="1"/>
  <c r="H221" i="15" s="1"/>
  <c r="G197" i="15"/>
  <c r="G196" i="15" s="1"/>
  <c r="I196" i="15"/>
  <c r="K189" i="15"/>
  <c r="J189" i="15"/>
  <c r="I189" i="15"/>
  <c r="H189" i="15"/>
  <c r="G189" i="15"/>
  <c r="K183" i="15"/>
  <c r="K182" i="15" s="1"/>
  <c r="J183" i="15"/>
  <c r="J182" i="15" s="1"/>
  <c r="I183" i="15"/>
  <c r="H183" i="15"/>
  <c r="G183" i="15"/>
  <c r="I182" i="15"/>
  <c r="H182" i="15"/>
  <c r="H193" i="15" s="1"/>
  <c r="H222" i="15" s="1"/>
  <c r="G182" i="15"/>
  <c r="K177" i="15"/>
  <c r="J177" i="15"/>
  <c r="I177" i="15"/>
  <c r="H177" i="15"/>
  <c r="G177" i="15"/>
  <c r="K168" i="15"/>
  <c r="J168" i="15"/>
  <c r="J167" i="15" s="1"/>
  <c r="J193" i="15" s="1"/>
  <c r="I168" i="15"/>
  <c r="I167" i="15" s="1"/>
  <c r="H168" i="15"/>
  <c r="G168" i="15"/>
  <c r="G167" i="15" s="1"/>
  <c r="G193" i="15" s="1"/>
  <c r="K167" i="15"/>
  <c r="K193" i="15" s="1"/>
  <c r="H167" i="15"/>
  <c r="K158" i="15"/>
  <c r="J158" i="15"/>
  <c r="J162" i="15" s="1"/>
  <c r="I158" i="15"/>
  <c r="H158" i="15"/>
  <c r="G158" i="15"/>
  <c r="K152" i="15"/>
  <c r="J152" i="15"/>
  <c r="J260" i="15" s="1"/>
  <c r="I152" i="15"/>
  <c r="H152" i="15"/>
  <c r="G152" i="15"/>
  <c r="K144" i="15"/>
  <c r="J144" i="15"/>
  <c r="I144" i="15"/>
  <c r="I162" i="15" s="1"/>
  <c r="H144" i="15"/>
  <c r="G144" i="15"/>
  <c r="H141" i="15"/>
  <c r="K137" i="15"/>
  <c r="J137" i="15"/>
  <c r="I137" i="15"/>
  <c r="I141" i="15" s="1"/>
  <c r="I261" i="15" s="1"/>
  <c r="H137" i="15"/>
  <c r="G137" i="15"/>
  <c r="K134" i="15"/>
  <c r="J134" i="15"/>
  <c r="J141" i="15" s="1"/>
  <c r="I134" i="15"/>
  <c r="H134" i="15"/>
  <c r="G134" i="15"/>
  <c r="K125" i="15"/>
  <c r="J125" i="15"/>
  <c r="I125" i="15"/>
  <c r="H125" i="15"/>
  <c r="G125" i="15"/>
  <c r="J119" i="15"/>
  <c r="I119" i="15"/>
  <c r="K113" i="15"/>
  <c r="J113" i="15"/>
  <c r="I113" i="15"/>
  <c r="H113" i="15"/>
  <c r="G113" i="15"/>
  <c r="K107" i="15"/>
  <c r="K119" i="15" s="1"/>
  <c r="J107" i="15"/>
  <c r="I107" i="15"/>
  <c r="H107" i="15"/>
  <c r="H119" i="15" s="1"/>
  <c r="G107" i="15"/>
  <c r="G119" i="15" s="1"/>
  <c r="I103" i="15"/>
  <c r="K96" i="15"/>
  <c r="J96" i="15"/>
  <c r="I96" i="15"/>
  <c r="H96" i="15"/>
  <c r="G96" i="15"/>
  <c r="K91" i="15"/>
  <c r="J91" i="15"/>
  <c r="I91" i="15"/>
  <c r="H91" i="15"/>
  <c r="K86" i="15"/>
  <c r="J86" i="15"/>
  <c r="I86" i="15"/>
  <c r="H86" i="15"/>
  <c r="G86" i="15"/>
  <c r="K73" i="15"/>
  <c r="J73" i="15"/>
  <c r="I73" i="15"/>
  <c r="H73" i="15"/>
  <c r="G73" i="15"/>
  <c r="K67" i="15"/>
  <c r="J67" i="15"/>
  <c r="I67" i="15"/>
  <c r="H67" i="15"/>
  <c r="G67" i="15"/>
  <c r="K61" i="15"/>
  <c r="J61" i="15"/>
  <c r="I61" i="15"/>
  <c r="H61" i="15"/>
  <c r="G61" i="15"/>
  <c r="K58" i="15"/>
  <c r="J58" i="15"/>
  <c r="I58" i="15"/>
  <c r="H58" i="15"/>
  <c r="G58" i="15"/>
  <c r="K52" i="15"/>
  <c r="J52" i="15"/>
  <c r="I52" i="15"/>
  <c r="H52" i="15"/>
  <c r="G52" i="15"/>
  <c r="K49" i="15"/>
  <c r="J49" i="15"/>
  <c r="I49" i="15"/>
  <c r="H49" i="15"/>
  <c r="G49" i="15"/>
  <c r="K45" i="15"/>
  <c r="J45" i="15"/>
  <c r="I45" i="15"/>
  <c r="H45" i="15"/>
  <c r="G45" i="15"/>
  <c r="K38" i="15"/>
  <c r="J38" i="15"/>
  <c r="I38" i="15"/>
  <c r="H38" i="15"/>
  <c r="G38" i="15"/>
  <c r="K34" i="15"/>
  <c r="J34" i="15"/>
  <c r="I34" i="15"/>
  <c r="H34" i="15"/>
  <c r="G34" i="15"/>
  <c r="K31" i="15"/>
  <c r="J31" i="15"/>
  <c r="I31" i="15"/>
  <c r="H31" i="15"/>
  <c r="G31" i="15"/>
  <c r="K27" i="15"/>
  <c r="J27" i="15"/>
  <c r="I27" i="15"/>
  <c r="I26" i="15" s="1"/>
  <c r="H27" i="15"/>
  <c r="H26" i="15" s="1"/>
  <c r="G27" i="15"/>
  <c r="I23" i="15"/>
  <c r="K16" i="15"/>
  <c r="J16" i="15"/>
  <c r="I16" i="15"/>
  <c r="H16" i="15"/>
  <c r="H11" i="15" s="1"/>
  <c r="H23" i="15" s="1"/>
  <c r="H255" i="15" s="1"/>
  <c r="G16" i="15"/>
  <c r="K12" i="15"/>
  <c r="J12" i="15"/>
  <c r="I12" i="15"/>
  <c r="H12" i="15"/>
  <c r="G12" i="15"/>
  <c r="J11" i="15"/>
  <c r="J23" i="15" s="1"/>
  <c r="I11" i="15"/>
  <c r="J6" i="15"/>
  <c r="H6" i="15"/>
  <c r="G6" i="15" s="1"/>
  <c r="I227" i="14"/>
  <c r="H227" i="14"/>
  <c r="I220" i="14"/>
  <c r="H220" i="14"/>
  <c r="G220" i="14"/>
  <c r="I219" i="14"/>
  <c r="I214" i="14" s="1"/>
  <c r="H219" i="14"/>
  <c r="G219" i="14"/>
  <c r="K215" i="14"/>
  <c r="J215" i="14"/>
  <c r="J214" i="14" s="1"/>
  <c r="I215" i="14"/>
  <c r="H215" i="14"/>
  <c r="H214" i="14" s="1"/>
  <c r="G215" i="14"/>
  <c r="K214" i="14"/>
  <c r="G214" i="14"/>
  <c r="I213" i="14"/>
  <c r="I213" i="12" s="1"/>
  <c r="H213" i="14"/>
  <c r="G213" i="14"/>
  <c r="I210" i="14"/>
  <c r="K208" i="14"/>
  <c r="J208" i="14"/>
  <c r="H208" i="14"/>
  <c r="G208" i="14"/>
  <c r="K203" i="14"/>
  <c r="J203" i="14"/>
  <c r="I203" i="14"/>
  <c r="H203" i="14"/>
  <c r="G203" i="14"/>
  <c r="G221" i="14" s="1"/>
  <c r="K197" i="14"/>
  <c r="J197" i="14"/>
  <c r="I197" i="14"/>
  <c r="I196" i="14" s="1"/>
  <c r="H197" i="14"/>
  <c r="H196" i="14" s="1"/>
  <c r="G197" i="14"/>
  <c r="K196" i="14"/>
  <c r="J196" i="14"/>
  <c r="J221" i="14" s="1"/>
  <c r="G196" i="14"/>
  <c r="H193" i="14"/>
  <c r="K189" i="14"/>
  <c r="J189" i="14"/>
  <c r="I189" i="14"/>
  <c r="H189" i="14"/>
  <c r="G189" i="14"/>
  <c r="I187" i="14"/>
  <c r="H187" i="14"/>
  <c r="H182" i="14" s="1"/>
  <c r="G187" i="14"/>
  <c r="K183" i="14"/>
  <c r="K182" i="14" s="1"/>
  <c r="J183" i="14"/>
  <c r="I183" i="14"/>
  <c r="H183" i="14"/>
  <c r="G183" i="14"/>
  <c r="J182" i="14"/>
  <c r="I182" i="14"/>
  <c r="G182" i="14"/>
  <c r="K177" i="14"/>
  <c r="J177" i="14"/>
  <c r="I177" i="14"/>
  <c r="H177" i="14"/>
  <c r="G177" i="14"/>
  <c r="I171" i="14"/>
  <c r="I171" i="12" s="1"/>
  <c r="H171" i="14"/>
  <c r="G171" i="14"/>
  <c r="I170" i="14"/>
  <c r="I168" i="14" s="1"/>
  <c r="I167" i="14" s="1"/>
  <c r="I193" i="14" s="1"/>
  <c r="H170" i="14"/>
  <c r="H168" i="14" s="1"/>
  <c r="H167" i="14" s="1"/>
  <c r="G170" i="14"/>
  <c r="K168" i="14"/>
  <c r="J168" i="14"/>
  <c r="G168" i="14"/>
  <c r="K167" i="14"/>
  <c r="K193" i="14" s="1"/>
  <c r="J167" i="14"/>
  <c r="J193" i="14" s="1"/>
  <c r="J222" i="14" s="1"/>
  <c r="G167" i="14"/>
  <c r="G193" i="14" s="1"/>
  <c r="I161" i="14"/>
  <c r="I158" i="14" s="1"/>
  <c r="H161" i="14"/>
  <c r="G161" i="14"/>
  <c r="G158" i="14" s="1"/>
  <c r="H159" i="14"/>
  <c r="G159" i="14"/>
  <c r="K158" i="14"/>
  <c r="J158" i="14"/>
  <c r="I157" i="14"/>
  <c r="I157" i="12" s="1"/>
  <c r="F27" i="18" s="1"/>
  <c r="H157" i="14"/>
  <c r="G157" i="14"/>
  <c r="K152" i="14"/>
  <c r="J152" i="14"/>
  <c r="J162" i="14" s="1"/>
  <c r="I152" i="14"/>
  <c r="H152" i="14"/>
  <c r="G152" i="14"/>
  <c r="I146" i="14"/>
  <c r="H146" i="14"/>
  <c r="G146" i="14"/>
  <c r="H145" i="14"/>
  <c r="H145" i="12" s="1"/>
  <c r="K144" i="14"/>
  <c r="J144" i="14"/>
  <c r="H144" i="14"/>
  <c r="G144" i="14"/>
  <c r="H141" i="14"/>
  <c r="K137" i="14"/>
  <c r="J137" i="14"/>
  <c r="I137" i="14"/>
  <c r="H137" i="14"/>
  <c r="G137" i="14"/>
  <c r="K134" i="14"/>
  <c r="J134" i="14"/>
  <c r="I134" i="14"/>
  <c r="H134" i="14"/>
  <c r="G134" i="14"/>
  <c r="I126" i="14"/>
  <c r="H126" i="14"/>
  <c r="G126" i="14"/>
  <c r="K125" i="14"/>
  <c r="J125" i="14"/>
  <c r="H125" i="14"/>
  <c r="G125" i="14"/>
  <c r="K121" i="14"/>
  <c r="H121" i="14"/>
  <c r="H119" i="14"/>
  <c r="H263" i="14" s="1"/>
  <c r="K113" i="14"/>
  <c r="J113" i="14"/>
  <c r="I113" i="14"/>
  <c r="I119" i="14" s="1"/>
  <c r="H113" i="14"/>
  <c r="G113" i="14"/>
  <c r="K107" i="14"/>
  <c r="K119" i="14" s="1"/>
  <c r="J107" i="14"/>
  <c r="J119" i="14" s="1"/>
  <c r="I107" i="14"/>
  <c r="H107" i="14"/>
  <c r="G107" i="14"/>
  <c r="G119" i="14" s="1"/>
  <c r="G263" i="14" s="1"/>
  <c r="I103" i="14"/>
  <c r="H103" i="14"/>
  <c r="G103" i="14"/>
  <c r="K96" i="14"/>
  <c r="J96" i="14"/>
  <c r="I96" i="14"/>
  <c r="H96" i="14"/>
  <c r="G96" i="14"/>
  <c r="K91" i="14"/>
  <c r="J91" i="14"/>
  <c r="I91" i="14"/>
  <c r="H91" i="14"/>
  <c r="K86" i="14"/>
  <c r="J86" i="14"/>
  <c r="I86" i="14"/>
  <c r="H86" i="14"/>
  <c r="G86" i="14"/>
  <c r="K73" i="14"/>
  <c r="J73" i="14"/>
  <c r="I73" i="14"/>
  <c r="H73" i="14"/>
  <c r="G73" i="14"/>
  <c r="K67" i="14"/>
  <c r="J67" i="14"/>
  <c r="I67" i="14"/>
  <c r="H67" i="14"/>
  <c r="G67" i="14"/>
  <c r="K61" i="14"/>
  <c r="J61" i="14"/>
  <c r="I61" i="14"/>
  <c r="H61" i="14"/>
  <c r="G61" i="14"/>
  <c r="K58" i="14"/>
  <c r="J58" i="14"/>
  <c r="I58" i="14"/>
  <c r="H58" i="14"/>
  <c r="G58" i="14"/>
  <c r="K52" i="14"/>
  <c r="J52" i="14"/>
  <c r="I52" i="14"/>
  <c r="H52" i="14"/>
  <c r="G52" i="14"/>
  <c r="K49" i="14"/>
  <c r="J49" i="14"/>
  <c r="I49" i="14"/>
  <c r="H49" i="14"/>
  <c r="G49" i="14"/>
  <c r="I48" i="14"/>
  <c r="H48" i="14"/>
  <c r="G48" i="14"/>
  <c r="G48" i="12" s="1"/>
  <c r="I46" i="14"/>
  <c r="H46" i="14"/>
  <c r="G46" i="14"/>
  <c r="K45" i="14"/>
  <c r="J45" i="14"/>
  <c r="I45" i="14"/>
  <c r="H45" i="14"/>
  <c r="G45" i="14"/>
  <c r="I40" i="14"/>
  <c r="H40" i="14"/>
  <c r="H38" i="14" s="1"/>
  <c r="G40" i="14"/>
  <c r="G38" i="14" s="1"/>
  <c r="K38" i="14"/>
  <c r="J38" i="14"/>
  <c r="I38" i="14"/>
  <c r="K34" i="14"/>
  <c r="J34" i="14"/>
  <c r="I34" i="14"/>
  <c r="H34" i="14"/>
  <c r="G34" i="14"/>
  <c r="K31" i="14"/>
  <c r="J31" i="14"/>
  <c r="I31" i="14"/>
  <c r="H31" i="14"/>
  <c r="G31" i="14"/>
  <c r="I29" i="14"/>
  <c r="H29" i="14"/>
  <c r="G29" i="14"/>
  <c r="K27" i="14"/>
  <c r="J27" i="14"/>
  <c r="J26" i="14" s="1"/>
  <c r="H27" i="14"/>
  <c r="G27" i="14"/>
  <c r="G26" i="14" s="1"/>
  <c r="K26" i="14"/>
  <c r="H26" i="14"/>
  <c r="I23" i="14"/>
  <c r="K16" i="14"/>
  <c r="J16" i="14"/>
  <c r="I16" i="14"/>
  <c r="I11" i="14" s="1"/>
  <c r="H16" i="14"/>
  <c r="G16" i="14"/>
  <c r="I15" i="14"/>
  <c r="H15" i="14"/>
  <c r="H15" i="12" s="1"/>
  <c r="G15" i="14"/>
  <c r="I14" i="14"/>
  <c r="H14" i="14"/>
  <c r="H14" i="12" s="1"/>
  <c r="G14" i="14"/>
  <c r="G12" i="14" s="1"/>
  <c r="G11" i="14" s="1"/>
  <c r="G23" i="14" s="1"/>
  <c r="K12" i="14"/>
  <c r="J12" i="14"/>
  <c r="I12" i="14"/>
  <c r="H12" i="14"/>
  <c r="H11" i="14" s="1"/>
  <c r="H23" i="14" s="1"/>
  <c r="K11" i="14"/>
  <c r="K23" i="14" s="1"/>
  <c r="J11" i="14"/>
  <c r="J23" i="14" s="1"/>
  <c r="J255" i="14" s="1"/>
  <c r="K6" i="14"/>
  <c r="J6" i="14"/>
  <c r="H6" i="14"/>
  <c r="G6" i="14"/>
  <c r="G227" i="14" s="1"/>
  <c r="F27" i="13"/>
  <c r="D23" i="13"/>
  <c r="E16" i="13"/>
  <c r="D3" i="13"/>
  <c r="D26" i="13" s="1"/>
  <c r="K220" i="12"/>
  <c r="J220" i="12"/>
  <c r="I220" i="12"/>
  <c r="G24" i="18" s="1"/>
  <c r="H220" i="12"/>
  <c r="F24" i="18" s="1"/>
  <c r="G220" i="12"/>
  <c r="K219" i="12"/>
  <c r="J219" i="12"/>
  <c r="H22" i="18" s="1"/>
  <c r="I219" i="12"/>
  <c r="G22" i="18" s="1"/>
  <c r="H219" i="12"/>
  <c r="G219" i="12"/>
  <c r="K218" i="12"/>
  <c r="J218" i="12"/>
  <c r="I218" i="12"/>
  <c r="H218" i="12"/>
  <c r="G218" i="12"/>
  <c r="K217" i="12"/>
  <c r="J217" i="12"/>
  <c r="I217" i="12"/>
  <c r="H217" i="12"/>
  <c r="G217" i="12"/>
  <c r="K216" i="12"/>
  <c r="J216" i="12"/>
  <c r="I216" i="12"/>
  <c r="H216" i="12"/>
  <c r="G216" i="12"/>
  <c r="J215" i="12"/>
  <c r="I215" i="12"/>
  <c r="H215" i="12"/>
  <c r="J214" i="12"/>
  <c r="I214" i="12"/>
  <c r="K213" i="12"/>
  <c r="H88" i="18" s="1"/>
  <c r="J213" i="12"/>
  <c r="H213" i="12"/>
  <c r="E23" i="13" s="1"/>
  <c r="F23" i="13" s="1"/>
  <c r="G23" i="13" s="1"/>
  <c r="G213" i="12"/>
  <c r="E87" i="18" s="1"/>
  <c r="K212" i="12"/>
  <c r="J212" i="12"/>
  <c r="I212" i="12"/>
  <c r="H212" i="12"/>
  <c r="H208" i="12" s="1"/>
  <c r="G212" i="12"/>
  <c r="K211" i="12"/>
  <c r="J211" i="12"/>
  <c r="I211" i="12"/>
  <c r="H211" i="12"/>
  <c r="G211" i="12"/>
  <c r="K210" i="12"/>
  <c r="J210" i="12"/>
  <c r="H210" i="12"/>
  <c r="G210" i="12"/>
  <c r="K209" i="12"/>
  <c r="K208" i="12" s="1"/>
  <c r="J209" i="12"/>
  <c r="I209" i="12"/>
  <c r="H209" i="12"/>
  <c r="G209" i="12"/>
  <c r="G208" i="12"/>
  <c r="K207" i="12"/>
  <c r="J207" i="12"/>
  <c r="I207" i="12"/>
  <c r="H207" i="12"/>
  <c r="G207" i="12"/>
  <c r="K206" i="12"/>
  <c r="J206" i="12"/>
  <c r="I206" i="12"/>
  <c r="H206" i="12"/>
  <c r="G206" i="12"/>
  <c r="K205" i="12"/>
  <c r="J205" i="12"/>
  <c r="J203" i="12" s="1"/>
  <c r="I205" i="12"/>
  <c r="H205" i="12"/>
  <c r="H203" i="12" s="1"/>
  <c r="G205" i="12"/>
  <c r="K204" i="12"/>
  <c r="J204" i="12"/>
  <c r="I204" i="12"/>
  <c r="I203" i="12" s="1"/>
  <c r="H204" i="12"/>
  <c r="G204" i="12"/>
  <c r="K202" i="12"/>
  <c r="J202" i="12"/>
  <c r="I202" i="12"/>
  <c r="G53" i="18" s="1"/>
  <c r="H202" i="12"/>
  <c r="G202" i="12"/>
  <c r="E53" i="18" s="1"/>
  <c r="K201" i="12"/>
  <c r="J201" i="12"/>
  <c r="H52" i="18" s="1"/>
  <c r="I201" i="12"/>
  <c r="H201" i="12"/>
  <c r="F52" i="18" s="1"/>
  <c r="G201" i="12"/>
  <c r="K200" i="12"/>
  <c r="J200" i="12"/>
  <c r="I200" i="12"/>
  <c r="G51" i="18" s="1"/>
  <c r="H200" i="12"/>
  <c r="G200" i="12"/>
  <c r="K199" i="12"/>
  <c r="J199" i="12"/>
  <c r="I199" i="12"/>
  <c r="H199" i="12"/>
  <c r="H197" i="12" s="1"/>
  <c r="G199" i="12"/>
  <c r="K198" i="12"/>
  <c r="K197" i="12" s="1"/>
  <c r="J198" i="12"/>
  <c r="I198" i="12"/>
  <c r="I197" i="12" s="1"/>
  <c r="G50" i="18" s="1"/>
  <c r="H198" i="12"/>
  <c r="G198" i="12"/>
  <c r="J197" i="12"/>
  <c r="G197" i="12"/>
  <c r="K192" i="12"/>
  <c r="J192" i="12"/>
  <c r="I192" i="12"/>
  <c r="I189" i="12" s="1"/>
  <c r="H192" i="12"/>
  <c r="G192" i="12"/>
  <c r="K191" i="12"/>
  <c r="J191" i="12"/>
  <c r="J189" i="12" s="1"/>
  <c r="I191" i="12"/>
  <c r="H191" i="12"/>
  <c r="H189" i="12" s="1"/>
  <c r="F23" i="18" s="1"/>
  <c r="G191" i="12"/>
  <c r="K190" i="12"/>
  <c r="K189" i="12" s="1"/>
  <c r="J190" i="12"/>
  <c r="I190" i="12"/>
  <c r="H190" i="12"/>
  <c r="G190" i="12"/>
  <c r="G189" i="12" s="1"/>
  <c r="K188" i="12"/>
  <c r="J188" i="12"/>
  <c r="I188" i="12"/>
  <c r="H188" i="12"/>
  <c r="G188" i="12"/>
  <c r="E35" i="18" s="1"/>
  <c r="K187" i="12"/>
  <c r="J187" i="12"/>
  <c r="H19" i="18" s="1"/>
  <c r="I187" i="12"/>
  <c r="H187" i="12"/>
  <c r="F19" i="18" s="1"/>
  <c r="G187" i="12"/>
  <c r="K186" i="12"/>
  <c r="J186" i="12"/>
  <c r="I186" i="12"/>
  <c r="H186" i="12"/>
  <c r="G186" i="12"/>
  <c r="K185" i="12"/>
  <c r="J185" i="12"/>
  <c r="J183" i="12" s="1"/>
  <c r="I185" i="12"/>
  <c r="H185" i="12"/>
  <c r="H183" i="12" s="1"/>
  <c r="G185" i="12"/>
  <c r="K184" i="12"/>
  <c r="K183" i="12" s="1"/>
  <c r="K182" i="12" s="1"/>
  <c r="J184" i="12"/>
  <c r="I184" i="12"/>
  <c r="H184" i="12"/>
  <c r="G184" i="12"/>
  <c r="G183" i="12" s="1"/>
  <c r="K181" i="12"/>
  <c r="J181" i="12"/>
  <c r="G48" i="18" s="1"/>
  <c r="I181" i="12"/>
  <c r="H181" i="12"/>
  <c r="E48" i="18" s="1"/>
  <c r="G181" i="12"/>
  <c r="K180" i="12"/>
  <c r="H47" i="18" s="1"/>
  <c r="J180" i="12"/>
  <c r="I180" i="12"/>
  <c r="H180" i="12"/>
  <c r="G180" i="12"/>
  <c r="K179" i="12"/>
  <c r="J179" i="12"/>
  <c r="I179" i="12"/>
  <c r="H179" i="12"/>
  <c r="E46" i="18" s="1"/>
  <c r="G179" i="12"/>
  <c r="K178" i="12"/>
  <c r="J178" i="12"/>
  <c r="I178" i="12"/>
  <c r="F45" i="18" s="1"/>
  <c r="H178" i="12"/>
  <c r="G178" i="12"/>
  <c r="G177" i="12" s="1"/>
  <c r="K176" i="12"/>
  <c r="H43" i="18" s="1"/>
  <c r="J176" i="12"/>
  <c r="I176" i="12"/>
  <c r="F43" i="18" s="1"/>
  <c r="H176" i="12"/>
  <c r="G176" i="12"/>
  <c r="K175" i="12"/>
  <c r="J175" i="12"/>
  <c r="G42" i="18" s="1"/>
  <c r="I175" i="12"/>
  <c r="H175" i="12"/>
  <c r="E42" i="18" s="1"/>
  <c r="G175" i="12"/>
  <c r="K174" i="12"/>
  <c r="J174" i="12"/>
  <c r="I174" i="12"/>
  <c r="H174" i="12"/>
  <c r="G174" i="12"/>
  <c r="K173" i="12"/>
  <c r="J173" i="12"/>
  <c r="H41" i="18" s="1"/>
  <c r="I173" i="12"/>
  <c r="H173" i="12"/>
  <c r="G173" i="12"/>
  <c r="K172" i="12"/>
  <c r="K167" i="12" s="1"/>
  <c r="J172" i="12"/>
  <c r="I172" i="12"/>
  <c r="H172" i="12"/>
  <c r="G172" i="12"/>
  <c r="K171" i="12"/>
  <c r="J171" i="12"/>
  <c r="H171" i="12"/>
  <c r="G171" i="12"/>
  <c r="G168" i="12" s="1"/>
  <c r="K170" i="12"/>
  <c r="J170" i="12"/>
  <c r="I170" i="12"/>
  <c r="H170" i="12"/>
  <c r="G170" i="12"/>
  <c r="K169" i="12"/>
  <c r="J169" i="12"/>
  <c r="I169" i="12"/>
  <c r="I168" i="12" s="1"/>
  <c r="H169" i="12"/>
  <c r="G169" i="12"/>
  <c r="K168" i="12"/>
  <c r="J168" i="12"/>
  <c r="H40" i="18" s="1"/>
  <c r="J167" i="12"/>
  <c r="K161" i="12"/>
  <c r="J161" i="12"/>
  <c r="I161" i="12"/>
  <c r="I158" i="12" s="1"/>
  <c r="G161" i="12"/>
  <c r="K160" i="12"/>
  <c r="J160" i="12"/>
  <c r="I160" i="12"/>
  <c r="H160" i="12"/>
  <c r="G160" i="12"/>
  <c r="K159" i="12"/>
  <c r="J159" i="12"/>
  <c r="I159" i="12"/>
  <c r="H159" i="12"/>
  <c r="G159" i="12"/>
  <c r="J158" i="12"/>
  <c r="G29" i="18" s="1"/>
  <c r="K157" i="12"/>
  <c r="J157" i="12"/>
  <c r="G27" i="18" s="1"/>
  <c r="H157" i="12"/>
  <c r="G157" i="12"/>
  <c r="K156" i="12"/>
  <c r="J156" i="12"/>
  <c r="I156" i="12"/>
  <c r="H156" i="12"/>
  <c r="G156" i="12"/>
  <c r="G152" i="12" s="1"/>
  <c r="K155" i="12"/>
  <c r="J155" i="12"/>
  <c r="I155" i="12"/>
  <c r="H155" i="12"/>
  <c r="H152" i="12" s="1"/>
  <c r="G155" i="12"/>
  <c r="K154" i="12"/>
  <c r="J154" i="12"/>
  <c r="I154" i="12"/>
  <c r="H154" i="12"/>
  <c r="G154" i="12"/>
  <c r="K153" i="12"/>
  <c r="J153" i="12"/>
  <c r="J152" i="12" s="1"/>
  <c r="I153" i="12"/>
  <c r="H153" i="12"/>
  <c r="G153" i="12"/>
  <c r="K152" i="12"/>
  <c r="H25" i="18" s="1"/>
  <c r="K151" i="12"/>
  <c r="H72" i="18" s="1"/>
  <c r="J151" i="12"/>
  <c r="I151" i="12"/>
  <c r="F72" i="18" s="1"/>
  <c r="H151" i="12"/>
  <c r="G151" i="12"/>
  <c r="K150" i="12"/>
  <c r="J150" i="12"/>
  <c r="G74" i="18" s="1"/>
  <c r="I150" i="12"/>
  <c r="H150" i="12"/>
  <c r="E74" i="18" s="1"/>
  <c r="G150" i="12"/>
  <c r="K149" i="12"/>
  <c r="H73" i="18" s="1"/>
  <c r="J149" i="12"/>
  <c r="I149" i="12"/>
  <c r="F73" i="18" s="1"/>
  <c r="H149" i="12"/>
  <c r="G149" i="12"/>
  <c r="K148" i="12"/>
  <c r="J148" i="12"/>
  <c r="G70" i="18" s="1"/>
  <c r="I148" i="12"/>
  <c r="H148" i="12"/>
  <c r="E70" i="18" s="1"/>
  <c r="G148" i="12"/>
  <c r="K147" i="12"/>
  <c r="J147" i="12"/>
  <c r="I147" i="12"/>
  <c r="F71" i="18" s="1"/>
  <c r="H147" i="12"/>
  <c r="G147" i="12"/>
  <c r="G144" i="12" s="1"/>
  <c r="K146" i="12"/>
  <c r="J146" i="12"/>
  <c r="H146" i="12"/>
  <c r="E69" i="18" s="1"/>
  <c r="G146" i="12"/>
  <c r="K145" i="12"/>
  <c r="H68" i="18" s="1"/>
  <c r="J145" i="12"/>
  <c r="I145" i="12"/>
  <c r="G145" i="12"/>
  <c r="K140" i="12"/>
  <c r="J140" i="12"/>
  <c r="I140" i="12"/>
  <c r="F28" i="18" s="1"/>
  <c r="H140" i="12"/>
  <c r="E28" i="18" s="1"/>
  <c r="G140" i="12"/>
  <c r="K139" i="12"/>
  <c r="J139" i="12"/>
  <c r="I139" i="12"/>
  <c r="H139" i="12"/>
  <c r="G139" i="12"/>
  <c r="K138" i="12"/>
  <c r="K137" i="12" s="1"/>
  <c r="J138" i="12"/>
  <c r="I138" i="12"/>
  <c r="H138" i="12"/>
  <c r="G138" i="12"/>
  <c r="G137" i="12" s="1"/>
  <c r="I137" i="12"/>
  <c r="H137" i="12"/>
  <c r="K136" i="12"/>
  <c r="J136" i="12"/>
  <c r="I136" i="12"/>
  <c r="H136" i="12"/>
  <c r="H134" i="12" s="1"/>
  <c r="E26" i="18" s="1"/>
  <c r="G136" i="12"/>
  <c r="K135" i="12"/>
  <c r="K134" i="12" s="1"/>
  <c r="J135" i="12"/>
  <c r="I135" i="12"/>
  <c r="I134" i="12" s="1"/>
  <c r="F26" i="18" s="1"/>
  <c r="H135" i="12"/>
  <c r="G135" i="12"/>
  <c r="J134" i="12"/>
  <c r="G26" i="18" s="1"/>
  <c r="G134" i="12"/>
  <c r="K133" i="12"/>
  <c r="J133" i="12"/>
  <c r="I133" i="12"/>
  <c r="H133" i="12"/>
  <c r="G133" i="12"/>
  <c r="K132" i="12"/>
  <c r="J132" i="12"/>
  <c r="I132" i="12"/>
  <c r="F66" i="18" s="1"/>
  <c r="H132" i="12"/>
  <c r="E66" i="18" s="1"/>
  <c r="G132" i="12"/>
  <c r="K131" i="12"/>
  <c r="J131" i="12"/>
  <c r="G65" i="18" s="1"/>
  <c r="I131" i="12"/>
  <c r="F65" i="18" s="1"/>
  <c r="H131" i="12"/>
  <c r="G131" i="12"/>
  <c r="K130" i="12"/>
  <c r="H64" i="18" s="1"/>
  <c r="J130" i="12"/>
  <c r="G64" i="18" s="1"/>
  <c r="I130" i="12"/>
  <c r="H130" i="12"/>
  <c r="G130" i="12"/>
  <c r="K129" i="12"/>
  <c r="H63" i="18" s="1"/>
  <c r="J129" i="12"/>
  <c r="I129" i="12"/>
  <c r="H129" i="12"/>
  <c r="E63" i="18" s="1"/>
  <c r="G129" i="12"/>
  <c r="G125" i="12" s="1"/>
  <c r="K128" i="12"/>
  <c r="J128" i="12"/>
  <c r="I128" i="12"/>
  <c r="F62" i="18" s="1"/>
  <c r="H128" i="12"/>
  <c r="E62" i="18" s="1"/>
  <c r="G128" i="12"/>
  <c r="K127" i="12"/>
  <c r="J127" i="12"/>
  <c r="G61" i="18" s="1"/>
  <c r="I127" i="12"/>
  <c r="F61" i="18" s="1"/>
  <c r="H127" i="12"/>
  <c r="G127" i="12"/>
  <c r="K126" i="12"/>
  <c r="H60" i="18" s="1"/>
  <c r="J126" i="12"/>
  <c r="H126" i="12"/>
  <c r="E60" i="18" s="1"/>
  <c r="G126" i="12"/>
  <c r="K125" i="12"/>
  <c r="H125" i="12"/>
  <c r="H141" i="12" s="1"/>
  <c r="K118" i="12"/>
  <c r="J118" i="12"/>
  <c r="I118" i="12"/>
  <c r="H118" i="12"/>
  <c r="G118" i="12"/>
  <c r="K117" i="12"/>
  <c r="J117" i="12"/>
  <c r="I117" i="12"/>
  <c r="H117" i="12"/>
  <c r="G117" i="12"/>
  <c r="K116" i="12"/>
  <c r="J116" i="12"/>
  <c r="I116" i="12"/>
  <c r="H116" i="12"/>
  <c r="G116" i="12"/>
  <c r="K115" i="12"/>
  <c r="K113" i="12" s="1"/>
  <c r="J115" i="12"/>
  <c r="I115" i="12"/>
  <c r="H115" i="12"/>
  <c r="G115" i="12"/>
  <c r="G113" i="12" s="1"/>
  <c r="G119" i="12" s="1"/>
  <c r="K114" i="12"/>
  <c r="J114" i="12"/>
  <c r="I114" i="12"/>
  <c r="H114" i="12"/>
  <c r="H113" i="12" s="1"/>
  <c r="G114" i="12"/>
  <c r="K112" i="12"/>
  <c r="J112" i="12"/>
  <c r="I112" i="12"/>
  <c r="H112" i="12"/>
  <c r="G112" i="12"/>
  <c r="K111" i="12"/>
  <c r="J111" i="12"/>
  <c r="I111" i="12"/>
  <c r="H111" i="12"/>
  <c r="G111" i="12"/>
  <c r="K110" i="12"/>
  <c r="K107" i="12" s="1"/>
  <c r="J110" i="12"/>
  <c r="I110" i="12"/>
  <c r="H110" i="12"/>
  <c r="G110" i="12"/>
  <c r="G107" i="12" s="1"/>
  <c r="K109" i="12"/>
  <c r="J109" i="12"/>
  <c r="I109" i="12"/>
  <c r="H109" i="12"/>
  <c r="G109" i="12"/>
  <c r="K108" i="12"/>
  <c r="J108" i="12"/>
  <c r="I108" i="12"/>
  <c r="I107" i="12" s="1"/>
  <c r="H108" i="12"/>
  <c r="G108" i="12"/>
  <c r="J107" i="12"/>
  <c r="K98" i="12"/>
  <c r="J98" i="12"/>
  <c r="I98" i="12"/>
  <c r="I96" i="12" s="1"/>
  <c r="H98" i="12"/>
  <c r="G98" i="12"/>
  <c r="G96" i="12" s="1"/>
  <c r="K97" i="12"/>
  <c r="J97" i="12"/>
  <c r="J96" i="12" s="1"/>
  <c r="I97" i="12"/>
  <c r="H97" i="12"/>
  <c r="G97" i="12"/>
  <c r="K96" i="12"/>
  <c r="H96" i="12"/>
  <c r="K94" i="12"/>
  <c r="J94" i="12"/>
  <c r="I94" i="12"/>
  <c r="H94" i="12"/>
  <c r="G94" i="12"/>
  <c r="K88" i="12"/>
  <c r="J88" i="12"/>
  <c r="I88" i="12"/>
  <c r="H88" i="12"/>
  <c r="G88" i="12"/>
  <c r="K87" i="12"/>
  <c r="H34" i="18" s="1"/>
  <c r="J87" i="12"/>
  <c r="J86" i="12" s="1"/>
  <c r="I87" i="12"/>
  <c r="H87" i="12"/>
  <c r="E34" i="18" s="1"/>
  <c r="G87" i="12"/>
  <c r="K86" i="12"/>
  <c r="H86" i="12"/>
  <c r="E10" i="13" s="1"/>
  <c r="G86" i="12"/>
  <c r="K83" i="12"/>
  <c r="H33" i="18" s="1"/>
  <c r="J83" i="12"/>
  <c r="G33" i="18" s="1"/>
  <c r="I83" i="12"/>
  <c r="F33" i="18" s="1"/>
  <c r="H83" i="12"/>
  <c r="E33" i="18" s="1"/>
  <c r="G83" i="12"/>
  <c r="K80" i="12"/>
  <c r="J80" i="12"/>
  <c r="G32" i="18" s="1"/>
  <c r="I80" i="12"/>
  <c r="H80" i="12"/>
  <c r="E32" i="18" s="1"/>
  <c r="G80" i="12"/>
  <c r="K79" i="12"/>
  <c r="J79" i="12"/>
  <c r="I79" i="12"/>
  <c r="H79" i="12"/>
  <c r="G79" i="12"/>
  <c r="K78" i="12"/>
  <c r="H12" i="18" s="1"/>
  <c r="J78" i="12"/>
  <c r="G12" i="18" s="1"/>
  <c r="I78" i="12"/>
  <c r="F12" i="18" s="1"/>
  <c r="H78" i="12"/>
  <c r="E12" i="18" s="1"/>
  <c r="G78" i="12"/>
  <c r="K77" i="12"/>
  <c r="H11" i="18" s="1"/>
  <c r="J77" i="12"/>
  <c r="G11" i="18" s="1"/>
  <c r="I77" i="12"/>
  <c r="F11" i="18" s="1"/>
  <c r="H77" i="12"/>
  <c r="E11" i="18" s="1"/>
  <c r="G77" i="12"/>
  <c r="K76" i="12"/>
  <c r="H10" i="18" s="1"/>
  <c r="J76" i="12"/>
  <c r="G10" i="18" s="1"/>
  <c r="I76" i="12"/>
  <c r="F10" i="18" s="1"/>
  <c r="H76" i="12"/>
  <c r="E10" i="18" s="1"/>
  <c r="G76" i="12"/>
  <c r="K75" i="12"/>
  <c r="J75" i="12"/>
  <c r="G55" i="18" s="1"/>
  <c r="I75" i="12"/>
  <c r="F55" i="18" s="1"/>
  <c r="H75" i="12"/>
  <c r="E55" i="18" s="1"/>
  <c r="G75" i="12"/>
  <c r="G73" i="12" s="1"/>
  <c r="K74" i="12"/>
  <c r="H54" i="18" s="1"/>
  <c r="J74" i="12"/>
  <c r="G54" i="18" s="1"/>
  <c r="I74" i="12"/>
  <c r="F54" i="18" s="1"/>
  <c r="H74" i="12"/>
  <c r="G74" i="12"/>
  <c r="K72" i="12"/>
  <c r="H83" i="18" s="1"/>
  <c r="J72" i="12"/>
  <c r="G83" i="18" s="1"/>
  <c r="I72" i="12"/>
  <c r="F83" i="18" s="1"/>
  <c r="H72" i="12"/>
  <c r="E83" i="18" s="1"/>
  <c r="G72" i="12"/>
  <c r="K71" i="12"/>
  <c r="H82" i="18" s="1"/>
  <c r="J71" i="12"/>
  <c r="G82" i="18" s="1"/>
  <c r="I71" i="12"/>
  <c r="F82" i="18" s="1"/>
  <c r="H71" i="12"/>
  <c r="E82" i="18" s="1"/>
  <c r="G71" i="12"/>
  <c r="K70" i="12"/>
  <c r="H81" i="18" s="1"/>
  <c r="J70" i="12"/>
  <c r="G81" i="18" s="1"/>
  <c r="I70" i="12"/>
  <c r="F81" i="18" s="1"/>
  <c r="H70" i="12"/>
  <c r="E81" i="18" s="1"/>
  <c r="G70" i="12"/>
  <c r="K69" i="12"/>
  <c r="H80" i="18" s="1"/>
  <c r="J69" i="12"/>
  <c r="G80" i="18" s="1"/>
  <c r="I69" i="12"/>
  <c r="F80" i="18" s="1"/>
  <c r="H69" i="12"/>
  <c r="E80" i="18" s="1"/>
  <c r="G69" i="12"/>
  <c r="K68" i="12"/>
  <c r="H79" i="18" s="1"/>
  <c r="H78" i="18" s="1"/>
  <c r="J68" i="12"/>
  <c r="I68" i="12"/>
  <c r="F79" i="18" s="1"/>
  <c r="H68" i="12"/>
  <c r="E79" i="18" s="1"/>
  <c r="G68" i="12"/>
  <c r="I67" i="12"/>
  <c r="G67" i="12"/>
  <c r="K64" i="12"/>
  <c r="J64" i="12"/>
  <c r="I64" i="12"/>
  <c r="H64" i="12"/>
  <c r="G64" i="12"/>
  <c r="K63" i="12"/>
  <c r="J63" i="12"/>
  <c r="J61" i="12" s="1"/>
  <c r="G9" i="18" s="1"/>
  <c r="I63" i="12"/>
  <c r="H63" i="12"/>
  <c r="H61" i="12" s="1"/>
  <c r="E9" i="18" s="1"/>
  <c r="G63" i="12"/>
  <c r="K62" i="12"/>
  <c r="K61" i="12" s="1"/>
  <c r="H9" i="18" s="1"/>
  <c r="J62" i="12"/>
  <c r="I62" i="12"/>
  <c r="H62" i="12"/>
  <c r="G62" i="12"/>
  <c r="G61" i="12" s="1"/>
  <c r="I61" i="12"/>
  <c r="F9" i="18" s="1"/>
  <c r="K60" i="12"/>
  <c r="K58" i="12" s="1"/>
  <c r="J60" i="12"/>
  <c r="I60" i="12"/>
  <c r="I58" i="12" s="1"/>
  <c r="H60" i="12"/>
  <c r="G60" i="12"/>
  <c r="G58" i="12" s="1"/>
  <c r="K59" i="12"/>
  <c r="J59" i="12"/>
  <c r="J58" i="12" s="1"/>
  <c r="I59" i="12"/>
  <c r="H59" i="12"/>
  <c r="H58" i="12" s="1"/>
  <c r="G59" i="12"/>
  <c r="K57" i="12"/>
  <c r="H8" i="18" s="1"/>
  <c r="J57" i="12"/>
  <c r="I57" i="12"/>
  <c r="H57" i="12"/>
  <c r="G57" i="12"/>
  <c r="K54" i="12"/>
  <c r="J54" i="12"/>
  <c r="J52" i="12" s="1"/>
  <c r="I54" i="12"/>
  <c r="H54" i="12"/>
  <c r="H52" i="12" s="1"/>
  <c r="G54" i="12"/>
  <c r="K53" i="12"/>
  <c r="K52" i="12" s="1"/>
  <c r="J53" i="12"/>
  <c r="I53" i="12"/>
  <c r="H53" i="12"/>
  <c r="G53" i="12"/>
  <c r="G52" i="12" s="1"/>
  <c r="I52" i="12"/>
  <c r="K51" i="12"/>
  <c r="K49" i="12" s="1"/>
  <c r="J51" i="12"/>
  <c r="I51" i="12"/>
  <c r="I49" i="12" s="1"/>
  <c r="H51" i="12"/>
  <c r="G51" i="12"/>
  <c r="G49" i="12" s="1"/>
  <c r="K50" i="12"/>
  <c r="J50" i="12"/>
  <c r="J49" i="12" s="1"/>
  <c r="I50" i="12"/>
  <c r="H50" i="12"/>
  <c r="H49" i="12" s="1"/>
  <c r="G50" i="12"/>
  <c r="K48" i="12"/>
  <c r="J48" i="12"/>
  <c r="I48" i="12"/>
  <c r="H48" i="12"/>
  <c r="K47" i="12"/>
  <c r="J47" i="12"/>
  <c r="I47" i="12"/>
  <c r="I45" i="12" s="1"/>
  <c r="H47" i="12"/>
  <c r="G47" i="12"/>
  <c r="G45" i="12" s="1"/>
  <c r="K46" i="12"/>
  <c r="J46" i="12"/>
  <c r="J45" i="12" s="1"/>
  <c r="I46" i="12"/>
  <c r="H46" i="12"/>
  <c r="G46" i="12"/>
  <c r="K45" i="12"/>
  <c r="H45" i="12"/>
  <c r="K42" i="12"/>
  <c r="J42" i="12"/>
  <c r="J38" i="12" s="1"/>
  <c r="I42" i="12"/>
  <c r="H42" i="12"/>
  <c r="G42" i="12"/>
  <c r="K41" i="12"/>
  <c r="K38" i="12" s="1"/>
  <c r="J41" i="12"/>
  <c r="I41" i="12"/>
  <c r="H41" i="12"/>
  <c r="G41" i="12"/>
  <c r="K40" i="12"/>
  <c r="J40" i="12"/>
  <c r="I40" i="12"/>
  <c r="H40" i="12"/>
  <c r="G40" i="12"/>
  <c r="K39" i="12"/>
  <c r="J39" i="12"/>
  <c r="I39" i="12"/>
  <c r="I38" i="12" s="1"/>
  <c r="H39" i="12"/>
  <c r="G39" i="12"/>
  <c r="G38" i="12"/>
  <c r="K37" i="12"/>
  <c r="J37" i="12"/>
  <c r="I37" i="12"/>
  <c r="H37" i="12"/>
  <c r="G37" i="12"/>
  <c r="K36" i="12"/>
  <c r="K34" i="12" s="1"/>
  <c r="J36" i="12"/>
  <c r="I36" i="12"/>
  <c r="I34" i="12" s="1"/>
  <c r="H36" i="12"/>
  <c r="G36" i="12"/>
  <c r="G34" i="12" s="1"/>
  <c r="K35" i="12"/>
  <c r="J35" i="12"/>
  <c r="I35" i="12"/>
  <c r="H35" i="12"/>
  <c r="G35" i="12"/>
  <c r="K33" i="12"/>
  <c r="J33" i="12"/>
  <c r="I33" i="12"/>
  <c r="H33" i="12"/>
  <c r="G33" i="12"/>
  <c r="K32" i="12"/>
  <c r="J32" i="12"/>
  <c r="I32" i="12"/>
  <c r="H32" i="12"/>
  <c r="G32" i="12"/>
  <c r="J31" i="12"/>
  <c r="I31" i="12"/>
  <c r="H31" i="12"/>
  <c r="K30" i="12"/>
  <c r="J30" i="12"/>
  <c r="J27" i="12" s="1"/>
  <c r="I30" i="12"/>
  <c r="H30" i="12"/>
  <c r="G30" i="12"/>
  <c r="K29" i="12"/>
  <c r="J29" i="12"/>
  <c r="H29" i="12"/>
  <c r="H27" i="12" s="1"/>
  <c r="G29" i="12"/>
  <c r="K28" i="12"/>
  <c r="J28" i="12"/>
  <c r="I28" i="12"/>
  <c r="H28" i="12"/>
  <c r="G28" i="12"/>
  <c r="K22" i="12"/>
  <c r="J22" i="12"/>
  <c r="I22" i="12"/>
  <c r="H22" i="12"/>
  <c r="G22" i="12"/>
  <c r="K21" i="12"/>
  <c r="J21" i="12"/>
  <c r="I21" i="12"/>
  <c r="H21" i="12"/>
  <c r="G21" i="12"/>
  <c r="K20" i="12"/>
  <c r="J20" i="12"/>
  <c r="I20" i="12"/>
  <c r="H20" i="12"/>
  <c r="G20" i="12"/>
  <c r="K19" i="12"/>
  <c r="J19" i="12"/>
  <c r="J16" i="12" s="1"/>
  <c r="I19" i="12"/>
  <c r="H19" i="12"/>
  <c r="H16" i="12" s="1"/>
  <c r="G19" i="12"/>
  <c r="K18" i="12"/>
  <c r="J18" i="12"/>
  <c r="I18" i="12"/>
  <c r="H18" i="12"/>
  <c r="K17" i="12"/>
  <c r="K16" i="12" s="1"/>
  <c r="J17" i="12"/>
  <c r="I17" i="12"/>
  <c r="I16" i="12" s="1"/>
  <c r="H17" i="12"/>
  <c r="G17" i="12"/>
  <c r="K15" i="12"/>
  <c r="J15" i="12"/>
  <c r="I15" i="12"/>
  <c r="I12" i="12" s="1"/>
  <c r="I11" i="12" s="1"/>
  <c r="I23" i="12" s="1"/>
  <c r="G15" i="12"/>
  <c r="K14" i="12"/>
  <c r="J14" i="12"/>
  <c r="I14" i="12"/>
  <c r="G14" i="12"/>
  <c r="K13" i="12"/>
  <c r="J13" i="12"/>
  <c r="J12" i="12" s="1"/>
  <c r="I13" i="12"/>
  <c r="H13" i="12"/>
  <c r="G13" i="12"/>
  <c r="K12" i="12"/>
  <c r="H12" i="12"/>
  <c r="H11" i="12" s="1"/>
  <c r="H23" i="12" s="1"/>
  <c r="G11" i="12"/>
  <c r="I6" i="12"/>
  <c r="H6" i="12"/>
  <c r="O5" i="12"/>
  <c r="O4" i="12"/>
  <c r="O3" i="12"/>
  <c r="L3" i="11"/>
  <c r="E31" i="4" s="1"/>
  <c r="L3" i="10"/>
  <c r="H139" i="9"/>
  <c r="H138" i="9"/>
  <c r="H137" i="9"/>
  <c r="H136" i="9"/>
  <c r="H135" i="9"/>
  <c r="H134" i="9"/>
  <c r="H133" i="9"/>
  <c r="H132" i="9"/>
  <c r="H131" i="9"/>
  <c r="H130" i="9"/>
  <c r="H129" i="9"/>
  <c r="H128" i="9"/>
  <c r="H127" i="9"/>
  <c r="H126" i="9"/>
  <c r="H125" i="9"/>
  <c r="H124" i="9"/>
  <c r="H123" i="9"/>
  <c r="H122" i="9"/>
  <c r="H121" i="9"/>
  <c r="H120" i="9"/>
  <c r="H119" i="9"/>
  <c r="H118" i="9"/>
  <c r="H117" i="9"/>
  <c r="H116" i="9"/>
  <c r="H115" i="9"/>
  <c r="AH114" i="9"/>
  <c r="AD114" i="9"/>
  <c r="AC114" i="9"/>
  <c r="AB114" i="9"/>
  <c r="AE114" i="9" s="1"/>
  <c r="AF114" i="9" s="1"/>
  <c r="AG114" i="9" s="1"/>
  <c r="AA114" i="9"/>
  <c r="H114" i="9"/>
  <c r="AH113" i="9"/>
  <c r="AG113" i="9"/>
  <c r="AD113" i="9"/>
  <c r="AC113" i="9"/>
  <c r="AB113" i="9"/>
  <c r="AE113" i="9" s="1"/>
  <c r="AF113" i="9" s="1"/>
  <c r="AA113" i="9"/>
  <c r="H113" i="9"/>
  <c r="AH112" i="9"/>
  <c r="AD112" i="9"/>
  <c r="AC112" i="9"/>
  <c r="AB112" i="9" s="1"/>
  <c r="AE112" i="9" s="1"/>
  <c r="AA112" i="9"/>
  <c r="AF112" i="9" s="1"/>
  <c r="AG112" i="9" s="1"/>
  <c r="H112" i="9"/>
  <c r="AH111" i="9"/>
  <c r="AE111" i="9"/>
  <c r="AD111" i="9"/>
  <c r="AC111" i="9"/>
  <c r="AB111" i="9"/>
  <c r="AA111" i="9"/>
  <c r="AF111" i="9" s="1"/>
  <c r="AG111" i="9" s="1"/>
  <c r="H111" i="9"/>
  <c r="AH110" i="9"/>
  <c r="AD110" i="9"/>
  <c r="AC110" i="9"/>
  <c r="AB110" i="9"/>
  <c r="AE110" i="9" s="1"/>
  <c r="AF110" i="9" s="1"/>
  <c r="AG110" i="9" s="1"/>
  <c r="AA110" i="9"/>
  <c r="H110" i="9"/>
  <c r="AH109" i="9"/>
  <c r="AD109" i="9"/>
  <c r="AC109" i="9"/>
  <c r="AB109" i="9"/>
  <c r="AE109" i="9" s="1"/>
  <c r="AF109" i="9" s="1"/>
  <c r="AG109" i="9" s="1"/>
  <c r="AA109" i="9"/>
  <c r="H109" i="9"/>
  <c r="AH108" i="9"/>
  <c r="AD108" i="9"/>
  <c r="AC108" i="9"/>
  <c r="AB108" i="9" s="1"/>
  <c r="AE108" i="9" s="1"/>
  <c r="AA108" i="9"/>
  <c r="H108" i="9"/>
  <c r="AH107" i="9"/>
  <c r="AE107" i="9"/>
  <c r="AD107" i="9"/>
  <c r="AC107" i="9"/>
  <c r="AB107" i="9"/>
  <c r="AA107" i="9"/>
  <c r="AF107" i="9" s="1"/>
  <c r="AG107" i="9" s="1"/>
  <c r="H107" i="9"/>
  <c r="AH106" i="9"/>
  <c r="AD106" i="9"/>
  <c r="AC106" i="9"/>
  <c r="AB106" i="9"/>
  <c r="AE106" i="9" s="1"/>
  <c r="AF106" i="9" s="1"/>
  <c r="AG106" i="9" s="1"/>
  <c r="AA106" i="9"/>
  <c r="H106" i="9"/>
  <c r="AH105" i="9"/>
  <c r="AG105" i="9"/>
  <c r="AD105" i="9"/>
  <c r="AC105" i="9"/>
  <c r="AB105" i="9"/>
  <c r="AE105" i="9" s="1"/>
  <c r="AF105" i="9" s="1"/>
  <c r="AA105" i="9"/>
  <c r="H105" i="9"/>
  <c r="AH104" i="9"/>
  <c r="AD104" i="9"/>
  <c r="AC104" i="9"/>
  <c r="AB104" i="9" s="1"/>
  <c r="AE104" i="9" s="1"/>
  <c r="AA104" i="9"/>
  <c r="AF104" i="9" s="1"/>
  <c r="AG104" i="9" s="1"/>
  <c r="H104" i="9"/>
  <c r="AH103" i="9"/>
  <c r="AE103" i="9"/>
  <c r="AD103" i="9"/>
  <c r="AC103" i="9"/>
  <c r="AB103" i="9"/>
  <c r="AA103" i="9"/>
  <c r="AF103" i="9" s="1"/>
  <c r="AG103" i="9" s="1"/>
  <c r="H103" i="9"/>
  <c r="AH102" i="9"/>
  <c r="AF102" i="9"/>
  <c r="AG102" i="9" s="1"/>
  <c r="AD102" i="9"/>
  <c r="AC102" i="9"/>
  <c r="AB102" i="9"/>
  <c r="AE102" i="9" s="1"/>
  <c r="AA102" i="9"/>
  <c r="H102" i="9"/>
  <c r="AH101" i="9"/>
  <c r="AD101" i="9"/>
  <c r="AC101" i="9"/>
  <c r="AB101" i="9"/>
  <c r="AE101" i="9" s="1"/>
  <c r="AF101" i="9" s="1"/>
  <c r="AG101" i="9" s="1"/>
  <c r="AA101" i="9"/>
  <c r="H101" i="9"/>
  <c r="AH100" i="9"/>
  <c r="AD100" i="9"/>
  <c r="AC100" i="9"/>
  <c r="AB100" i="9" s="1"/>
  <c r="AE100" i="9" s="1"/>
  <c r="AA100" i="9"/>
  <c r="H100" i="9"/>
  <c r="AH99" i="9"/>
  <c r="AE99" i="9"/>
  <c r="AD99" i="9"/>
  <c r="AC99" i="9"/>
  <c r="AB99" i="9"/>
  <c r="AA99" i="9"/>
  <c r="AF99" i="9" s="1"/>
  <c r="AG99" i="9" s="1"/>
  <c r="H99" i="9"/>
  <c r="AH98" i="9"/>
  <c r="AD98" i="9"/>
  <c r="AC98" i="9"/>
  <c r="AB98" i="9"/>
  <c r="AE98" i="9" s="1"/>
  <c r="AF98" i="9" s="1"/>
  <c r="AG98" i="9" s="1"/>
  <c r="AA98" i="9"/>
  <c r="H98" i="9"/>
  <c r="AH97" i="9"/>
  <c r="AG97" i="9"/>
  <c r="AD97" i="9"/>
  <c r="AC97" i="9"/>
  <c r="AB97" i="9"/>
  <c r="AE97" i="9" s="1"/>
  <c r="AF97" i="9" s="1"/>
  <c r="AA97" i="9"/>
  <c r="H97" i="9"/>
  <c r="AH96" i="9"/>
  <c r="AD96" i="9"/>
  <c r="AC96" i="9"/>
  <c r="AB96" i="9" s="1"/>
  <c r="AE96" i="9" s="1"/>
  <c r="AA96" i="9"/>
  <c r="AF96" i="9" s="1"/>
  <c r="AG96" i="9" s="1"/>
  <c r="H96" i="9"/>
  <c r="AH95" i="9"/>
  <c r="AE95" i="9"/>
  <c r="AD95" i="9"/>
  <c r="AC95" i="9"/>
  <c r="AB95" i="9"/>
  <c r="AA95" i="9"/>
  <c r="AF95" i="9" s="1"/>
  <c r="AG95" i="9" s="1"/>
  <c r="H95" i="9"/>
  <c r="AH94" i="9"/>
  <c r="AD94" i="9"/>
  <c r="AC94" i="9"/>
  <c r="AB94" i="9"/>
  <c r="AE94" i="9" s="1"/>
  <c r="AF94" i="9" s="1"/>
  <c r="AG94" i="9" s="1"/>
  <c r="AA94" i="9"/>
  <c r="H94" i="9"/>
  <c r="AH93" i="9"/>
  <c r="AD93" i="9"/>
  <c r="AC93" i="9"/>
  <c r="AB93" i="9"/>
  <c r="AE93" i="9" s="1"/>
  <c r="AF93" i="9" s="1"/>
  <c r="AG93" i="9" s="1"/>
  <c r="AA93" i="9"/>
  <c r="H93" i="9"/>
  <c r="AH92" i="9"/>
  <c r="AD92" i="9"/>
  <c r="AC92" i="9"/>
  <c r="AB92" i="9" s="1"/>
  <c r="AE92" i="9" s="1"/>
  <c r="AA92" i="9"/>
  <c r="H92" i="9"/>
  <c r="AH91" i="9"/>
  <c r="AE91" i="9"/>
  <c r="AD91" i="9"/>
  <c r="AC91" i="9"/>
  <c r="AB91" i="9"/>
  <c r="AA91" i="9"/>
  <c r="AF91" i="9" s="1"/>
  <c r="AG91" i="9" s="1"/>
  <c r="H91" i="9"/>
  <c r="AH90" i="9"/>
  <c r="AD90" i="9"/>
  <c r="AC90" i="9"/>
  <c r="AB90" i="9"/>
  <c r="AE90" i="9" s="1"/>
  <c r="AF90" i="9" s="1"/>
  <c r="AG90" i="9" s="1"/>
  <c r="AA90" i="9"/>
  <c r="H90" i="9"/>
  <c r="AH89" i="9"/>
  <c r="AG89" i="9"/>
  <c r="AD89" i="9"/>
  <c r="AC89" i="9"/>
  <c r="AB89" i="9"/>
  <c r="AE89" i="9" s="1"/>
  <c r="AF89" i="9" s="1"/>
  <c r="AA89" i="9"/>
  <c r="H89" i="9"/>
  <c r="AH88" i="9"/>
  <c r="AD88" i="9"/>
  <c r="AC88" i="9"/>
  <c r="AB88" i="9" s="1"/>
  <c r="AE88" i="9" s="1"/>
  <c r="AA88" i="9"/>
  <c r="AF88" i="9" s="1"/>
  <c r="AG88" i="9" s="1"/>
  <c r="H88" i="9"/>
  <c r="AH87" i="9"/>
  <c r="AE87" i="9"/>
  <c r="AD87" i="9"/>
  <c r="AC87" i="9"/>
  <c r="AB87" i="9"/>
  <c r="AA87" i="9"/>
  <c r="AF87" i="9" s="1"/>
  <c r="AG87" i="9" s="1"/>
  <c r="H87" i="9"/>
  <c r="AH86" i="9"/>
  <c r="AF86" i="9"/>
  <c r="AG86" i="9" s="1"/>
  <c r="AD86" i="9"/>
  <c r="AC86" i="9"/>
  <c r="AB86" i="9"/>
  <c r="AE86" i="9" s="1"/>
  <c r="AA86" i="9"/>
  <c r="H86" i="9"/>
  <c r="AH85" i="9"/>
  <c r="AG85" i="9"/>
  <c r="AD85" i="9"/>
  <c r="AC85" i="9"/>
  <c r="AB85" i="9"/>
  <c r="AE85" i="9" s="1"/>
  <c r="AF85" i="9" s="1"/>
  <c r="AA85" i="9"/>
  <c r="H85" i="9"/>
  <c r="AH84" i="9"/>
  <c r="AD84" i="9"/>
  <c r="AC84" i="9"/>
  <c r="AB84" i="9" s="1"/>
  <c r="AE84" i="9" s="1"/>
  <c r="AA84" i="9"/>
  <c r="H84" i="9"/>
  <c r="AH83" i="9"/>
  <c r="AE83" i="9"/>
  <c r="AD83" i="9"/>
  <c r="AC83" i="9"/>
  <c r="AB83" i="9"/>
  <c r="AA83" i="9"/>
  <c r="AF83" i="9" s="1"/>
  <c r="AG83" i="9" s="1"/>
  <c r="H83" i="9"/>
  <c r="AH82" i="9"/>
  <c r="AD82" i="9"/>
  <c r="AC82" i="9"/>
  <c r="AB82" i="9"/>
  <c r="AE82" i="9" s="1"/>
  <c r="AF82" i="9" s="1"/>
  <c r="AG82" i="9" s="1"/>
  <c r="AA82" i="9"/>
  <c r="H82" i="9"/>
  <c r="AH81" i="9"/>
  <c r="AG81" i="9"/>
  <c r="AD81" i="9"/>
  <c r="AC81" i="9"/>
  <c r="AB81" i="9"/>
  <c r="AE81" i="9" s="1"/>
  <c r="AF81" i="9" s="1"/>
  <c r="AA81" i="9"/>
  <c r="H81" i="9"/>
  <c r="AH80" i="9"/>
  <c r="AD80" i="9"/>
  <c r="AC80" i="9"/>
  <c r="AB80" i="9" s="1"/>
  <c r="AE80" i="9" s="1"/>
  <c r="AA80" i="9"/>
  <c r="AF80" i="9" s="1"/>
  <c r="AG80" i="9" s="1"/>
  <c r="H80" i="9"/>
  <c r="AH79" i="9"/>
  <c r="AE79" i="9"/>
  <c r="AD79" i="9"/>
  <c r="AC79" i="9"/>
  <c r="AB79" i="9"/>
  <c r="AA79" i="9"/>
  <c r="AF79" i="9" s="1"/>
  <c r="AG79" i="9" s="1"/>
  <c r="H79" i="9"/>
  <c r="AH78" i="9"/>
  <c r="AD78" i="9"/>
  <c r="AC78" i="9"/>
  <c r="AB78" i="9"/>
  <c r="AE78" i="9" s="1"/>
  <c r="AF78" i="9" s="1"/>
  <c r="AG78" i="9" s="1"/>
  <c r="AA78" i="9"/>
  <c r="H78" i="9"/>
  <c r="AH77" i="9"/>
  <c r="AD77" i="9"/>
  <c r="AC77" i="9"/>
  <c r="AB77" i="9"/>
  <c r="AE77" i="9" s="1"/>
  <c r="AF77" i="9" s="1"/>
  <c r="AG77" i="9" s="1"/>
  <c r="AA77" i="9"/>
  <c r="H77" i="9"/>
  <c r="AH76" i="9"/>
  <c r="AG76" i="9"/>
  <c r="AD76" i="9"/>
  <c r="AC76" i="9"/>
  <c r="AB76" i="9" s="1"/>
  <c r="AE76" i="9" s="1"/>
  <c r="AA76" i="9"/>
  <c r="AF76" i="9" s="1"/>
  <c r="H76" i="9"/>
  <c r="AH75" i="9"/>
  <c r="AE75" i="9"/>
  <c r="AD75" i="9"/>
  <c r="AC75" i="9"/>
  <c r="AB75" i="9"/>
  <c r="AA75" i="9"/>
  <c r="AF75" i="9" s="1"/>
  <c r="AG75" i="9" s="1"/>
  <c r="H75" i="9"/>
  <c r="AH74" i="9"/>
  <c r="AD74" i="9"/>
  <c r="AC74" i="9"/>
  <c r="AB74" i="9"/>
  <c r="AE74" i="9" s="1"/>
  <c r="AF74" i="9" s="1"/>
  <c r="AG74" i="9" s="1"/>
  <c r="AA74" i="9"/>
  <c r="H74" i="9"/>
  <c r="AH73" i="9"/>
  <c r="AG73" i="9"/>
  <c r="AD73" i="9"/>
  <c r="AC73" i="9"/>
  <c r="AB73" i="9"/>
  <c r="AE73" i="9" s="1"/>
  <c r="AF73" i="9" s="1"/>
  <c r="AA73" i="9"/>
  <c r="H73" i="9"/>
  <c r="AH72" i="9"/>
  <c r="AG72" i="9"/>
  <c r="AD72" i="9"/>
  <c r="AC72" i="9"/>
  <c r="AB72" i="9" s="1"/>
  <c r="AE72" i="9" s="1"/>
  <c r="AA72" i="9"/>
  <c r="AF72" i="9" s="1"/>
  <c r="H72" i="9"/>
  <c r="AH71" i="9"/>
  <c r="AE71" i="9"/>
  <c r="AD71" i="9"/>
  <c r="AC71" i="9"/>
  <c r="AB71" i="9"/>
  <c r="AA71" i="9"/>
  <c r="AF71" i="9" s="1"/>
  <c r="AG71" i="9" s="1"/>
  <c r="H71" i="9"/>
  <c r="AH70" i="9"/>
  <c r="AF70" i="9"/>
  <c r="AG70" i="9" s="1"/>
  <c r="AD70" i="9"/>
  <c r="AC70" i="9"/>
  <c r="AB70" i="9"/>
  <c r="AE70" i="9" s="1"/>
  <c r="AA70" i="9"/>
  <c r="H70" i="9"/>
  <c r="AH69" i="9"/>
  <c r="AG69" i="9"/>
  <c r="AD69" i="9"/>
  <c r="AC69" i="9"/>
  <c r="AB69" i="9"/>
  <c r="AE69" i="9" s="1"/>
  <c r="AF69" i="9" s="1"/>
  <c r="AA69" i="9"/>
  <c r="H69" i="9"/>
  <c r="AH68" i="9"/>
  <c r="AD68" i="9"/>
  <c r="AC68" i="9"/>
  <c r="AB68" i="9" s="1"/>
  <c r="AE68" i="9" s="1"/>
  <c r="AA68" i="9"/>
  <c r="H68" i="9"/>
  <c r="AH67" i="9"/>
  <c r="AE67" i="9"/>
  <c r="AD67" i="9"/>
  <c r="AC67" i="9"/>
  <c r="AB67" i="9"/>
  <c r="AA67" i="9"/>
  <c r="AF67" i="9" s="1"/>
  <c r="AG67" i="9" s="1"/>
  <c r="H67" i="9"/>
  <c r="AH66" i="9"/>
  <c r="AF66" i="9"/>
  <c r="AG66" i="9" s="1"/>
  <c r="AD66" i="9"/>
  <c r="AC66" i="9"/>
  <c r="AB66" i="9"/>
  <c r="AE66" i="9" s="1"/>
  <c r="AA66" i="9"/>
  <c r="H66" i="9"/>
  <c r="AH65" i="9"/>
  <c r="AG65" i="9"/>
  <c r="AD65" i="9"/>
  <c r="AC65" i="9"/>
  <c r="AB65" i="9"/>
  <c r="AE65" i="9" s="1"/>
  <c r="AF65" i="9" s="1"/>
  <c r="AA65" i="9"/>
  <c r="H65" i="9"/>
  <c r="AH64" i="9"/>
  <c r="AD64" i="9"/>
  <c r="AC64" i="9"/>
  <c r="AB64" i="9" s="1"/>
  <c r="AE64" i="9" s="1"/>
  <c r="AA64" i="9"/>
  <c r="AF64" i="9" s="1"/>
  <c r="AG64" i="9" s="1"/>
  <c r="H64" i="9"/>
  <c r="AH63" i="9"/>
  <c r="AD63" i="9"/>
  <c r="AC63" i="9"/>
  <c r="AB63" i="9"/>
  <c r="AE63" i="9" s="1"/>
  <c r="AF63" i="9" s="1"/>
  <c r="AG63" i="9" s="1"/>
  <c r="AA63" i="9"/>
  <c r="H63" i="9"/>
  <c r="AH62" i="9"/>
  <c r="AD62" i="9"/>
  <c r="AC62" i="9"/>
  <c r="AB62" i="9" s="1"/>
  <c r="AE62" i="9" s="1"/>
  <c r="AF62" i="9" s="1"/>
  <c r="AG62" i="9" s="1"/>
  <c r="AA62" i="9"/>
  <c r="H62" i="9"/>
  <c r="AH61" i="9"/>
  <c r="AD61" i="9"/>
  <c r="AC61" i="9"/>
  <c r="AB61" i="9" s="1"/>
  <c r="AE61" i="9" s="1"/>
  <c r="AA61" i="9"/>
  <c r="AF61" i="9" s="1"/>
  <c r="AG61" i="9" s="1"/>
  <c r="H61" i="9"/>
  <c r="AH60" i="9"/>
  <c r="AE60" i="9"/>
  <c r="AD60" i="9"/>
  <c r="AC60" i="9"/>
  <c r="AB60" i="9"/>
  <c r="AA60" i="9"/>
  <c r="AF60" i="9" s="1"/>
  <c r="AG60" i="9" s="1"/>
  <c r="H60" i="9"/>
  <c r="AH59" i="9"/>
  <c r="AF59" i="9"/>
  <c r="AG59" i="9" s="1"/>
  <c r="AD59" i="9"/>
  <c r="AC59" i="9"/>
  <c r="AB59" i="9"/>
  <c r="AE59" i="9" s="1"/>
  <c r="AA59" i="9"/>
  <c r="H59" i="9"/>
  <c r="AH58" i="9"/>
  <c r="AD58" i="9"/>
  <c r="AC58" i="9"/>
  <c r="AB58" i="9" s="1"/>
  <c r="AE58" i="9" s="1"/>
  <c r="AF58" i="9" s="1"/>
  <c r="AG58" i="9" s="1"/>
  <c r="AA58" i="9"/>
  <c r="H58" i="9"/>
  <c r="AH57" i="9"/>
  <c r="AD57" i="9"/>
  <c r="AC57" i="9"/>
  <c r="AB57" i="9" s="1"/>
  <c r="AE57" i="9" s="1"/>
  <c r="AA57" i="9"/>
  <c r="H57" i="9"/>
  <c r="AH56" i="9"/>
  <c r="AE56" i="9"/>
  <c r="AD56" i="9"/>
  <c r="AC56" i="9"/>
  <c r="AB56" i="9"/>
  <c r="AA56" i="9"/>
  <c r="AF56" i="9" s="1"/>
  <c r="AG56" i="9" s="1"/>
  <c r="H56" i="9"/>
  <c r="AH55" i="9"/>
  <c r="AD55" i="9"/>
  <c r="AC55" i="9"/>
  <c r="AB55" i="9"/>
  <c r="AE55" i="9" s="1"/>
  <c r="AF55" i="9" s="1"/>
  <c r="AG55" i="9" s="1"/>
  <c r="AA55" i="9"/>
  <c r="H55" i="9"/>
  <c r="AH54" i="9"/>
  <c r="AG54" i="9"/>
  <c r="AD54" i="9"/>
  <c r="AC54" i="9"/>
  <c r="AB54" i="9" s="1"/>
  <c r="AE54" i="9" s="1"/>
  <c r="AF54" i="9" s="1"/>
  <c r="AA54" i="9"/>
  <c r="H54" i="9"/>
  <c r="AH53" i="9"/>
  <c r="AD53" i="9"/>
  <c r="AC53" i="9"/>
  <c r="AB53" i="9" s="1"/>
  <c r="AE53" i="9" s="1"/>
  <c r="AA53" i="9"/>
  <c r="AF53" i="9" s="1"/>
  <c r="AG53" i="9" s="1"/>
  <c r="H53" i="9"/>
  <c r="AH52" i="9"/>
  <c r="AE52" i="9"/>
  <c r="AD52" i="9"/>
  <c r="AC52" i="9"/>
  <c r="AB52" i="9"/>
  <c r="AA52" i="9"/>
  <c r="AF52" i="9" s="1"/>
  <c r="AG52" i="9" s="1"/>
  <c r="H52" i="9"/>
  <c r="AH51" i="9"/>
  <c r="AD51" i="9"/>
  <c r="AC51" i="9"/>
  <c r="AB51" i="9" s="1"/>
  <c r="AE51" i="9" s="1"/>
  <c r="AF51" i="9" s="1"/>
  <c r="AG51" i="9" s="1"/>
  <c r="AA51" i="9"/>
  <c r="H51" i="9"/>
  <c r="AH50" i="9"/>
  <c r="AE50" i="9"/>
  <c r="AD50" i="9"/>
  <c r="AC50" i="9"/>
  <c r="AB50" i="9"/>
  <c r="AA50" i="9"/>
  <c r="AF50" i="9" s="1"/>
  <c r="AG50" i="9" s="1"/>
  <c r="H50" i="9"/>
  <c r="AH49" i="9"/>
  <c r="AD49" i="9"/>
  <c r="AC49" i="9"/>
  <c r="AB49" i="9" s="1"/>
  <c r="AE49" i="9" s="1"/>
  <c r="AF49" i="9" s="1"/>
  <c r="AG49" i="9" s="1"/>
  <c r="AA49" i="9"/>
  <c r="H49" i="9"/>
  <c r="AH48" i="9"/>
  <c r="AE48" i="9"/>
  <c r="AD48" i="9"/>
  <c r="AC48" i="9"/>
  <c r="AB48" i="9"/>
  <c r="AA48" i="9"/>
  <c r="AF48" i="9" s="1"/>
  <c r="AG48" i="9" s="1"/>
  <c r="H48" i="9"/>
  <c r="AH47" i="9"/>
  <c r="AG47" i="9"/>
  <c r="AD47" i="9"/>
  <c r="AC47" i="9"/>
  <c r="AB47" i="9" s="1"/>
  <c r="AE47" i="9" s="1"/>
  <c r="AF47" i="9" s="1"/>
  <c r="AA47" i="9"/>
  <c r="H47" i="9"/>
  <c r="AH46" i="9"/>
  <c r="AE46" i="9"/>
  <c r="AD46" i="9"/>
  <c r="AC46" i="9"/>
  <c r="AB46" i="9"/>
  <c r="AA46" i="9"/>
  <c r="AF46" i="9" s="1"/>
  <c r="AG46" i="9" s="1"/>
  <c r="H46" i="9"/>
  <c r="AH45" i="9"/>
  <c r="AD45" i="9"/>
  <c r="AC45" i="9"/>
  <c r="AB45" i="9" s="1"/>
  <c r="AE45" i="9" s="1"/>
  <c r="AF45" i="9" s="1"/>
  <c r="AG45" i="9" s="1"/>
  <c r="AA45" i="9"/>
  <c r="H45" i="9"/>
  <c r="AH44" i="9"/>
  <c r="AE44" i="9"/>
  <c r="AD44" i="9"/>
  <c r="AC44" i="9"/>
  <c r="AB44" i="9"/>
  <c r="AA44" i="9"/>
  <c r="AF44" i="9" s="1"/>
  <c r="AG44" i="9" s="1"/>
  <c r="H44" i="9"/>
  <c r="AH43" i="9"/>
  <c r="AD43" i="9"/>
  <c r="AC43" i="9"/>
  <c r="AB43" i="9" s="1"/>
  <c r="AE43" i="9" s="1"/>
  <c r="AF43" i="9" s="1"/>
  <c r="AG43" i="9" s="1"/>
  <c r="AA43" i="9"/>
  <c r="H43" i="9"/>
  <c r="AH42" i="9"/>
  <c r="AD42" i="9"/>
  <c r="AC42" i="9"/>
  <c r="AB42" i="9"/>
  <c r="AE42" i="9" s="1"/>
  <c r="AF42" i="9" s="1"/>
  <c r="AG42" i="9" s="1"/>
  <c r="AA42" i="9"/>
  <c r="H42" i="9"/>
  <c r="AH41" i="9"/>
  <c r="AG41" i="9"/>
  <c r="AD41" i="9"/>
  <c r="AC41" i="9"/>
  <c r="AB41" i="9" s="1"/>
  <c r="AE41" i="9" s="1"/>
  <c r="AF41" i="9" s="1"/>
  <c r="AA41" i="9"/>
  <c r="H41" i="9"/>
  <c r="AH40" i="9"/>
  <c r="AE40" i="9"/>
  <c r="AD40" i="9"/>
  <c r="AC40" i="9"/>
  <c r="AB40" i="9"/>
  <c r="AA40" i="9"/>
  <c r="AF40" i="9" s="1"/>
  <c r="AG40" i="9" s="1"/>
  <c r="H40" i="9"/>
  <c r="AH39" i="9"/>
  <c r="AD39" i="9"/>
  <c r="AC39" i="9"/>
  <c r="AB39" i="9" s="1"/>
  <c r="AE39" i="9" s="1"/>
  <c r="AF39" i="9" s="1"/>
  <c r="AG39" i="9" s="1"/>
  <c r="AA39" i="9"/>
  <c r="H39" i="9"/>
  <c r="AH38" i="9"/>
  <c r="AD38" i="9"/>
  <c r="AC38" i="9"/>
  <c r="AB38" i="9"/>
  <c r="AE38" i="9" s="1"/>
  <c r="AF38" i="9" s="1"/>
  <c r="AG38" i="9" s="1"/>
  <c r="AA38" i="9"/>
  <c r="H38" i="9"/>
  <c r="AH37" i="9"/>
  <c r="AD37" i="9"/>
  <c r="AC37" i="9"/>
  <c r="AB37" i="9" s="1"/>
  <c r="AE37" i="9" s="1"/>
  <c r="AF37" i="9" s="1"/>
  <c r="AG37" i="9" s="1"/>
  <c r="AA37" i="9"/>
  <c r="H37" i="9"/>
  <c r="AH36" i="9"/>
  <c r="AE36" i="9"/>
  <c r="AD36" i="9"/>
  <c r="AC36" i="9"/>
  <c r="AB36" i="9"/>
  <c r="AA36" i="9"/>
  <c r="AF36" i="9" s="1"/>
  <c r="AG36" i="9" s="1"/>
  <c r="H36" i="9"/>
  <c r="AH35" i="9"/>
  <c r="AD35" i="9"/>
  <c r="AC35" i="9"/>
  <c r="AB35" i="9" s="1"/>
  <c r="AE35" i="9" s="1"/>
  <c r="AF35" i="9" s="1"/>
  <c r="AG35" i="9" s="1"/>
  <c r="AA35" i="9"/>
  <c r="H35" i="9"/>
  <c r="AH34" i="9"/>
  <c r="AD34" i="9"/>
  <c r="AC34" i="9"/>
  <c r="AB34" i="9"/>
  <c r="AE34" i="9" s="1"/>
  <c r="AF34" i="9" s="1"/>
  <c r="AG34" i="9" s="1"/>
  <c r="AA34" i="9"/>
  <c r="H34" i="9"/>
  <c r="AH33" i="9"/>
  <c r="AG33" i="9"/>
  <c r="AD33" i="9"/>
  <c r="AC33" i="9"/>
  <c r="AB33" i="9" s="1"/>
  <c r="AE33" i="9" s="1"/>
  <c r="AF33" i="9" s="1"/>
  <c r="AA33" i="9"/>
  <c r="H33" i="9"/>
  <c r="AH32" i="9"/>
  <c r="AE32" i="9"/>
  <c r="AD32" i="9"/>
  <c r="AC32" i="9"/>
  <c r="AB32" i="9"/>
  <c r="AA32" i="9"/>
  <c r="AF32" i="9" s="1"/>
  <c r="AG32" i="9" s="1"/>
  <c r="H32" i="9"/>
  <c r="AH31" i="9"/>
  <c r="AD31" i="9"/>
  <c r="AC31" i="9"/>
  <c r="AB31" i="9" s="1"/>
  <c r="AE31" i="9" s="1"/>
  <c r="AF31" i="9" s="1"/>
  <c r="AG31" i="9" s="1"/>
  <c r="AA31" i="9"/>
  <c r="H31" i="9"/>
  <c r="AH30" i="9"/>
  <c r="AD30" i="9"/>
  <c r="AC30" i="9"/>
  <c r="AB30" i="9"/>
  <c r="AE30" i="9" s="1"/>
  <c r="AF30" i="9" s="1"/>
  <c r="AG30" i="9" s="1"/>
  <c r="AA30" i="9"/>
  <c r="H30" i="9"/>
  <c r="AH29" i="9"/>
  <c r="AD29" i="9"/>
  <c r="AC29" i="9"/>
  <c r="AB29" i="9" s="1"/>
  <c r="AE29" i="9" s="1"/>
  <c r="AF29" i="9" s="1"/>
  <c r="AG29" i="9" s="1"/>
  <c r="AA29" i="9"/>
  <c r="H29" i="9"/>
  <c r="AH28" i="9"/>
  <c r="AE28" i="9"/>
  <c r="AD28" i="9"/>
  <c r="AC28" i="9"/>
  <c r="AB28" i="9"/>
  <c r="AA28" i="9"/>
  <c r="AF28" i="9" s="1"/>
  <c r="AG28" i="9" s="1"/>
  <c r="H28" i="9"/>
  <c r="AH27" i="9"/>
  <c r="AD27" i="9"/>
  <c r="AC27" i="9"/>
  <c r="AB27" i="9" s="1"/>
  <c r="AE27" i="9" s="1"/>
  <c r="AF27" i="9" s="1"/>
  <c r="AG27" i="9" s="1"/>
  <c r="AA27" i="9"/>
  <c r="H27" i="9"/>
  <c r="AH26" i="9"/>
  <c r="AD26" i="9"/>
  <c r="AC26" i="9"/>
  <c r="AB26" i="9"/>
  <c r="AE26" i="9" s="1"/>
  <c r="AF26" i="9" s="1"/>
  <c r="AG26" i="9" s="1"/>
  <c r="AA26" i="9"/>
  <c r="H26" i="9"/>
  <c r="AH25" i="9"/>
  <c r="AG25" i="9"/>
  <c r="AD25" i="9"/>
  <c r="AC25" i="9"/>
  <c r="AB25" i="9" s="1"/>
  <c r="AE25" i="9" s="1"/>
  <c r="AF25" i="9" s="1"/>
  <c r="AA25" i="9"/>
  <c r="I25" i="9"/>
  <c r="I26" i="9" s="1"/>
  <c r="I27" i="9" s="1"/>
  <c r="I28" i="9" s="1"/>
  <c r="I29" i="9" s="1"/>
  <c r="I30" i="9" s="1"/>
  <c r="I31" i="9" s="1"/>
  <c r="I32" i="9" s="1"/>
  <c r="I33" i="9" s="1"/>
  <c r="I34" i="9" s="1"/>
  <c r="I35" i="9" s="1"/>
  <c r="I36" i="9" s="1"/>
  <c r="I37" i="9" s="1"/>
  <c r="I38" i="9" s="1"/>
  <c r="I39" i="9" s="1"/>
  <c r="I40" i="9" s="1"/>
  <c r="I41" i="9" s="1"/>
  <c r="I42" i="9" s="1"/>
  <c r="I43" i="9" s="1"/>
  <c r="I44" i="9" s="1"/>
  <c r="I45" i="9" s="1"/>
  <c r="I46" i="9" s="1"/>
  <c r="I47" i="9" s="1"/>
  <c r="I48" i="9" s="1"/>
  <c r="I49" i="9" s="1"/>
  <c r="I50" i="9" s="1"/>
  <c r="I51" i="9" s="1"/>
  <c r="I52" i="9" s="1"/>
  <c r="H25" i="9"/>
  <c r="AH24" i="9"/>
  <c r="AE24" i="9"/>
  <c r="AD24" i="9"/>
  <c r="AC24" i="9"/>
  <c r="AB24" i="9"/>
  <c r="AA24" i="9"/>
  <c r="AF24" i="9" s="1"/>
  <c r="AG24" i="9" s="1"/>
  <c r="I24" i="9"/>
  <c r="H24" i="9"/>
  <c r="AH23" i="9"/>
  <c r="AG23" i="9"/>
  <c r="AD23" i="9"/>
  <c r="AC23" i="9"/>
  <c r="AB23" i="9" s="1"/>
  <c r="AE23" i="9" s="1"/>
  <c r="AF23" i="9" s="1"/>
  <c r="AA23" i="9"/>
  <c r="H23" i="9"/>
  <c r="F12" i="9"/>
  <c r="F11" i="9"/>
  <c r="F10" i="9"/>
  <c r="F9" i="9"/>
  <c r="E15" i="3" s="1"/>
  <c r="F8" i="9"/>
  <c r="F7" i="9"/>
  <c r="AF28" i="8"/>
  <c r="AE28" i="8"/>
  <c r="AC28" i="8"/>
  <c r="AD28" i="8" s="1"/>
  <c r="AB28" i="8"/>
  <c r="AA28" i="8"/>
  <c r="I28" i="8"/>
  <c r="H28" i="8"/>
  <c r="AG28" i="8" s="1"/>
  <c r="AE27" i="8"/>
  <c r="AC27" i="8"/>
  <c r="AD27" i="8" s="1"/>
  <c r="AF27" i="8" s="1"/>
  <c r="AB27" i="8"/>
  <c r="AA27" i="8"/>
  <c r="I27" i="8"/>
  <c r="I29" i="8" s="1"/>
  <c r="H27" i="8"/>
  <c r="AG27" i="8" s="1"/>
  <c r="AE26" i="8"/>
  <c r="AD26" i="8"/>
  <c r="AF26" i="8" s="1"/>
  <c r="AC26" i="8"/>
  <c r="AB26" i="8"/>
  <c r="AA26" i="8"/>
  <c r="H26" i="8"/>
  <c r="AG26" i="8" s="1"/>
  <c r="AE25" i="8"/>
  <c r="AD25" i="8"/>
  <c r="AF25" i="8" s="1"/>
  <c r="AC25" i="8"/>
  <c r="AB25" i="8"/>
  <c r="AA25" i="8"/>
  <c r="H25" i="8"/>
  <c r="AG25" i="8" s="1"/>
  <c r="AE24" i="8"/>
  <c r="AD24" i="8"/>
  <c r="AF24" i="8" s="1"/>
  <c r="AC24" i="8"/>
  <c r="AB24" i="8"/>
  <c r="AA24" i="8"/>
  <c r="H24" i="8"/>
  <c r="AG24" i="8" s="1"/>
  <c r="AE23" i="8"/>
  <c r="AD23" i="8"/>
  <c r="AF23" i="8" s="1"/>
  <c r="AC23" i="8"/>
  <c r="AB23" i="8"/>
  <c r="AA23" i="8"/>
  <c r="H23" i="8"/>
  <c r="AG23" i="8" s="1"/>
  <c r="AE22" i="8"/>
  <c r="AD22" i="8"/>
  <c r="AF22" i="8" s="1"/>
  <c r="AC22" i="8"/>
  <c r="AB22" i="8"/>
  <c r="AA22" i="8"/>
  <c r="H22" i="8"/>
  <c r="AG22" i="8" s="1"/>
  <c r="AG21" i="8"/>
  <c r="AE21" i="8"/>
  <c r="AD21" i="8"/>
  <c r="AF21" i="8" s="1"/>
  <c r="AC21" i="8"/>
  <c r="AB21" i="8"/>
  <c r="AA21" i="8"/>
  <c r="AG20" i="8"/>
  <c r="AE20" i="8"/>
  <c r="AC20" i="8"/>
  <c r="AD20" i="8" s="1"/>
  <c r="AF20" i="8" s="1"/>
  <c r="AB20" i="8"/>
  <c r="AA20" i="8"/>
  <c r="AG19" i="8"/>
  <c r="AE19" i="8"/>
  <c r="AC19" i="8"/>
  <c r="AD19" i="8" s="1"/>
  <c r="AF19" i="8" s="1"/>
  <c r="AB19" i="8"/>
  <c r="AA19" i="8"/>
  <c r="AG18" i="8"/>
  <c r="AF18" i="8"/>
  <c r="AE18" i="8"/>
  <c r="AC18" i="8"/>
  <c r="AB18" i="8"/>
  <c r="AD18" i="8" s="1"/>
  <c r="AA18" i="8"/>
  <c r="AG17" i="8"/>
  <c r="AE17" i="8"/>
  <c r="AD17" i="8"/>
  <c r="AF17" i="8" s="1"/>
  <c r="AC17" i="8"/>
  <c r="AB17" i="8"/>
  <c r="AA17" i="8"/>
  <c r="J28" i="7"/>
  <c r="E25" i="3" s="1"/>
  <c r="J32" i="1" s="1"/>
  <c r="E28" i="7"/>
  <c r="D28" i="7"/>
  <c r="I26" i="7"/>
  <c r="I28" i="7" s="1"/>
  <c r="H26" i="7"/>
  <c r="H28" i="7" s="1"/>
  <c r="G13" i="7"/>
  <c r="BC212" i="6"/>
  <c r="BB212" i="6"/>
  <c r="BA212" i="6"/>
  <c r="AZ212" i="6"/>
  <c r="AY212" i="6"/>
  <c r="AX212" i="6"/>
  <c r="AW212" i="6"/>
  <c r="AV212" i="6"/>
  <c r="AU212" i="6"/>
  <c r="AT212" i="6"/>
  <c r="AS212" i="6"/>
  <c r="AR212" i="6"/>
  <c r="AQ212" i="6"/>
  <c r="AP212" i="6"/>
  <c r="AO212" i="6"/>
  <c r="AN212" i="6"/>
  <c r="AM212" i="6"/>
  <c r="AL212" i="6"/>
  <c r="AK212" i="6"/>
  <c r="AJ212" i="6"/>
  <c r="AI212" i="6"/>
  <c r="AH212" i="6"/>
  <c r="AG212" i="6"/>
  <c r="AF212" i="6"/>
  <c r="AE212" i="6"/>
  <c r="AD212" i="6"/>
  <c r="AC212" i="6"/>
  <c r="AB212" i="6"/>
  <c r="AA212" i="6"/>
  <c r="Z212" i="6"/>
  <c r="Y212" i="6"/>
  <c r="X212" i="6"/>
  <c r="W212" i="6"/>
  <c r="U212" i="6"/>
  <c r="T212" i="6"/>
  <c r="S212" i="6"/>
  <c r="R212" i="6"/>
  <c r="N212" i="6"/>
  <c r="I212" i="6"/>
  <c r="G212" i="6"/>
  <c r="E212" i="6"/>
  <c r="R211" i="6"/>
  <c r="Q211" i="6"/>
  <c r="O211" i="6"/>
  <c r="K211" i="6"/>
  <c r="M211" i="6" s="1"/>
  <c r="R210" i="6"/>
  <c r="Q210" i="6"/>
  <c r="O210" i="6"/>
  <c r="K210" i="6"/>
  <c r="M210" i="6" s="1"/>
  <c r="R209" i="6"/>
  <c r="Q209" i="6"/>
  <c r="O209" i="6"/>
  <c r="K209" i="6"/>
  <c r="M209" i="6" s="1"/>
  <c r="R208" i="6"/>
  <c r="Q208" i="6"/>
  <c r="O208" i="6"/>
  <c r="K208" i="6"/>
  <c r="M208" i="6" s="1"/>
  <c r="R207" i="6"/>
  <c r="Q207" i="6"/>
  <c r="O207" i="6"/>
  <c r="K207" i="6"/>
  <c r="M207" i="6" s="1"/>
  <c r="R206" i="6"/>
  <c r="Q206" i="6"/>
  <c r="O206" i="6"/>
  <c r="K206" i="6"/>
  <c r="M206" i="6" s="1"/>
  <c r="R205" i="6"/>
  <c r="Q205" i="6"/>
  <c r="O205" i="6"/>
  <c r="K205" i="6"/>
  <c r="M205" i="6" s="1"/>
  <c r="R204" i="6"/>
  <c r="Q204" i="6"/>
  <c r="O204" i="6"/>
  <c r="K204" i="6"/>
  <c r="M204" i="6" s="1"/>
  <c r="R203" i="6"/>
  <c r="Q203" i="6"/>
  <c r="O203" i="6"/>
  <c r="K203" i="6"/>
  <c r="M203" i="6" s="1"/>
  <c r="R202" i="6"/>
  <c r="Q202" i="6"/>
  <c r="O202" i="6"/>
  <c r="K202" i="6"/>
  <c r="M202" i="6" s="1"/>
  <c r="R201" i="6"/>
  <c r="Q201" i="6"/>
  <c r="O201" i="6"/>
  <c r="K201" i="6"/>
  <c r="M201" i="6" s="1"/>
  <c r="R200" i="6"/>
  <c r="Q200" i="6"/>
  <c r="O200" i="6"/>
  <c r="K200" i="6"/>
  <c r="M200" i="6" s="1"/>
  <c r="R199" i="6"/>
  <c r="Q199" i="6"/>
  <c r="O199" i="6"/>
  <c r="K199" i="6"/>
  <c r="M199" i="6" s="1"/>
  <c r="R198" i="6"/>
  <c r="Q198" i="6"/>
  <c r="O198" i="6"/>
  <c r="K198" i="6"/>
  <c r="M198" i="6" s="1"/>
  <c r="R197" i="6"/>
  <c r="Q197" i="6"/>
  <c r="O197" i="6"/>
  <c r="K197" i="6"/>
  <c r="M197" i="6" s="1"/>
  <c r="R196" i="6"/>
  <c r="Q196" i="6"/>
  <c r="O196" i="6"/>
  <c r="K196" i="6"/>
  <c r="M196" i="6" s="1"/>
  <c r="R195" i="6"/>
  <c r="Q195" i="6"/>
  <c r="O195" i="6"/>
  <c r="K195" i="6"/>
  <c r="M195" i="6" s="1"/>
  <c r="R194" i="6"/>
  <c r="Q194" i="6"/>
  <c r="O194" i="6"/>
  <c r="K194" i="6"/>
  <c r="M194" i="6" s="1"/>
  <c r="R193" i="6"/>
  <c r="Q193" i="6"/>
  <c r="O193" i="6"/>
  <c r="K193" i="6"/>
  <c r="M193" i="6" s="1"/>
  <c r="R192" i="6"/>
  <c r="Q192" i="6"/>
  <c r="O192" i="6"/>
  <c r="K192" i="6"/>
  <c r="M192" i="6" s="1"/>
  <c r="R191" i="6"/>
  <c r="Q191" i="6"/>
  <c r="O191" i="6"/>
  <c r="K191" i="6"/>
  <c r="M191" i="6" s="1"/>
  <c r="R190" i="6"/>
  <c r="Q190" i="6"/>
  <c r="O190" i="6"/>
  <c r="K190" i="6"/>
  <c r="M190" i="6" s="1"/>
  <c r="R189" i="6"/>
  <c r="Q189" i="6"/>
  <c r="O189" i="6"/>
  <c r="K189" i="6"/>
  <c r="M189" i="6" s="1"/>
  <c r="R188" i="6"/>
  <c r="Q188" i="6"/>
  <c r="O188" i="6"/>
  <c r="K188" i="6"/>
  <c r="M188" i="6" s="1"/>
  <c r="R187" i="6"/>
  <c r="Q187" i="6"/>
  <c r="O187" i="6"/>
  <c r="K187" i="6"/>
  <c r="M187" i="6" s="1"/>
  <c r="R186" i="6"/>
  <c r="Q186" i="6"/>
  <c r="O186" i="6"/>
  <c r="K186" i="6"/>
  <c r="M186" i="6" s="1"/>
  <c r="R185" i="6"/>
  <c r="Q185" i="6"/>
  <c r="O185" i="6"/>
  <c r="K185" i="6"/>
  <c r="M185" i="6" s="1"/>
  <c r="R184" i="6"/>
  <c r="Q184" i="6"/>
  <c r="O184" i="6"/>
  <c r="K184" i="6"/>
  <c r="M184" i="6" s="1"/>
  <c r="R183" i="6"/>
  <c r="Q183" i="6"/>
  <c r="O183" i="6"/>
  <c r="K183" i="6"/>
  <c r="M183" i="6" s="1"/>
  <c r="R182" i="6"/>
  <c r="Q182" i="6"/>
  <c r="O182" i="6"/>
  <c r="K182" i="6"/>
  <c r="M182" i="6" s="1"/>
  <c r="R181" i="6"/>
  <c r="Q181" i="6"/>
  <c r="O181" i="6"/>
  <c r="K181" i="6"/>
  <c r="M181" i="6" s="1"/>
  <c r="R180" i="6"/>
  <c r="Q180" i="6"/>
  <c r="O180" i="6"/>
  <c r="K180" i="6"/>
  <c r="M180" i="6" s="1"/>
  <c r="R179" i="6"/>
  <c r="Q179" i="6"/>
  <c r="O179" i="6"/>
  <c r="K179" i="6"/>
  <c r="M179" i="6" s="1"/>
  <c r="R178" i="6"/>
  <c r="Q178" i="6"/>
  <c r="O178" i="6"/>
  <c r="K178" i="6"/>
  <c r="M178" i="6" s="1"/>
  <c r="R177" i="6"/>
  <c r="Q177" i="6"/>
  <c r="O177" i="6"/>
  <c r="K177" i="6"/>
  <c r="M177" i="6" s="1"/>
  <c r="R176" i="6"/>
  <c r="Q176" i="6"/>
  <c r="O176" i="6"/>
  <c r="K176" i="6"/>
  <c r="M176" i="6" s="1"/>
  <c r="R175" i="6"/>
  <c r="Q175" i="6"/>
  <c r="O175" i="6"/>
  <c r="K175" i="6"/>
  <c r="M175" i="6" s="1"/>
  <c r="R174" i="6"/>
  <c r="Q174" i="6"/>
  <c r="O174" i="6"/>
  <c r="K174" i="6"/>
  <c r="M174" i="6" s="1"/>
  <c r="R173" i="6"/>
  <c r="Q173" i="6"/>
  <c r="O173" i="6"/>
  <c r="K173" i="6"/>
  <c r="M173" i="6" s="1"/>
  <c r="R172" i="6"/>
  <c r="Q172" i="6"/>
  <c r="O172" i="6"/>
  <c r="K172" i="6"/>
  <c r="M172" i="6" s="1"/>
  <c r="R171" i="6"/>
  <c r="Q171" i="6"/>
  <c r="O171" i="6"/>
  <c r="K171" i="6"/>
  <c r="M171" i="6" s="1"/>
  <c r="R170" i="6"/>
  <c r="Q170" i="6"/>
  <c r="O170" i="6"/>
  <c r="K170" i="6"/>
  <c r="M170" i="6" s="1"/>
  <c r="R169" i="6"/>
  <c r="Q169" i="6"/>
  <c r="O169" i="6"/>
  <c r="K169" i="6"/>
  <c r="M169" i="6" s="1"/>
  <c r="R168" i="6"/>
  <c r="Q168" i="6"/>
  <c r="O168" i="6"/>
  <c r="K168" i="6"/>
  <c r="M168" i="6" s="1"/>
  <c r="R167" i="6"/>
  <c r="Q167" i="6"/>
  <c r="O167" i="6"/>
  <c r="K167" i="6"/>
  <c r="M167" i="6" s="1"/>
  <c r="R166" i="6"/>
  <c r="Q166" i="6"/>
  <c r="O166" i="6"/>
  <c r="K166" i="6"/>
  <c r="M166" i="6" s="1"/>
  <c r="R165" i="6"/>
  <c r="Q165" i="6"/>
  <c r="O165" i="6"/>
  <c r="K165" i="6"/>
  <c r="M165" i="6" s="1"/>
  <c r="R164" i="6"/>
  <c r="Q164" i="6"/>
  <c r="O164" i="6"/>
  <c r="K164" i="6"/>
  <c r="M164" i="6" s="1"/>
  <c r="R163" i="6"/>
  <c r="Q163" i="6"/>
  <c r="O163" i="6"/>
  <c r="K163" i="6"/>
  <c r="M163" i="6" s="1"/>
  <c r="R162" i="6"/>
  <c r="Q162" i="6"/>
  <c r="O162" i="6"/>
  <c r="K162" i="6"/>
  <c r="M162" i="6" s="1"/>
  <c r="R161" i="6"/>
  <c r="Q161" i="6"/>
  <c r="O161" i="6"/>
  <c r="K161" i="6"/>
  <c r="M161" i="6" s="1"/>
  <c r="R160" i="6"/>
  <c r="Q160" i="6"/>
  <c r="O160" i="6"/>
  <c r="K160" i="6"/>
  <c r="M160" i="6" s="1"/>
  <c r="R159" i="6"/>
  <c r="Q159" i="6"/>
  <c r="O159" i="6"/>
  <c r="K159" i="6"/>
  <c r="M159" i="6" s="1"/>
  <c r="R158" i="6"/>
  <c r="Q158" i="6"/>
  <c r="O158" i="6"/>
  <c r="K158" i="6"/>
  <c r="M158" i="6" s="1"/>
  <c r="R157" i="6"/>
  <c r="Q157" i="6"/>
  <c r="O157" i="6"/>
  <c r="K157" i="6"/>
  <c r="M157" i="6" s="1"/>
  <c r="R156" i="6"/>
  <c r="Q156" i="6"/>
  <c r="O156" i="6"/>
  <c r="K156" i="6"/>
  <c r="M156" i="6" s="1"/>
  <c r="R155" i="6"/>
  <c r="Q155" i="6"/>
  <c r="O155" i="6"/>
  <c r="K155" i="6"/>
  <c r="M155" i="6" s="1"/>
  <c r="R154" i="6"/>
  <c r="Q154" i="6"/>
  <c r="O154" i="6"/>
  <c r="K154" i="6"/>
  <c r="M154" i="6" s="1"/>
  <c r="R153" i="6"/>
  <c r="Q153" i="6"/>
  <c r="O153" i="6"/>
  <c r="K153" i="6"/>
  <c r="M153" i="6" s="1"/>
  <c r="R152" i="6"/>
  <c r="Q152" i="6"/>
  <c r="O152" i="6"/>
  <c r="K152" i="6"/>
  <c r="M152" i="6" s="1"/>
  <c r="R151" i="6"/>
  <c r="Q151" i="6"/>
  <c r="O151" i="6"/>
  <c r="K151" i="6"/>
  <c r="M151" i="6" s="1"/>
  <c r="R150" i="6"/>
  <c r="Q150" i="6"/>
  <c r="O150" i="6"/>
  <c r="K150" i="6"/>
  <c r="M150" i="6" s="1"/>
  <c r="R149" i="6"/>
  <c r="Q149" i="6"/>
  <c r="O149" i="6"/>
  <c r="K149" i="6"/>
  <c r="M149" i="6" s="1"/>
  <c r="R148" i="6"/>
  <c r="Q148" i="6"/>
  <c r="O148" i="6"/>
  <c r="K148" i="6"/>
  <c r="M148" i="6" s="1"/>
  <c r="R147" i="6"/>
  <c r="Q147" i="6"/>
  <c r="O147" i="6"/>
  <c r="K147" i="6"/>
  <c r="M147" i="6" s="1"/>
  <c r="R146" i="6"/>
  <c r="Q146" i="6"/>
  <c r="O146" i="6"/>
  <c r="K146" i="6"/>
  <c r="M146" i="6" s="1"/>
  <c r="R145" i="6"/>
  <c r="Q145" i="6"/>
  <c r="O145" i="6"/>
  <c r="K145" i="6"/>
  <c r="M145" i="6" s="1"/>
  <c r="R144" i="6"/>
  <c r="Q144" i="6"/>
  <c r="O144" i="6"/>
  <c r="K144" i="6"/>
  <c r="M144" i="6" s="1"/>
  <c r="R143" i="6"/>
  <c r="Q143" i="6"/>
  <c r="O143" i="6"/>
  <c r="K143" i="6"/>
  <c r="M143" i="6" s="1"/>
  <c r="R142" i="6"/>
  <c r="Q142" i="6"/>
  <c r="O142" i="6"/>
  <c r="K142" i="6"/>
  <c r="M142" i="6" s="1"/>
  <c r="R141" i="6"/>
  <c r="Q141" i="6"/>
  <c r="O141" i="6"/>
  <c r="K141" i="6"/>
  <c r="M141" i="6" s="1"/>
  <c r="R140" i="6"/>
  <c r="Q140" i="6"/>
  <c r="O140" i="6"/>
  <c r="K140" i="6"/>
  <c r="M140" i="6" s="1"/>
  <c r="R139" i="6"/>
  <c r="Q139" i="6"/>
  <c r="O139" i="6"/>
  <c r="K139" i="6"/>
  <c r="M139" i="6" s="1"/>
  <c r="R138" i="6"/>
  <c r="Q138" i="6"/>
  <c r="O138" i="6"/>
  <c r="K138" i="6"/>
  <c r="M138" i="6" s="1"/>
  <c r="R137" i="6"/>
  <c r="Q137" i="6"/>
  <c r="O137" i="6"/>
  <c r="K137" i="6"/>
  <c r="M137" i="6" s="1"/>
  <c r="R136" i="6"/>
  <c r="Q136" i="6"/>
  <c r="O136" i="6"/>
  <c r="K136" i="6"/>
  <c r="M136" i="6" s="1"/>
  <c r="R135" i="6"/>
  <c r="Q135" i="6"/>
  <c r="O135" i="6"/>
  <c r="K135" i="6"/>
  <c r="M135" i="6" s="1"/>
  <c r="R134" i="6"/>
  <c r="Q134" i="6"/>
  <c r="O134" i="6"/>
  <c r="K134" i="6"/>
  <c r="M134" i="6" s="1"/>
  <c r="R133" i="6"/>
  <c r="Q133" i="6"/>
  <c r="O133" i="6"/>
  <c r="K133" i="6"/>
  <c r="M133" i="6" s="1"/>
  <c r="R132" i="6"/>
  <c r="Q132" i="6"/>
  <c r="O132" i="6"/>
  <c r="K132" i="6"/>
  <c r="M132" i="6" s="1"/>
  <c r="R131" i="6"/>
  <c r="Q131" i="6"/>
  <c r="O131" i="6"/>
  <c r="K131" i="6"/>
  <c r="M131" i="6" s="1"/>
  <c r="R130" i="6"/>
  <c r="Q130" i="6"/>
  <c r="O130" i="6"/>
  <c r="K130" i="6"/>
  <c r="M130" i="6" s="1"/>
  <c r="R129" i="6"/>
  <c r="Q129" i="6"/>
  <c r="O129" i="6"/>
  <c r="K129" i="6"/>
  <c r="M129" i="6" s="1"/>
  <c r="R128" i="6"/>
  <c r="Q128" i="6"/>
  <c r="O128" i="6"/>
  <c r="K128" i="6"/>
  <c r="M128" i="6" s="1"/>
  <c r="R127" i="6"/>
  <c r="Q127" i="6"/>
  <c r="O127" i="6"/>
  <c r="K127" i="6"/>
  <c r="M127" i="6" s="1"/>
  <c r="R126" i="6"/>
  <c r="Q126" i="6"/>
  <c r="O126" i="6"/>
  <c r="K126" i="6"/>
  <c r="M126" i="6" s="1"/>
  <c r="R125" i="6"/>
  <c r="Q125" i="6"/>
  <c r="O125" i="6"/>
  <c r="K125" i="6"/>
  <c r="M125" i="6" s="1"/>
  <c r="R124" i="6"/>
  <c r="Q124" i="6"/>
  <c r="O124" i="6"/>
  <c r="K124" i="6"/>
  <c r="M124" i="6" s="1"/>
  <c r="R123" i="6"/>
  <c r="Q123" i="6"/>
  <c r="O123" i="6"/>
  <c r="K123" i="6"/>
  <c r="M123" i="6" s="1"/>
  <c r="R122" i="6"/>
  <c r="Q122" i="6"/>
  <c r="O122" i="6"/>
  <c r="K122" i="6"/>
  <c r="M122" i="6" s="1"/>
  <c r="R121" i="6"/>
  <c r="Q121" i="6"/>
  <c r="O121" i="6"/>
  <c r="K121" i="6"/>
  <c r="M121" i="6" s="1"/>
  <c r="R120" i="6"/>
  <c r="Q120" i="6"/>
  <c r="O120" i="6"/>
  <c r="K120" i="6"/>
  <c r="M120" i="6" s="1"/>
  <c r="R119" i="6"/>
  <c r="Q119" i="6"/>
  <c r="O119" i="6"/>
  <c r="K119" i="6"/>
  <c r="M119" i="6" s="1"/>
  <c r="R118" i="6"/>
  <c r="Q118" i="6"/>
  <c r="O118" i="6"/>
  <c r="K118" i="6"/>
  <c r="M118" i="6" s="1"/>
  <c r="R117" i="6"/>
  <c r="Q117" i="6"/>
  <c r="O117" i="6"/>
  <c r="K117" i="6"/>
  <c r="M117" i="6" s="1"/>
  <c r="R116" i="6"/>
  <c r="Q116" i="6"/>
  <c r="O116" i="6"/>
  <c r="K116" i="6"/>
  <c r="M116" i="6" s="1"/>
  <c r="R115" i="6"/>
  <c r="Q115" i="6"/>
  <c r="O115" i="6"/>
  <c r="K115" i="6"/>
  <c r="M115" i="6" s="1"/>
  <c r="R114" i="6"/>
  <c r="Q114" i="6"/>
  <c r="O114" i="6"/>
  <c r="K114" i="6"/>
  <c r="M114" i="6" s="1"/>
  <c r="R113" i="6"/>
  <c r="Q113" i="6"/>
  <c r="O113" i="6"/>
  <c r="K113" i="6"/>
  <c r="M113" i="6" s="1"/>
  <c r="R112" i="6"/>
  <c r="Q112" i="6"/>
  <c r="O112" i="6"/>
  <c r="K112" i="6"/>
  <c r="M112" i="6" s="1"/>
  <c r="R111" i="6"/>
  <c r="Q111" i="6"/>
  <c r="O111" i="6"/>
  <c r="K111" i="6"/>
  <c r="M111" i="6" s="1"/>
  <c r="R110" i="6"/>
  <c r="Q110" i="6"/>
  <c r="O110" i="6"/>
  <c r="K110" i="6"/>
  <c r="M110" i="6" s="1"/>
  <c r="R109" i="6"/>
  <c r="Q109" i="6"/>
  <c r="O109" i="6"/>
  <c r="K109" i="6"/>
  <c r="M109" i="6" s="1"/>
  <c r="R108" i="6"/>
  <c r="Q108" i="6"/>
  <c r="O108" i="6"/>
  <c r="K108" i="6"/>
  <c r="M108" i="6" s="1"/>
  <c r="R107" i="6"/>
  <c r="Q107" i="6"/>
  <c r="O107" i="6"/>
  <c r="K107" i="6"/>
  <c r="M107" i="6" s="1"/>
  <c r="R106" i="6"/>
  <c r="Q106" i="6"/>
  <c r="O106" i="6"/>
  <c r="K106" i="6"/>
  <c r="M106" i="6" s="1"/>
  <c r="R105" i="6"/>
  <c r="Q105" i="6"/>
  <c r="O105" i="6"/>
  <c r="K105" i="6"/>
  <c r="M105" i="6" s="1"/>
  <c r="R104" i="6"/>
  <c r="Q104" i="6"/>
  <c r="O104" i="6"/>
  <c r="K104" i="6"/>
  <c r="M104" i="6" s="1"/>
  <c r="R103" i="6"/>
  <c r="Q103" i="6"/>
  <c r="O103" i="6"/>
  <c r="K103" i="6"/>
  <c r="M103" i="6" s="1"/>
  <c r="R102" i="6"/>
  <c r="Q102" i="6"/>
  <c r="O102" i="6"/>
  <c r="K102" i="6"/>
  <c r="M102" i="6" s="1"/>
  <c r="R101" i="6"/>
  <c r="Q101" i="6"/>
  <c r="O101" i="6"/>
  <c r="K101" i="6"/>
  <c r="M101" i="6" s="1"/>
  <c r="R100" i="6"/>
  <c r="Q100" i="6"/>
  <c r="O100" i="6"/>
  <c r="K100" i="6"/>
  <c r="M100" i="6" s="1"/>
  <c r="R99" i="6"/>
  <c r="Q99" i="6"/>
  <c r="O99" i="6"/>
  <c r="K99" i="6"/>
  <c r="M99" i="6" s="1"/>
  <c r="R98" i="6"/>
  <c r="Q98" i="6"/>
  <c r="O98" i="6"/>
  <c r="K98" i="6"/>
  <c r="M98" i="6" s="1"/>
  <c r="R97" i="6"/>
  <c r="Q97" i="6"/>
  <c r="O97" i="6"/>
  <c r="K97" i="6"/>
  <c r="M97" i="6" s="1"/>
  <c r="R96" i="6"/>
  <c r="Q96" i="6"/>
  <c r="O96" i="6"/>
  <c r="K96" i="6"/>
  <c r="M96" i="6" s="1"/>
  <c r="R95" i="6"/>
  <c r="Q95" i="6"/>
  <c r="O95" i="6"/>
  <c r="K95" i="6"/>
  <c r="M95" i="6" s="1"/>
  <c r="R94" i="6"/>
  <c r="Q94" i="6"/>
  <c r="O94" i="6"/>
  <c r="K94" i="6"/>
  <c r="M94" i="6" s="1"/>
  <c r="R93" i="6"/>
  <c r="Q93" i="6"/>
  <c r="O93" i="6"/>
  <c r="K93" i="6"/>
  <c r="M93" i="6" s="1"/>
  <c r="R92" i="6"/>
  <c r="Q92" i="6"/>
  <c r="O92" i="6"/>
  <c r="K92" i="6"/>
  <c r="M92" i="6" s="1"/>
  <c r="R91" i="6"/>
  <c r="Q91" i="6"/>
  <c r="O91" i="6"/>
  <c r="K91" i="6"/>
  <c r="M91" i="6" s="1"/>
  <c r="R90" i="6"/>
  <c r="Q90" i="6"/>
  <c r="O90" i="6"/>
  <c r="K90" i="6"/>
  <c r="M90" i="6" s="1"/>
  <c r="R89" i="6"/>
  <c r="Q89" i="6"/>
  <c r="O89" i="6"/>
  <c r="K89" i="6"/>
  <c r="M89" i="6" s="1"/>
  <c r="R88" i="6"/>
  <c r="Q88" i="6"/>
  <c r="O88" i="6"/>
  <c r="K88" i="6"/>
  <c r="M88" i="6" s="1"/>
  <c r="R87" i="6"/>
  <c r="Q87" i="6"/>
  <c r="O87" i="6"/>
  <c r="K87" i="6"/>
  <c r="M87" i="6" s="1"/>
  <c r="R86" i="6"/>
  <c r="Q86" i="6"/>
  <c r="O86" i="6"/>
  <c r="K86" i="6"/>
  <c r="M86" i="6" s="1"/>
  <c r="R85" i="6"/>
  <c r="Q85" i="6"/>
  <c r="O85" i="6"/>
  <c r="K85" i="6"/>
  <c r="M85" i="6" s="1"/>
  <c r="R84" i="6"/>
  <c r="Q84" i="6"/>
  <c r="O84" i="6"/>
  <c r="K84" i="6"/>
  <c r="M84" i="6" s="1"/>
  <c r="R83" i="6"/>
  <c r="Q83" i="6"/>
  <c r="O83" i="6"/>
  <c r="K83" i="6"/>
  <c r="M83" i="6" s="1"/>
  <c r="R82" i="6"/>
  <c r="Q82" i="6"/>
  <c r="O82" i="6"/>
  <c r="K82" i="6"/>
  <c r="M82" i="6" s="1"/>
  <c r="R81" i="6"/>
  <c r="Q81" i="6"/>
  <c r="O81" i="6"/>
  <c r="K81" i="6"/>
  <c r="M81" i="6" s="1"/>
  <c r="R80" i="6"/>
  <c r="Q80" i="6"/>
  <c r="O80" i="6"/>
  <c r="K80" i="6"/>
  <c r="M80" i="6" s="1"/>
  <c r="R79" i="6"/>
  <c r="Q79" i="6"/>
  <c r="O79" i="6"/>
  <c r="K79" i="6"/>
  <c r="M79" i="6" s="1"/>
  <c r="R78" i="6"/>
  <c r="Q78" i="6"/>
  <c r="O78" i="6"/>
  <c r="K78" i="6"/>
  <c r="M78" i="6" s="1"/>
  <c r="R77" i="6"/>
  <c r="Q77" i="6"/>
  <c r="O77" i="6"/>
  <c r="K77" i="6"/>
  <c r="M77" i="6" s="1"/>
  <c r="R76" i="6"/>
  <c r="Q76" i="6"/>
  <c r="O76" i="6"/>
  <c r="K76" i="6"/>
  <c r="M76" i="6" s="1"/>
  <c r="R75" i="6"/>
  <c r="Q75" i="6"/>
  <c r="O75" i="6"/>
  <c r="K75" i="6"/>
  <c r="M75" i="6" s="1"/>
  <c r="R74" i="6"/>
  <c r="Q74" i="6"/>
  <c r="O74" i="6"/>
  <c r="K74" i="6"/>
  <c r="M74" i="6" s="1"/>
  <c r="R73" i="6"/>
  <c r="Q73" i="6"/>
  <c r="O73" i="6"/>
  <c r="K73" i="6"/>
  <c r="M73" i="6" s="1"/>
  <c r="R72" i="6"/>
  <c r="Q72" i="6"/>
  <c r="O72" i="6"/>
  <c r="K72" i="6"/>
  <c r="M72" i="6" s="1"/>
  <c r="R71" i="6"/>
  <c r="Q71" i="6"/>
  <c r="O71" i="6"/>
  <c r="K71" i="6"/>
  <c r="M71" i="6" s="1"/>
  <c r="R70" i="6"/>
  <c r="Q70" i="6"/>
  <c r="O70" i="6"/>
  <c r="K70" i="6"/>
  <c r="M70" i="6" s="1"/>
  <c r="R69" i="6"/>
  <c r="Q69" i="6"/>
  <c r="O69" i="6"/>
  <c r="K69" i="6"/>
  <c r="M69" i="6" s="1"/>
  <c r="R68" i="6"/>
  <c r="Q68" i="6"/>
  <c r="O68" i="6"/>
  <c r="K68" i="6"/>
  <c r="M68" i="6" s="1"/>
  <c r="R67" i="6"/>
  <c r="Q67" i="6"/>
  <c r="O67" i="6"/>
  <c r="K67" i="6"/>
  <c r="M67" i="6" s="1"/>
  <c r="R66" i="6"/>
  <c r="Q66" i="6"/>
  <c r="O66" i="6"/>
  <c r="K66" i="6"/>
  <c r="M66" i="6" s="1"/>
  <c r="R65" i="6"/>
  <c r="Q65" i="6"/>
  <c r="O65" i="6"/>
  <c r="K65" i="6"/>
  <c r="M65" i="6" s="1"/>
  <c r="R64" i="6"/>
  <c r="Q64" i="6"/>
  <c r="O64" i="6"/>
  <c r="K64" i="6"/>
  <c r="M64" i="6" s="1"/>
  <c r="R63" i="6"/>
  <c r="Q63" i="6"/>
  <c r="O63" i="6"/>
  <c r="K63" i="6"/>
  <c r="M63" i="6" s="1"/>
  <c r="R62" i="6"/>
  <c r="Q62" i="6"/>
  <c r="O62" i="6"/>
  <c r="K62" i="6"/>
  <c r="M62" i="6" s="1"/>
  <c r="R61" i="6"/>
  <c r="Q61" i="6"/>
  <c r="O61" i="6"/>
  <c r="K61" i="6"/>
  <c r="M61" i="6" s="1"/>
  <c r="R60" i="6"/>
  <c r="Q60" i="6"/>
  <c r="O60" i="6"/>
  <c r="K60" i="6"/>
  <c r="M60" i="6" s="1"/>
  <c r="R59" i="6"/>
  <c r="Q59" i="6"/>
  <c r="O59" i="6"/>
  <c r="K59" i="6"/>
  <c r="M59" i="6" s="1"/>
  <c r="R58" i="6"/>
  <c r="Q58" i="6"/>
  <c r="O58" i="6"/>
  <c r="K58" i="6"/>
  <c r="M58" i="6" s="1"/>
  <c r="R57" i="6"/>
  <c r="Q57" i="6"/>
  <c r="O57" i="6"/>
  <c r="K57" i="6"/>
  <c r="M57" i="6" s="1"/>
  <c r="R56" i="6"/>
  <c r="Q56" i="6"/>
  <c r="O56" i="6"/>
  <c r="K56" i="6"/>
  <c r="M56" i="6" s="1"/>
  <c r="R55" i="6"/>
  <c r="Q55" i="6"/>
  <c r="O55" i="6"/>
  <c r="K55" i="6"/>
  <c r="M55" i="6" s="1"/>
  <c r="R54" i="6"/>
  <c r="Q54" i="6"/>
  <c r="O54" i="6"/>
  <c r="K54" i="6"/>
  <c r="M54" i="6" s="1"/>
  <c r="R53" i="6"/>
  <c r="Q53" i="6"/>
  <c r="O53" i="6"/>
  <c r="K53" i="6"/>
  <c r="M53" i="6" s="1"/>
  <c r="R52" i="6"/>
  <c r="Q52" i="6"/>
  <c r="O52" i="6"/>
  <c r="K52" i="6"/>
  <c r="M52" i="6" s="1"/>
  <c r="R51" i="6"/>
  <c r="Q51" i="6"/>
  <c r="O51" i="6"/>
  <c r="K51" i="6"/>
  <c r="M51" i="6" s="1"/>
  <c r="R50" i="6"/>
  <c r="Q50" i="6"/>
  <c r="O50" i="6"/>
  <c r="K50" i="6"/>
  <c r="M50" i="6" s="1"/>
  <c r="R49" i="6"/>
  <c r="Q49" i="6"/>
  <c r="O49" i="6"/>
  <c r="K49" i="6"/>
  <c r="M49" i="6" s="1"/>
  <c r="R48" i="6"/>
  <c r="Q48" i="6"/>
  <c r="O48" i="6"/>
  <c r="K48" i="6"/>
  <c r="M48" i="6" s="1"/>
  <c r="R47" i="6"/>
  <c r="Q47" i="6"/>
  <c r="O47" i="6"/>
  <c r="K47" i="6"/>
  <c r="M47" i="6" s="1"/>
  <c r="R46" i="6"/>
  <c r="Q46" i="6"/>
  <c r="O46" i="6"/>
  <c r="K46" i="6"/>
  <c r="M46" i="6" s="1"/>
  <c r="R45" i="6"/>
  <c r="Q45" i="6"/>
  <c r="O45" i="6"/>
  <c r="K45" i="6"/>
  <c r="M45" i="6" s="1"/>
  <c r="R44" i="6"/>
  <c r="Q44" i="6"/>
  <c r="O44" i="6"/>
  <c r="K44" i="6"/>
  <c r="M44" i="6" s="1"/>
  <c r="R43" i="6"/>
  <c r="Q43" i="6"/>
  <c r="O43" i="6"/>
  <c r="K43" i="6"/>
  <c r="M43" i="6" s="1"/>
  <c r="R42" i="6"/>
  <c r="Q42" i="6"/>
  <c r="O42" i="6"/>
  <c r="K42" i="6"/>
  <c r="M42" i="6" s="1"/>
  <c r="R41" i="6"/>
  <c r="Q41" i="6"/>
  <c r="O41" i="6"/>
  <c r="K41" i="6"/>
  <c r="M41" i="6" s="1"/>
  <c r="R40" i="6"/>
  <c r="Q40" i="6"/>
  <c r="O40" i="6"/>
  <c r="K40" i="6"/>
  <c r="M40" i="6" s="1"/>
  <c r="R39" i="6"/>
  <c r="Q39" i="6"/>
  <c r="O39" i="6"/>
  <c r="K39" i="6"/>
  <c r="M39" i="6" s="1"/>
  <c r="R38" i="6"/>
  <c r="Q38" i="6"/>
  <c r="O38" i="6"/>
  <c r="K38" i="6"/>
  <c r="M38" i="6" s="1"/>
  <c r="R37" i="6"/>
  <c r="Q37" i="6"/>
  <c r="O37" i="6"/>
  <c r="K37" i="6"/>
  <c r="M37" i="6" s="1"/>
  <c r="R36" i="6"/>
  <c r="Q36" i="6"/>
  <c r="O36" i="6"/>
  <c r="K36" i="6"/>
  <c r="M36" i="6" s="1"/>
  <c r="R35" i="6"/>
  <c r="Q35" i="6"/>
  <c r="O35" i="6"/>
  <c r="K35" i="6"/>
  <c r="M35" i="6" s="1"/>
  <c r="R34" i="6"/>
  <c r="Q34" i="6"/>
  <c r="O34" i="6"/>
  <c r="K34" i="6"/>
  <c r="M34" i="6" s="1"/>
  <c r="R33" i="6"/>
  <c r="Q33" i="6"/>
  <c r="O33" i="6"/>
  <c r="K33" i="6"/>
  <c r="M33" i="6" s="1"/>
  <c r="R32" i="6"/>
  <c r="Q32" i="6"/>
  <c r="O32" i="6"/>
  <c r="K32" i="6"/>
  <c r="M32" i="6" s="1"/>
  <c r="R31" i="6"/>
  <c r="Q31" i="6"/>
  <c r="O31" i="6"/>
  <c r="K31" i="6"/>
  <c r="M31" i="6" s="1"/>
  <c r="R30" i="6"/>
  <c r="Q30" i="6"/>
  <c r="O30" i="6"/>
  <c r="K30" i="6"/>
  <c r="M30" i="6" s="1"/>
  <c r="R29" i="6"/>
  <c r="Q29" i="6"/>
  <c r="O29" i="6"/>
  <c r="K29" i="6"/>
  <c r="M29" i="6" s="1"/>
  <c r="R28" i="6"/>
  <c r="Q28" i="6"/>
  <c r="O28" i="6"/>
  <c r="K28" i="6"/>
  <c r="M28" i="6" s="1"/>
  <c r="R27" i="6"/>
  <c r="Q27" i="6"/>
  <c r="O27" i="6"/>
  <c r="K27" i="6"/>
  <c r="M27" i="6" s="1"/>
  <c r="R26" i="6"/>
  <c r="Q26" i="6"/>
  <c r="O26" i="6"/>
  <c r="K26" i="6"/>
  <c r="M26" i="6" s="1"/>
  <c r="V24" i="6"/>
  <c r="Y24" i="6" s="1"/>
  <c r="AB24" i="6" s="1"/>
  <c r="AE24" i="6" s="1"/>
  <c r="AH24" i="6" s="1"/>
  <c r="AK24" i="6" s="1"/>
  <c r="AN24" i="6" s="1"/>
  <c r="AQ24" i="6" s="1"/>
  <c r="AT24" i="6" s="1"/>
  <c r="AW24" i="6" s="1"/>
  <c r="AZ24" i="6" s="1"/>
  <c r="W13" i="6"/>
  <c r="S13" i="6"/>
  <c r="O13" i="6"/>
  <c r="K13" i="6"/>
  <c r="H13" i="6"/>
  <c r="G13" i="6"/>
  <c r="F13" i="6"/>
  <c r="E13" i="6"/>
  <c r="E40" i="5"/>
  <c r="F35" i="5"/>
  <c r="E35" i="5" s="1"/>
  <c r="F28" i="5"/>
  <c r="E28" i="5"/>
  <c r="E27" i="5" s="1"/>
  <c r="J42" i="1" s="1"/>
  <c r="E22" i="5"/>
  <c r="F17" i="5"/>
  <c r="E17" i="5"/>
  <c r="F10" i="5"/>
  <c r="E10" i="5" s="1"/>
  <c r="E24" i="4"/>
  <c r="E23" i="4"/>
  <c r="E17" i="4"/>
  <c r="E10" i="4"/>
  <c r="E9" i="4"/>
  <c r="E5" i="4" s="1"/>
  <c r="D2" i="4" s="1"/>
  <c r="J38" i="1" s="1"/>
  <c r="M36" i="1" s="1"/>
  <c r="E20" i="3"/>
  <c r="J31" i="1" s="1"/>
  <c r="E10" i="3"/>
  <c r="G84" i="2"/>
  <c r="E84" i="2"/>
  <c r="G41" i="2"/>
  <c r="E41" i="2"/>
  <c r="E38" i="2"/>
  <c r="G35" i="2"/>
  <c r="G10" i="2"/>
  <c r="J37" i="1"/>
  <c r="J29" i="1"/>
  <c r="H10" i="1"/>
  <c r="J8" i="1"/>
  <c r="D234" i="19" l="1"/>
  <c r="D7" i="19"/>
  <c r="D12" i="19"/>
  <c r="E5" i="19"/>
  <c r="E129" i="19"/>
  <c r="E149" i="19"/>
  <c r="E12" i="19"/>
  <c r="D87" i="19"/>
  <c r="D170" i="19"/>
  <c r="D9" i="19"/>
  <c r="E10" i="19"/>
  <c r="D171" i="19"/>
  <c r="D10" i="19"/>
  <c r="E213" i="19"/>
  <c r="E233" i="19"/>
  <c r="D8" i="19"/>
  <c r="E9" i="19"/>
  <c r="D128" i="19"/>
  <c r="E192" i="19"/>
  <c r="E9" i="3"/>
  <c r="E5" i="3" s="1"/>
  <c r="D2" i="3" s="1"/>
  <c r="J33" i="1" s="1"/>
  <c r="M29" i="1" s="1"/>
  <c r="J30" i="1"/>
  <c r="E5" i="13"/>
  <c r="H250" i="12"/>
  <c r="H251" i="12" s="1"/>
  <c r="E31" i="13" s="1"/>
  <c r="I255" i="12"/>
  <c r="I229" i="12"/>
  <c r="D5" i="13"/>
  <c r="F5" i="13" s="1"/>
  <c r="G5" i="13" s="1"/>
  <c r="E18" i="18"/>
  <c r="G182" i="12"/>
  <c r="AF57" i="9"/>
  <c r="AG57" i="9" s="1"/>
  <c r="AF92" i="9"/>
  <c r="AG92" i="9" s="1"/>
  <c r="AF108" i="9"/>
  <c r="AG108" i="9" s="1"/>
  <c r="G15" i="18"/>
  <c r="D21" i="13"/>
  <c r="J36" i="1"/>
  <c r="M212" i="6"/>
  <c r="E9" i="5"/>
  <c r="AF68" i="9"/>
  <c r="AG68" i="9" s="1"/>
  <c r="AF84" i="9"/>
  <c r="AG84" i="9" s="1"/>
  <c r="AF100" i="9"/>
  <c r="AG100" i="9" s="1"/>
  <c r="G121" i="12"/>
  <c r="G263" i="12"/>
  <c r="E3" i="18"/>
  <c r="G6" i="12"/>
  <c r="H103" i="12"/>
  <c r="H227" i="12"/>
  <c r="G76" i="18"/>
  <c r="F68" i="18"/>
  <c r="I144" i="12"/>
  <c r="E25" i="18"/>
  <c r="H45" i="18"/>
  <c r="K177" i="12"/>
  <c r="G46" i="18"/>
  <c r="J177" i="12"/>
  <c r="F47" i="18"/>
  <c r="I177" i="12"/>
  <c r="H182" i="12"/>
  <c r="F50" i="18"/>
  <c r="H196" i="12"/>
  <c r="E51" i="18"/>
  <c r="G196" i="12"/>
  <c r="G248" i="14"/>
  <c r="G249" i="14" s="1"/>
  <c r="G252" i="14"/>
  <c r="G253" i="14" s="1"/>
  <c r="I229" i="15"/>
  <c r="I250" i="15"/>
  <c r="I251" i="15" s="1"/>
  <c r="I255" i="15"/>
  <c r="I43" i="15"/>
  <c r="I55" i="15" s="1"/>
  <c r="J163" i="15"/>
  <c r="J121" i="15"/>
  <c r="J263" i="15"/>
  <c r="I243" i="15"/>
  <c r="I244" i="15" s="1"/>
  <c r="I242" i="15"/>
  <c r="I245" i="15"/>
  <c r="O2" i="12"/>
  <c r="F3" i="18"/>
  <c r="I103" i="12"/>
  <c r="I227" i="12"/>
  <c r="J6" i="12"/>
  <c r="K11" i="12"/>
  <c r="K23" i="12" s="1"/>
  <c r="J11" i="12"/>
  <c r="J23" i="12" s="1"/>
  <c r="I73" i="12"/>
  <c r="J141" i="12"/>
  <c r="H26" i="18"/>
  <c r="K141" i="12"/>
  <c r="J144" i="12"/>
  <c r="H50" i="18"/>
  <c r="J196" i="12"/>
  <c r="E22" i="13"/>
  <c r="I229" i="14"/>
  <c r="I255" i="14"/>
  <c r="J43" i="15"/>
  <c r="J55" i="15" s="1"/>
  <c r="J255" i="15"/>
  <c r="J250" i="15"/>
  <c r="J251" i="15" s="1"/>
  <c r="J229" i="15"/>
  <c r="K121" i="15"/>
  <c r="K263" i="15"/>
  <c r="K222" i="15"/>
  <c r="I252" i="16"/>
  <c r="I253" i="16" s="1"/>
  <c r="I248" i="16"/>
  <c r="I249" i="16" s="1"/>
  <c r="H252" i="16"/>
  <c r="H253" i="16" s="1"/>
  <c r="H248" i="16"/>
  <c r="H249" i="16" s="1"/>
  <c r="K263" i="16"/>
  <c r="K121" i="16"/>
  <c r="K163" i="16"/>
  <c r="G23" i="12"/>
  <c r="H229" i="12" s="1"/>
  <c r="K27" i="12"/>
  <c r="J34" i="12"/>
  <c r="J26" i="12" s="1"/>
  <c r="I113" i="12"/>
  <c r="G141" i="12"/>
  <c r="H144" i="12"/>
  <c r="H18" i="18"/>
  <c r="H17" i="18" s="1"/>
  <c r="J182" i="12"/>
  <c r="J193" i="12" s="1"/>
  <c r="K196" i="12"/>
  <c r="F15" i="18"/>
  <c r="H250" i="14"/>
  <c r="H251" i="14" s="1"/>
  <c r="H255" i="14"/>
  <c r="H229" i="14"/>
  <c r="G255" i="14"/>
  <c r="G250" i="14"/>
  <c r="G251" i="14" s="1"/>
  <c r="G43" i="14"/>
  <c r="G55" i="14" s="1"/>
  <c r="G255" i="16"/>
  <c r="G250" i="16"/>
  <c r="G251" i="16" s="1"/>
  <c r="K255" i="16"/>
  <c r="K250" i="16"/>
  <c r="K251" i="16" s="1"/>
  <c r="J256" i="16"/>
  <c r="J43" i="16"/>
  <c r="J55" i="16" s="1"/>
  <c r="J255" i="16"/>
  <c r="J229" i="16"/>
  <c r="J250" i="16"/>
  <c r="J251" i="16" s="1"/>
  <c r="F8" i="18"/>
  <c r="D8" i="13"/>
  <c r="F8" i="13" s="1"/>
  <c r="G8" i="13" s="1"/>
  <c r="E54" i="18"/>
  <c r="H73" i="12"/>
  <c r="H55" i="18"/>
  <c r="K73" i="12"/>
  <c r="D13" i="13"/>
  <c r="I119" i="12"/>
  <c r="H76" i="18"/>
  <c r="K119" i="12"/>
  <c r="G162" i="12"/>
  <c r="G163" i="12" s="1"/>
  <c r="H71" i="18"/>
  <c r="K144" i="12"/>
  <c r="G40" i="18"/>
  <c r="G39" i="18" s="1"/>
  <c r="I167" i="12"/>
  <c r="G167" i="12"/>
  <c r="G193" i="12" s="1"/>
  <c r="K193" i="12"/>
  <c r="E23" i="18"/>
  <c r="H23" i="18"/>
  <c r="G23" i="18"/>
  <c r="I196" i="12"/>
  <c r="H87" i="18"/>
  <c r="G88" i="18"/>
  <c r="E21" i="13"/>
  <c r="K227" i="14"/>
  <c r="K103" i="14"/>
  <c r="H43" i="14"/>
  <c r="H55" i="14" s="1"/>
  <c r="I263" i="14"/>
  <c r="I121" i="14"/>
  <c r="J264" i="14"/>
  <c r="I125" i="14"/>
  <c r="I126" i="12"/>
  <c r="J141" i="14"/>
  <c r="J261" i="14" s="1"/>
  <c r="K162" i="14"/>
  <c r="K260" i="14"/>
  <c r="I144" i="14"/>
  <c r="I146" i="12"/>
  <c r="F69" i="18" s="1"/>
  <c r="J242" i="14"/>
  <c r="J245" i="14"/>
  <c r="J243" i="14"/>
  <c r="I208" i="14"/>
  <c r="I250" i="14" s="1"/>
  <c r="I251" i="14" s="1"/>
  <c r="I210" i="12"/>
  <c r="I208" i="12" s="1"/>
  <c r="I250" i="12" s="1"/>
  <c r="I251" i="12" s="1"/>
  <c r="D31" i="13" s="1"/>
  <c r="F31" i="13" s="1"/>
  <c r="G221" i="15"/>
  <c r="K103" i="16"/>
  <c r="K227" i="16"/>
  <c r="K229" i="16"/>
  <c r="G27" i="12"/>
  <c r="G31" i="12"/>
  <c r="K31" i="12"/>
  <c r="H34" i="12"/>
  <c r="H26" i="12" s="1"/>
  <c r="G8" i="18"/>
  <c r="K67" i="12"/>
  <c r="G79" i="18"/>
  <c r="G78" i="18" s="1"/>
  <c r="J67" i="12"/>
  <c r="J73" i="12"/>
  <c r="H32" i="18"/>
  <c r="F34" i="18"/>
  <c r="I86" i="12"/>
  <c r="D10" i="13" s="1"/>
  <c r="F10" i="13" s="1"/>
  <c r="G10" i="13" s="1"/>
  <c r="G60" i="18"/>
  <c r="G59" i="18" s="1"/>
  <c r="J125" i="12"/>
  <c r="G28" i="18"/>
  <c r="G68" i="18"/>
  <c r="E71" i="18"/>
  <c r="H70" i="18"/>
  <c r="G73" i="18"/>
  <c r="F74" i="18"/>
  <c r="E72" i="18"/>
  <c r="H27" i="18"/>
  <c r="G158" i="12"/>
  <c r="K158" i="12"/>
  <c r="H29" i="18" s="1"/>
  <c r="H177" i="12"/>
  <c r="E20" i="13" s="1"/>
  <c r="E45" i="18"/>
  <c r="H46" i="18"/>
  <c r="G47" i="18"/>
  <c r="F48" i="18"/>
  <c r="F51" i="18"/>
  <c r="E52" i="18"/>
  <c r="H53" i="18"/>
  <c r="J208" i="12"/>
  <c r="H16" i="18" s="1"/>
  <c r="G215" i="12"/>
  <c r="K215" i="12"/>
  <c r="K214" i="12" s="1"/>
  <c r="F22" i="18"/>
  <c r="E24" i="18"/>
  <c r="K264" i="14"/>
  <c r="K141" i="14"/>
  <c r="G162" i="14"/>
  <c r="G243" i="14" s="1"/>
  <c r="G244" i="14" s="1"/>
  <c r="E68" i="18"/>
  <c r="K221" i="14"/>
  <c r="J26" i="15"/>
  <c r="H43" i="15"/>
  <c r="H55" i="15" s="1"/>
  <c r="G121" i="15"/>
  <c r="G263" i="15"/>
  <c r="G163" i="15"/>
  <c r="G224" i="15" s="1"/>
  <c r="G222" i="15"/>
  <c r="J245" i="16"/>
  <c r="G34" i="18"/>
  <c r="J113" i="12"/>
  <c r="H67" i="18"/>
  <c r="G69" i="18"/>
  <c r="F41" i="18"/>
  <c r="I183" i="12"/>
  <c r="G35" i="18"/>
  <c r="E50" i="18"/>
  <c r="E49" i="18" s="1"/>
  <c r="G203" i="12"/>
  <c r="K203" i="12"/>
  <c r="H15" i="18" s="1"/>
  <c r="E16" i="18"/>
  <c r="F21" i="18"/>
  <c r="F20" i="18" s="1"/>
  <c r="H214" i="12"/>
  <c r="J256" i="14"/>
  <c r="J244" i="14"/>
  <c r="J229" i="14"/>
  <c r="J250" i="14"/>
  <c r="J251" i="14" s="1"/>
  <c r="J43" i="14"/>
  <c r="J55" i="14" s="1"/>
  <c r="H252" i="14"/>
  <c r="H253" i="14" s="1"/>
  <c r="H248" i="14"/>
  <c r="H249" i="14" s="1"/>
  <c r="J252" i="14"/>
  <c r="J253" i="14" s="1"/>
  <c r="J248" i="14"/>
  <c r="J249" i="14" s="1"/>
  <c r="J254" i="14" s="1"/>
  <c r="I27" i="14"/>
  <c r="I26" i="14" s="1"/>
  <c r="I43" i="14" s="1"/>
  <c r="I55" i="14" s="1"/>
  <c r="I29" i="12"/>
  <c r="I27" i="12" s="1"/>
  <c r="I26" i="12" s="1"/>
  <c r="J263" i="14"/>
  <c r="J163" i="14"/>
  <c r="J224" i="14" s="1"/>
  <c r="J121" i="14"/>
  <c r="G141" i="14"/>
  <c r="H260" i="14"/>
  <c r="G222" i="14"/>
  <c r="G256" i="14" s="1"/>
  <c r="H248" i="15"/>
  <c r="H249" i="15" s="1"/>
  <c r="H252" i="15"/>
  <c r="H253" i="15" s="1"/>
  <c r="H264" i="16"/>
  <c r="H141" i="16"/>
  <c r="H242" i="16"/>
  <c r="H245" i="16"/>
  <c r="H243" i="16"/>
  <c r="J245" i="17"/>
  <c r="J243" i="17"/>
  <c r="J242" i="17"/>
  <c r="H38" i="12"/>
  <c r="E8" i="18"/>
  <c r="H67" i="12"/>
  <c r="E78" i="18"/>
  <c r="H107" i="12"/>
  <c r="H61" i="18"/>
  <c r="H59" i="18" s="1"/>
  <c r="G62" i="18"/>
  <c r="F63" i="18"/>
  <c r="E64" i="18"/>
  <c r="H65" i="18"/>
  <c r="G66" i="18"/>
  <c r="J137" i="12"/>
  <c r="G25" i="18" s="1"/>
  <c r="I152" i="12"/>
  <c r="F25" i="18" s="1"/>
  <c r="H168" i="12"/>
  <c r="G41" i="18"/>
  <c r="H42" i="18"/>
  <c r="G43" i="18"/>
  <c r="E19" i="18"/>
  <c r="H35" i="18"/>
  <c r="E88" i="18"/>
  <c r="F87" i="18"/>
  <c r="G21" i="18"/>
  <c r="G20" i="18" s="1"/>
  <c r="K264" i="12"/>
  <c r="E8" i="13"/>
  <c r="J227" i="14"/>
  <c r="J103" i="14"/>
  <c r="K255" i="14"/>
  <c r="K229" i="14"/>
  <c r="K250" i="14"/>
  <c r="K251" i="14" s="1"/>
  <c r="K43" i="14"/>
  <c r="K55" i="14" s="1"/>
  <c r="K248" i="14"/>
  <c r="K249" i="14" s="1"/>
  <c r="K252" i="14"/>
  <c r="K253" i="14" s="1"/>
  <c r="K263" i="14"/>
  <c r="G121" i="14"/>
  <c r="H161" i="12"/>
  <c r="H158" i="12" s="1"/>
  <c r="E29" i="18" s="1"/>
  <c r="H158" i="14"/>
  <c r="H162" i="14" s="1"/>
  <c r="H221" i="14"/>
  <c r="G87" i="18"/>
  <c r="F88" i="18"/>
  <c r="H250" i="15"/>
  <c r="H251" i="15" s="1"/>
  <c r="H256" i="15"/>
  <c r="I252" i="15"/>
  <c r="I253" i="15" s="1"/>
  <c r="I248" i="15"/>
  <c r="I249" i="15" s="1"/>
  <c r="I254" i="15" s="1"/>
  <c r="H260" i="15"/>
  <c r="H162" i="15"/>
  <c r="H245" i="15" s="1"/>
  <c r="K221" i="15"/>
  <c r="J103" i="16"/>
  <c r="J227" i="16"/>
  <c r="I263" i="16"/>
  <c r="I121" i="16"/>
  <c r="G121" i="16"/>
  <c r="G263" i="16"/>
  <c r="J222" i="16"/>
  <c r="I221" i="16"/>
  <c r="H252" i="17"/>
  <c r="H253" i="17" s="1"/>
  <c r="H248" i="17"/>
  <c r="H249" i="17" s="1"/>
  <c r="J65" i="17"/>
  <c r="J259" i="17"/>
  <c r="K243" i="17"/>
  <c r="K244" i="17" s="1"/>
  <c r="J234" i="17"/>
  <c r="H222" i="16"/>
  <c r="H256" i="16" s="1"/>
  <c r="H227" i="17"/>
  <c r="G6" i="17"/>
  <c r="H103" i="17"/>
  <c r="K250" i="17"/>
  <c r="K251" i="17" s="1"/>
  <c r="K255" i="17"/>
  <c r="K229" i="17"/>
  <c r="I252" i="17"/>
  <c r="I253" i="17" s="1"/>
  <c r="I248" i="17"/>
  <c r="I249" i="17" s="1"/>
  <c r="J264" i="17"/>
  <c r="K222" i="17"/>
  <c r="K256" i="17" s="1"/>
  <c r="G103" i="15"/>
  <c r="G227" i="15"/>
  <c r="H163" i="15"/>
  <c r="H224" i="15" s="1"/>
  <c r="H121" i="15"/>
  <c r="I260" i="15"/>
  <c r="J252" i="16"/>
  <c r="J253" i="16" s="1"/>
  <c r="J248" i="16"/>
  <c r="J249" i="16" s="1"/>
  <c r="J263" i="16"/>
  <c r="J121" i="16"/>
  <c r="I260" i="16"/>
  <c r="I162" i="16"/>
  <c r="I261" i="16" s="1"/>
  <c r="K221" i="16"/>
  <c r="J227" i="17"/>
  <c r="K6" i="17"/>
  <c r="J103" i="17"/>
  <c r="G264" i="17"/>
  <c r="K264" i="17"/>
  <c r="J141" i="17"/>
  <c r="F78" i="18"/>
  <c r="F32" i="18"/>
  <c r="E61" i="18"/>
  <c r="E59" i="18" s="1"/>
  <c r="H62" i="18"/>
  <c r="G63" i="18"/>
  <c r="F64" i="18"/>
  <c r="E65" i="18"/>
  <c r="H66" i="18"/>
  <c r="H28" i="18"/>
  <c r="H69" i="18"/>
  <c r="G71" i="18"/>
  <c r="F70" i="18"/>
  <c r="E73" i="18"/>
  <c r="H74" i="18"/>
  <c r="G72" i="18"/>
  <c r="E27" i="18"/>
  <c r="E41" i="18"/>
  <c r="F42" i="18"/>
  <c r="E43" i="18"/>
  <c r="G45" i="18"/>
  <c r="G44" i="18" s="1"/>
  <c r="F46" i="18"/>
  <c r="F44" i="18" s="1"/>
  <c r="E47" i="18"/>
  <c r="H48" i="18"/>
  <c r="G19" i="18"/>
  <c r="F35" i="18"/>
  <c r="H51" i="18"/>
  <c r="G52" i="18"/>
  <c r="G49" i="18" s="1"/>
  <c r="G56" i="18" s="1"/>
  <c r="F53" i="18"/>
  <c r="E22" i="18"/>
  <c r="H24" i="18"/>
  <c r="E3" i="13"/>
  <c r="E26" i="13" s="1"/>
  <c r="J260" i="14"/>
  <c r="J103" i="15"/>
  <c r="J227" i="15"/>
  <c r="K6" i="15"/>
  <c r="H103" i="15"/>
  <c r="G141" i="15"/>
  <c r="G264" i="15"/>
  <c r="K264" i="15"/>
  <c r="J261" i="15"/>
  <c r="I193" i="15"/>
  <c r="I222" i="15" s="1"/>
  <c r="I256" i="15" s="1"/>
  <c r="J221" i="15"/>
  <c r="H263" i="15"/>
  <c r="I255" i="16"/>
  <c r="I229" i="16"/>
  <c r="I43" i="16"/>
  <c r="I55" i="16" s="1"/>
  <c r="H119" i="16"/>
  <c r="G141" i="16"/>
  <c r="G264" i="16"/>
  <c r="K264" i="16"/>
  <c r="G221" i="16"/>
  <c r="G222" i="16" s="1"/>
  <c r="G256" i="16" s="1"/>
  <c r="I255" i="17"/>
  <c r="I43" i="17"/>
  <c r="I55" i="17" s="1"/>
  <c r="I250" i="17"/>
  <c r="I251" i="17" s="1"/>
  <c r="I121" i="17"/>
  <c r="H263" i="17"/>
  <c r="H163" i="17"/>
  <c r="H121" i="17"/>
  <c r="G263" i="17"/>
  <c r="G121" i="17"/>
  <c r="H39" i="18"/>
  <c r="G11" i="15"/>
  <c r="G23" i="15" s="1"/>
  <c r="K11" i="15"/>
  <c r="K23" i="15" s="1"/>
  <c r="H264" i="15"/>
  <c r="K141" i="15"/>
  <c r="K163" i="15" s="1"/>
  <c r="K224" i="15" s="1"/>
  <c r="H250" i="16"/>
  <c r="H251" i="16" s="1"/>
  <c r="H244" i="16"/>
  <c r="H255" i="16"/>
  <c r="G26" i="16"/>
  <c r="K26" i="16"/>
  <c r="K43" i="16" s="1"/>
  <c r="K55" i="16" s="1"/>
  <c r="G162" i="16"/>
  <c r="K162" i="16"/>
  <c r="K261" i="16" s="1"/>
  <c r="G227" i="16"/>
  <c r="H229" i="17"/>
  <c r="H255" i="17"/>
  <c r="H43" i="17"/>
  <c r="H55" i="17" s="1"/>
  <c r="G250" i="17"/>
  <c r="G251" i="17" s="1"/>
  <c r="J252" i="17"/>
  <c r="J253" i="17" s="1"/>
  <c r="K263" i="17"/>
  <c r="G260" i="17"/>
  <c r="G162" i="17"/>
  <c r="G261" i="17" s="1"/>
  <c r="K260" i="17"/>
  <c r="K162" i="17"/>
  <c r="K242" i="17" s="1"/>
  <c r="H250" i="17"/>
  <c r="H251" i="17" s="1"/>
  <c r="G26" i="15"/>
  <c r="K26" i="15"/>
  <c r="I263" i="15"/>
  <c r="I121" i="15"/>
  <c r="G162" i="15"/>
  <c r="K162" i="15"/>
  <c r="I163" i="15"/>
  <c r="I224" i="15" s="1"/>
  <c r="K260" i="15"/>
  <c r="H43" i="16"/>
  <c r="H55" i="16" s="1"/>
  <c r="H260" i="16"/>
  <c r="J162" i="16"/>
  <c r="J243" i="16" s="1"/>
  <c r="J244" i="16" s="1"/>
  <c r="H227" i="16"/>
  <c r="H229" i="16"/>
  <c r="G260" i="16"/>
  <c r="I264" i="16"/>
  <c r="J255" i="17"/>
  <c r="J250" i="17"/>
  <c r="J251" i="17" s="1"/>
  <c r="J254" i="17" s="1"/>
  <c r="J244" i="17"/>
  <c r="J229" i="17"/>
  <c r="K141" i="17"/>
  <c r="K261" i="17" s="1"/>
  <c r="J193" i="17"/>
  <c r="J222" i="17" s="1"/>
  <c r="J256" i="17" s="1"/>
  <c r="I221" i="17"/>
  <c r="I222" i="17" s="1"/>
  <c r="I256" i="17" s="1"/>
  <c r="H221" i="17"/>
  <c r="E4" i="19"/>
  <c r="E42" i="19"/>
  <c r="E43" i="19"/>
  <c r="I162" i="17"/>
  <c r="G221" i="17"/>
  <c r="I260" i="17"/>
  <c r="J263" i="17"/>
  <c r="G17" i="19"/>
  <c r="G16" i="19"/>
  <c r="M16" i="19"/>
  <c r="L17" i="19"/>
  <c r="J17" i="19"/>
  <c r="E14" i="19"/>
  <c r="D212" i="19"/>
  <c r="D213" i="19"/>
  <c r="G26" i="17"/>
  <c r="G43" i="17" s="1"/>
  <c r="G55" i="17" s="1"/>
  <c r="K26" i="17"/>
  <c r="I141" i="17"/>
  <c r="I261" i="17" s="1"/>
  <c r="J260" i="17"/>
  <c r="E13" i="19"/>
  <c r="E65" i="19"/>
  <c r="P107" i="19"/>
  <c r="D150" i="19"/>
  <c r="D149" i="19"/>
  <c r="B17" i="19"/>
  <c r="F16" i="19"/>
  <c r="B16" i="19"/>
  <c r="D43" i="19"/>
  <c r="D5" i="19"/>
  <c r="D6" i="19"/>
  <c r="D66" i="19"/>
  <c r="D65" i="19"/>
  <c r="E7" i="19"/>
  <c r="E11" i="19"/>
  <c r="D15" i="19"/>
  <c r="D108" i="19"/>
  <c r="D107" i="19"/>
  <c r="D4" i="19"/>
  <c r="E87" i="19"/>
  <c r="E86" i="19"/>
  <c r="D14" i="19"/>
  <c r="D86" i="19"/>
  <c r="E107" i="19"/>
  <c r="E108" i="19"/>
  <c r="E6" i="19"/>
  <c r="E128" i="19"/>
  <c r="D129" i="19"/>
  <c r="P149" i="19"/>
  <c r="E8" i="19"/>
  <c r="P170" i="19"/>
  <c r="D192" i="19"/>
  <c r="D191" i="19"/>
  <c r="E212" i="19"/>
  <c r="C17" i="19"/>
  <c r="C16" i="19"/>
  <c r="P5" i="19"/>
  <c r="P7" i="19"/>
  <c r="P9" i="19"/>
  <c r="P16" i="19" s="1"/>
  <c r="E66" i="19"/>
  <c r="D13" i="19"/>
  <c r="E171" i="19"/>
  <c r="E170" i="19"/>
  <c r="E191" i="19"/>
  <c r="F17" i="19"/>
  <c r="P12" i="19"/>
  <c r="P14" i="19"/>
  <c r="D42" i="19"/>
  <c r="E15" i="19"/>
  <c r="P65" i="19"/>
  <c r="D11" i="19"/>
  <c r="E150" i="19"/>
  <c r="D233" i="19"/>
  <c r="E234" i="19"/>
  <c r="P17" i="19"/>
  <c r="K65" i="16" l="1"/>
  <c r="K234" i="16"/>
  <c r="K259" i="16"/>
  <c r="K230" i="16"/>
  <c r="I230" i="14"/>
  <c r="I234" i="14"/>
  <c r="I65" i="14"/>
  <c r="H252" i="12"/>
  <c r="H253" i="12" s="1"/>
  <c r="E33" i="13" s="1"/>
  <c r="H248" i="12"/>
  <c r="H249" i="12" s="1"/>
  <c r="H43" i="12"/>
  <c r="J248" i="12"/>
  <c r="J249" i="12" s="1"/>
  <c r="J252" i="12"/>
  <c r="J253" i="12" s="1"/>
  <c r="G234" i="17"/>
  <c r="G259" i="17"/>
  <c r="G65" i="17"/>
  <c r="H163" i="14"/>
  <c r="H261" i="14"/>
  <c r="D16" i="19"/>
  <c r="D17" i="19"/>
  <c r="H230" i="17"/>
  <c r="H65" i="17"/>
  <c r="H234" i="17"/>
  <c r="K255" i="15"/>
  <c r="K256" i="15"/>
  <c r="K229" i="15"/>
  <c r="K43" i="15"/>
  <c r="K55" i="15" s="1"/>
  <c r="K250" i="15"/>
  <c r="K251" i="15" s="1"/>
  <c r="J261" i="17"/>
  <c r="J163" i="17"/>
  <c r="J224" i="17" s="1"/>
  <c r="K245" i="16"/>
  <c r="K243" i="16"/>
  <c r="K244" i="16" s="1"/>
  <c r="K242" i="16"/>
  <c r="J81" i="17"/>
  <c r="J84" i="17" s="1"/>
  <c r="J237" i="17"/>
  <c r="I243" i="16"/>
  <c r="I244" i="16" s="1"/>
  <c r="I245" i="16"/>
  <c r="I242" i="16"/>
  <c r="F40" i="18"/>
  <c r="F39" i="18" s="1"/>
  <c r="H167" i="12"/>
  <c r="H234" i="15"/>
  <c r="H65" i="15"/>
  <c r="G242" i="14"/>
  <c r="J234" i="15"/>
  <c r="J259" i="15"/>
  <c r="J65" i="15"/>
  <c r="J230" i="15"/>
  <c r="F49" i="18"/>
  <c r="F56" i="18" s="1"/>
  <c r="D17" i="13"/>
  <c r="I162" i="12"/>
  <c r="G103" i="12"/>
  <c r="G227" i="12"/>
  <c r="H243" i="17"/>
  <c r="H244" i="17" s="1"/>
  <c r="H242" i="17"/>
  <c r="H245" i="17"/>
  <c r="G248" i="16"/>
  <c r="G249" i="16" s="1"/>
  <c r="G254" i="16" s="1"/>
  <c r="G252" i="16"/>
  <c r="G253" i="16" s="1"/>
  <c r="G255" i="15"/>
  <c r="G43" i="15"/>
  <c r="G55" i="15" s="1"/>
  <c r="G250" i="15"/>
  <c r="G251" i="15" s="1"/>
  <c r="G256" i="15"/>
  <c r="G163" i="17"/>
  <c r="I234" i="17"/>
  <c r="I65" i="17"/>
  <c r="I230" i="17"/>
  <c r="G261" i="16"/>
  <c r="G163" i="16"/>
  <c r="G224" i="16" s="1"/>
  <c r="K103" i="15"/>
  <c r="K227" i="15"/>
  <c r="I254" i="17"/>
  <c r="H222" i="17"/>
  <c r="H256" i="17" s="1"/>
  <c r="H254" i="17"/>
  <c r="I163" i="16"/>
  <c r="K245" i="15"/>
  <c r="K243" i="15"/>
  <c r="K244" i="15" s="1"/>
  <c r="K242" i="15"/>
  <c r="H242" i="14"/>
  <c r="H245" i="14"/>
  <c r="H243" i="14"/>
  <c r="H244" i="14" s="1"/>
  <c r="K254" i="14"/>
  <c r="E76" i="18"/>
  <c r="H119" i="12"/>
  <c r="E13" i="13"/>
  <c r="F13" i="13" s="1"/>
  <c r="G13" i="13" s="1"/>
  <c r="E15" i="18"/>
  <c r="E35" i="2"/>
  <c r="J242" i="16"/>
  <c r="H261" i="15"/>
  <c r="J252" i="15"/>
  <c r="J253" i="15" s="1"/>
  <c r="J248" i="15"/>
  <c r="J249" i="15" s="1"/>
  <c r="J254" i="15" s="1"/>
  <c r="K261" i="14"/>
  <c r="G67" i="18"/>
  <c r="G26" i="12"/>
  <c r="H243" i="15"/>
  <c r="H244" i="15" s="1"/>
  <c r="I221" i="14"/>
  <c r="H234" i="14"/>
  <c r="H230" i="14"/>
  <c r="H65" i="14"/>
  <c r="K162" i="12"/>
  <c r="K261" i="12" s="1"/>
  <c r="K260" i="12"/>
  <c r="K121" i="12"/>
  <c r="K263" i="12"/>
  <c r="K163" i="12"/>
  <c r="F76" i="18"/>
  <c r="G245" i="14"/>
  <c r="G234" i="14"/>
  <c r="G259" i="14"/>
  <c r="G260" i="14"/>
  <c r="G65" i="14"/>
  <c r="I254" i="16"/>
  <c r="F16" i="18"/>
  <c r="J260" i="12"/>
  <c r="J162" i="12"/>
  <c r="J261" i="12" s="1"/>
  <c r="G3" i="18"/>
  <c r="J227" i="12"/>
  <c r="K6" i="12"/>
  <c r="J103" i="12"/>
  <c r="H242" i="15"/>
  <c r="J224" i="15"/>
  <c r="K163" i="14"/>
  <c r="H44" i="18"/>
  <c r="F67" i="18"/>
  <c r="F21" i="13"/>
  <c r="G21" i="13" s="1"/>
  <c r="H255" i="12"/>
  <c r="K248" i="16"/>
  <c r="K249" i="16" s="1"/>
  <c r="K252" i="16"/>
  <c r="K253" i="16" s="1"/>
  <c r="J259" i="14"/>
  <c r="J65" i="14"/>
  <c r="J234" i="14"/>
  <c r="J230" i="14"/>
  <c r="K222" i="16"/>
  <c r="K256" i="16" s="1"/>
  <c r="K248" i="17"/>
  <c r="K249" i="17" s="1"/>
  <c r="K252" i="17"/>
  <c r="K253" i="17" s="1"/>
  <c r="I242" i="17"/>
  <c r="I245" i="17"/>
  <c r="I243" i="17"/>
  <c r="I244" i="17" s="1"/>
  <c r="K252" i="15"/>
  <c r="K253" i="15" s="1"/>
  <c r="K248" i="15"/>
  <c r="K249" i="15" s="1"/>
  <c r="K163" i="17"/>
  <c r="K224" i="17" s="1"/>
  <c r="K261" i="15"/>
  <c r="I163" i="17"/>
  <c r="I224" i="17" s="1"/>
  <c r="H121" i="16"/>
  <c r="H263" i="16"/>
  <c r="H163" i="16"/>
  <c r="H224" i="16" s="1"/>
  <c r="K103" i="17"/>
  <c r="K227" i="17"/>
  <c r="J163" i="16"/>
  <c r="J224" i="16" s="1"/>
  <c r="K43" i="17"/>
  <c r="K55" i="17" s="1"/>
  <c r="G103" i="17"/>
  <c r="G227" i="17"/>
  <c r="K245" i="17"/>
  <c r="J230" i="17"/>
  <c r="G264" i="14"/>
  <c r="G163" i="14"/>
  <c r="G224" i="14" s="1"/>
  <c r="G261" i="14"/>
  <c r="I248" i="12"/>
  <c r="I249" i="12" s="1"/>
  <c r="I252" i="12"/>
  <c r="I253" i="12" s="1"/>
  <c r="D33" i="13" s="1"/>
  <c r="H254" i="14"/>
  <c r="J261" i="16"/>
  <c r="K245" i="14"/>
  <c r="K243" i="14"/>
  <c r="K244" i="14" s="1"/>
  <c r="K242" i="14"/>
  <c r="G245" i="15"/>
  <c r="G243" i="15"/>
  <c r="G244" i="15" s="1"/>
  <c r="G242" i="15"/>
  <c r="I260" i="14"/>
  <c r="I162" i="14"/>
  <c r="F60" i="18"/>
  <c r="F59" i="18" s="1"/>
  <c r="I125" i="12"/>
  <c r="E40" i="18"/>
  <c r="E39" i="18" s="1"/>
  <c r="K222" i="14"/>
  <c r="K256" i="14" s="1"/>
  <c r="K221" i="12"/>
  <c r="K222" i="12" s="1"/>
  <c r="K256" i="12" s="1"/>
  <c r="E17" i="13"/>
  <c r="H162" i="12"/>
  <c r="K26" i="12"/>
  <c r="H222" i="14"/>
  <c r="J221" i="12"/>
  <c r="J222" i="12" s="1"/>
  <c r="J256" i="12" s="1"/>
  <c r="I230" i="15"/>
  <c r="I234" i="15"/>
  <c r="I65" i="15"/>
  <c r="J41" i="1"/>
  <c r="E5" i="5"/>
  <c r="D2" i="5" s="1"/>
  <c r="J43" i="1" s="1"/>
  <c r="M41" i="1" s="1"/>
  <c r="I43" i="12"/>
  <c r="G245" i="16"/>
  <c r="G242" i="16"/>
  <c r="G243" i="16"/>
  <c r="G244" i="16" s="1"/>
  <c r="J242" i="15"/>
  <c r="J245" i="15"/>
  <c r="J243" i="15"/>
  <c r="J244" i="15" s="1"/>
  <c r="G18" i="18"/>
  <c r="G17" i="18" s="1"/>
  <c r="I182" i="12"/>
  <c r="I193" i="12" s="1"/>
  <c r="I222" i="12" s="1"/>
  <c r="I256" i="12" s="1"/>
  <c r="I221" i="12"/>
  <c r="D20" i="13"/>
  <c r="F20" i="13" s="1"/>
  <c r="G20" i="13" s="1"/>
  <c r="F29" i="18"/>
  <c r="K43" i="12"/>
  <c r="K55" i="12" s="1"/>
  <c r="K229" i="12"/>
  <c r="K250" i="12"/>
  <c r="K251" i="12" s="1"/>
  <c r="K255" i="12"/>
  <c r="G248" i="17"/>
  <c r="G249" i="17" s="1"/>
  <c r="G254" i="17" s="1"/>
  <c r="G252" i="17"/>
  <c r="G253" i="17" s="1"/>
  <c r="G245" i="17"/>
  <c r="G242" i="17"/>
  <c r="G243" i="17"/>
  <c r="G244" i="17" s="1"/>
  <c r="G222" i="17"/>
  <c r="G256" i="17" s="1"/>
  <c r="E16" i="19"/>
  <c r="E17" i="19"/>
  <c r="H234" i="16"/>
  <c r="H65" i="16"/>
  <c r="G248" i="15"/>
  <c r="G249" i="15" s="1"/>
  <c r="G252" i="15"/>
  <c r="G253" i="15" s="1"/>
  <c r="I230" i="16"/>
  <c r="I65" i="16"/>
  <c r="I234" i="16"/>
  <c r="G261" i="15"/>
  <c r="J254" i="16"/>
  <c r="H229" i="15"/>
  <c r="K230" i="14"/>
  <c r="K259" i="14"/>
  <c r="K234" i="14"/>
  <c r="K65" i="14"/>
  <c r="H261" i="16"/>
  <c r="H254" i="15"/>
  <c r="I248" i="14"/>
  <c r="I249" i="14" s="1"/>
  <c r="I254" i="14" s="1"/>
  <c r="I252" i="14"/>
  <c r="I253" i="14" s="1"/>
  <c r="E67" i="18"/>
  <c r="E21" i="18"/>
  <c r="E20" i="18" s="1"/>
  <c r="G214" i="12"/>
  <c r="G221" i="12" s="1"/>
  <c r="E44" i="18"/>
  <c r="E56" i="18" s="1"/>
  <c r="J264" i="12"/>
  <c r="G16" i="18"/>
  <c r="D22" i="13"/>
  <c r="F22" i="13" s="1"/>
  <c r="G22" i="13" s="1"/>
  <c r="G38" i="2"/>
  <c r="I141" i="14"/>
  <c r="D19" i="13"/>
  <c r="G32" i="2"/>
  <c r="I263" i="12"/>
  <c r="D14" i="13"/>
  <c r="I121" i="12"/>
  <c r="J259" i="16"/>
  <c r="J230" i="16"/>
  <c r="J234" i="16"/>
  <c r="J65" i="16"/>
  <c r="G43" i="16"/>
  <c r="G55" i="16" s="1"/>
  <c r="G261" i="12"/>
  <c r="E26" i="2"/>
  <c r="G43" i="12"/>
  <c r="G55" i="12" s="1"/>
  <c r="G250" i="12"/>
  <c r="G251" i="12" s="1"/>
  <c r="G255" i="12"/>
  <c r="E10" i="2"/>
  <c r="H254" i="16"/>
  <c r="J222" i="15"/>
  <c r="J256" i="15" s="1"/>
  <c r="H21" i="18"/>
  <c r="H20" i="18" s="1"/>
  <c r="H49" i="18"/>
  <c r="H56" i="18" s="1"/>
  <c r="J229" i="12"/>
  <c r="J250" i="12"/>
  <c r="J251" i="12" s="1"/>
  <c r="J255" i="12"/>
  <c r="J43" i="12"/>
  <c r="J55" i="12" s="1"/>
  <c r="I222" i="16"/>
  <c r="I256" i="16" s="1"/>
  <c r="G254" i="14"/>
  <c r="H221" i="12"/>
  <c r="F18" i="18"/>
  <c r="F17" i="18" s="1"/>
  <c r="J119" i="12"/>
  <c r="E17" i="18"/>
  <c r="G242" i="12" l="1"/>
  <c r="G243" i="12"/>
  <c r="G244" i="12" s="1"/>
  <c r="G245" i="12"/>
  <c r="G222" i="12"/>
  <c r="J263" i="12"/>
  <c r="J163" i="12"/>
  <c r="J224" i="12" s="1"/>
  <c r="J121" i="12"/>
  <c r="I55" i="12"/>
  <c r="D6" i="13"/>
  <c r="G13" i="2"/>
  <c r="E29" i="2"/>
  <c r="H261" i="12"/>
  <c r="D32" i="13"/>
  <c r="I254" i="12"/>
  <c r="G88" i="2" s="1"/>
  <c r="K234" i="17"/>
  <c r="K259" i="17"/>
  <c r="K230" i="17"/>
  <c r="K65" i="17"/>
  <c r="J259" i="12"/>
  <c r="J230" i="12"/>
  <c r="J65" i="12"/>
  <c r="J234" i="12"/>
  <c r="J81" i="16"/>
  <c r="J84" i="16" s="1"/>
  <c r="J237" i="16"/>
  <c r="I261" i="14"/>
  <c r="I163" i="14"/>
  <c r="I224" i="14" s="1"/>
  <c r="G254" i="15"/>
  <c r="K252" i="12"/>
  <c r="K253" i="12" s="1"/>
  <c r="K248" i="12"/>
  <c r="K249" i="12" s="1"/>
  <c r="K254" i="12" s="1"/>
  <c r="K254" i="17"/>
  <c r="K254" i="16"/>
  <c r="I243" i="14"/>
  <c r="I244" i="14" s="1"/>
  <c r="I242" i="14"/>
  <c r="I245" i="14"/>
  <c r="I222" i="14"/>
  <c r="H163" i="12"/>
  <c r="E14" i="13"/>
  <c r="H263" i="12"/>
  <c r="H121" i="12"/>
  <c r="G224" i="17"/>
  <c r="H193" i="12"/>
  <c r="H222" i="12" s="1"/>
  <c r="E19" i="13"/>
  <c r="F19" i="13" s="1"/>
  <c r="G19" i="13" s="1"/>
  <c r="E32" i="2"/>
  <c r="H224" i="17"/>
  <c r="H259" i="17"/>
  <c r="H237" i="17"/>
  <c r="H81" i="17"/>
  <c r="H84" i="17" s="1"/>
  <c r="G81" i="17"/>
  <c r="G84" i="17" s="1"/>
  <c r="G237" i="17"/>
  <c r="J254" i="12"/>
  <c r="I259" i="14"/>
  <c r="I237" i="14"/>
  <c r="I81" i="14"/>
  <c r="I84" i="14" s="1"/>
  <c r="G65" i="16"/>
  <c r="G234" i="16"/>
  <c r="G259" i="16"/>
  <c r="D36" i="13"/>
  <c r="G72" i="2"/>
  <c r="K224" i="12"/>
  <c r="G65" i="15"/>
  <c r="G259" i="15"/>
  <c r="G234" i="15"/>
  <c r="H245" i="12"/>
  <c r="E30" i="13" s="1"/>
  <c r="H243" i="12"/>
  <c r="H242" i="12"/>
  <c r="D15" i="13"/>
  <c r="G23" i="2"/>
  <c r="K81" i="14"/>
  <c r="K84" i="14" s="1"/>
  <c r="K237" i="14"/>
  <c r="I259" i="16"/>
  <c r="I237" i="16"/>
  <c r="I81" i="16"/>
  <c r="I84" i="16" s="1"/>
  <c r="H230" i="16"/>
  <c r="K65" i="12"/>
  <c r="K230" i="12"/>
  <c r="K234" i="12"/>
  <c r="K259" i="12"/>
  <c r="I243" i="12"/>
  <c r="I242" i="12"/>
  <c r="I245" i="12"/>
  <c r="D30" i="13" s="1"/>
  <c r="F30" i="13" s="1"/>
  <c r="K242" i="12"/>
  <c r="K245" i="12"/>
  <c r="K243" i="12"/>
  <c r="K244" i="12" s="1"/>
  <c r="I264" i="12"/>
  <c r="D16" i="13"/>
  <c r="F16" i="13" s="1"/>
  <c r="G16" i="13" s="1"/>
  <c r="I141" i="12"/>
  <c r="J237" i="14"/>
  <c r="J81" i="14"/>
  <c r="J84" i="14" s="1"/>
  <c r="G81" i="14"/>
  <c r="G84" i="14" s="1"/>
  <c r="G237" i="14"/>
  <c r="H259" i="14"/>
  <c r="H237" i="14"/>
  <c r="H81" i="14"/>
  <c r="H84" i="14" s="1"/>
  <c r="I224" i="16"/>
  <c r="G29" i="2"/>
  <c r="H81" i="15"/>
  <c r="H84" i="15" s="1"/>
  <c r="H237" i="15"/>
  <c r="H259" i="15"/>
  <c r="H55" i="12"/>
  <c r="E6" i="13"/>
  <c r="E13" i="2"/>
  <c r="H264" i="14"/>
  <c r="H256" i="14"/>
  <c r="J81" i="15"/>
  <c r="J84" i="15" s="1"/>
  <c r="J237" i="15"/>
  <c r="H224" i="14"/>
  <c r="G65" i="12"/>
  <c r="G234" i="12"/>
  <c r="G259" i="12"/>
  <c r="G260" i="12"/>
  <c r="F14" i="13"/>
  <c r="G14" i="13" s="1"/>
  <c r="H81" i="16"/>
  <c r="H84" i="16" s="1"/>
  <c r="H259" i="16"/>
  <c r="H237" i="16"/>
  <c r="I259" i="15"/>
  <c r="I237" i="15"/>
  <c r="I81" i="15"/>
  <c r="I84" i="15" s="1"/>
  <c r="J243" i="12"/>
  <c r="J244" i="12" s="1"/>
  <c r="J242" i="12"/>
  <c r="J245" i="12"/>
  <c r="F33" i="13"/>
  <c r="K254" i="15"/>
  <c r="K224" i="16"/>
  <c r="K224" i="14"/>
  <c r="H3" i="18"/>
  <c r="K103" i="12"/>
  <c r="K227" i="12"/>
  <c r="G252" i="12"/>
  <c r="G253" i="12" s="1"/>
  <c r="G248" i="12"/>
  <c r="G249" i="12" s="1"/>
  <c r="I259" i="17"/>
  <c r="I237" i="17"/>
  <c r="I81" i="17"/>
  <c r="I84" i="17" s="1"/>
  <c r="F17" i="13"/>
  <c r="G17" i="13" s="1"/>
  <c r="H230" i="15"/>
  <c r="J92" i="17"/>
  <c r="J89" i="17"/>
  <c r="K65" i="15"/>
  <c r="K259" i="15"/>
  <c r="K230" i="15"/>
  <c r="K234" i="15"/>
  <c r="H254" i="12"/>
  <c r="E32" i="13"/>
  <c r="K81" i="16"/>
  <c r="K84" i="16" s="1"/>
  <c r="K237" i="16"/>
  <c r="I89" i="17" l="1"/>
  <c r="I92" i="17"/>
  <c r="G81" i="12"/>
  <c r="G84" i="12" s="1"/>
  <c r="G237" i="12"/>
  <c r="H92" i="15"/>
  <c r="H89" i="15"/>
  <c r="G237" i="16"/>
  <c r="G81" i="16"/>
  <c r="G84" i="16" s="1"/>
  <c r="K237" i="17"/>
  <c r="K81" i="17"/>
  <c r="K84" i="17" s="1"/>
  <c r="K92" i="16"/>
  <c r="K89" i="16"/>
  <c r="J239" i="17"/>
  <c r="J235" i="17"/>
  <c r="J100" i="17"/>
  <c r="J236" i="17" s="1"/>
  <c r="J238" i="17"/>
  <c r="J231" i="17"/>
  <c r="J99" i="17"/>
  <c r="J95" i="17"/>
  <c r="J262" i="17"/>
  <c r="I89" i="15"/>
  <c r="I92" i="15"/>
  <c r="H234" i="12"/>
  <c r="E34" i="13" s="1"/>
  <c r="H65" i="12"/>
  <c r="H230" i="12"/>
  <c r="E7" i="13"/>
  <c r="E16" i="2"/>
  <c r="H260" i="12"/>
  <c r="J92" i="14"/>
  <c r="J89" i="14"/>
  <c r="E29" i="13"/>
  <c r="E45" i="2"/>
  <c r="E64" i="2"/>
  <c r="I89" i="14"/>
  <c r="I92" i="14"/>
  <c r="H256" i="12"/>
  <c r="H264" i="12"/>
  <c r="G6" i="18"/>
  <c r="G13" i="18" s="1"/>
  <c r="G30" i="18" s="1"/>
  <c r="G36" i="18" s="1"/>
  <c r="J237" i="12"/>
  <c r="J81" i="12"/>
  <c r="J84" i="12" s="1"/>
  <c r="F32" i="13"/>
  <c r="F6" i="13"/>
  <c r="G6" i="13" s="1"/>
  <c r="G92" i="14"/>
  <c r="G89" i="14"/>
  <c r="H6" i="18"/>
  <c r="H13" i="18" s="1"/>
  <c r="H30" i="18" s="1"/>
  <c r="H36" i="18" s="1"/>
  <c r="K81" i="12"/>
  <c r="K84" i="12" s="1"/>
  <c r="K237" i="12"/>
  <c r="H92" i="16"/>
  <c r="H89" i="16"/>
  <c r="I89" i="16"/>
  <c r="I92" i="16"/>
  <c r="K92" i="14"/>
  <c r="K89" i="14"/>
  <c r="E28" i="13"/>
  <c r="H244" i="12"/>
  <c r="G237" i="15"/>
  <c r="G81" i="15"/>
  <c r="G84" i="15" s="1"/>
  <c r="G89" i="17"/>
  <c r="G92" i="17"/>
  <c r="H224" i="12"/>
  <c r="I234" i="12"/>
  <c r="D34" i="13" s="1"/>
  <c r="F34" i="13" s="1"/>
  <c r="D7" i="13"/>
  <c r="F7" i="13" s="1"/>
  <c r="G7" i="13" s="1"/>
  <c r="I230" i="12"/>
  <c r="I65" i="12"/>
  <c r="G16" i="2"/>
  <c r="I260" i="12"/>
  <c r="G264" i="12"/>
  <c r="G224" i="12"/>
  <c r="G256" i="12"/>
  <c r="J92" i="15"/>
  <c r="J89" i="15"/>
  <c r="H89" i="14"/>
  <c r="H92" i="14"/>
  <c r="D28" i="13"/>
  <c r="F28" i="13" s="1"/>
  <c r="I244" i="12"/>
  <c r="E36" i="13"/>
  <c r="F36" i="13" s="1"/>
  <c r="G51" i="2"/>
  <c r="E72" i="2"/>
  <c r="E51" i="2"/>
  <c r="E88" i="2"/>
  <c r="G60" i="2"/>
  <c r="K237" i="15"/>
  <c r="K81" i="15"/>
  <c r="K84" i="15" s="1"/>
  <c r="G254" i="12"/>
  <c r="E60" i="2" s="1"/>
  <c r="I261" i="12"/>
  <c r="G26" i="2"/>
  <c r="G22" i="2" s="1"/>
  <c r="H22" i="2" s="1"/>
  <c r="J23" i="1" s="1"/>
  <c r="I163" i="12"/>
  <c r="I224" i="12" s="1"/>
  <c r="D29" i="13"/>
  <c r="G45" i="2"/>
  <c r="G64" i="2"/>
  <c r="H92" i="17"/>
  <c r="H89" i="17"/>
  <c r="E15" i="13"/>
  <c r="F15" i="13" s="1"/>
  <c r="G15" i="13" s="1"/>
  <c r="E23" i="2"/>
  <c r="E22" i="2" s="1"/>
  <c r="I256" i="14"/>
  <c r="I264" i="14"/>
  <c r="J92" i="16"/>
  <c r="J89" i="16"/>
  <c r="J235" i="16" l="1"/>
  <c r="J231" i="16"/>
  <c r="J100" i="16"/>
  <c r="J236" i="16" s="1"/>
  <c r="J99" i="16"/>
  <c r="J95" i="16"/>
  <c r="J239" i="16"/>
  <c r="J238" i="16"/>
  <c r="J262" i="16"/>
  <c r="F29" i="13"/>
  <c r="F6" i="18"/>
  <c r="F13" i="18" s="1"/>
  <c r="F30" i="18" s="1"/>
  <c r="F36" i="18" s="1"/>
  <c r="I259" i="12"/>
  <c r="I237" i="12"/>
  <c r="I81" i="12"/>
  <c r="K239" i="14"/>
  <c r="K235" i="14"/>
  <c r="K231" i="14"/>
  <c r="K100" i="14"/>
  <c r="K236" i="14" s="1"/>
  <c r="K99" i="14"/>
  <c r="K238" i="14"/>
  <c r="K95" i="14"/>
  <c r="K262" i="14"/>
  <c r="H238" i="16"/>
  <c r="H100" i="16"/>
  <c r="H236" i="16" s="1"/>
  <c r="H239" i="16"/>
  <c r="H235" i="16"/>
  <c r="H95" i="16"/>
  <c r="H99" i="16"/>
  <c r="H262" i="16"/>
  <c r="I231" i="15"/>
  <c r="I99" i="15"/>
  <c r="I235" i="15"/>
  <c r="I100" i="15"/>
  <c r="I236" i="15" s="1"/>
  <c r="I95" i="15"/>
  <c r="I262" i="15"/>
  <c r="I239" i="15"/>
  <c r="I238" i="15"/>
  <c r="K89" i="17"/>
  <c r="K92" i="17"/>
  <c r="G92" i="12"/>
  <c r="G89" i="12"/>
  <c r="H238" i="14"/>
  <c r="H231" i="14"/>
  <c r="H235" i="14"/>
  <c r="H99" i="14"/>
  <c r="H262" i="14"/>
  <c r="H239" i="14"/>
  <c r="H100" i="14"/>
  <c r="H236" i="14" s="1"/>
  <c r="H95" i="14"/>
  <c r="G92" i="15"/>
  <c r="G89" i="15"/>
  <c r="K92" i="12"/>
  <c r="K89" i="12"/>
  <c r="K239" i="16"/>
  <c r="K235" i="16"/>
  <c r="K95" i="16"/>
  <c r="K231" i="16"/>
  <c r="K100" i="16"/>
  <c r="K236" i="16" s="1"/>
  <c r="K99" i="16"/>
  <c r="K238" i="16"/>
  <c r="K262" i="16"/>
  <c r="H231" i="17"/>
  <c r="H262" i="17"/>
  <c r="H100" i="17"/>
  <c r="H236" i="17" s="1"/>
  <c r="H99" i="17"/>
  <c r="H95" i="17"/>
  <c r="H235" i="17"/>
  <c r="H239" i="17"/>
  <c r="H238" i="17"/>
  <c r="K89" i="15"/>
  <c r="K92" i="15"/>
  <c r="G238" i="17"/>
  <c r="G99" i="17"/>
  <c r="G100" i="17"/>
  <c r="G236" i="17" s="1"/>
  <c r="G95" i="17"/>
  <c r="G235" i="17"/>
  <c r="G239" i="17"/>
  <c r="G262" i="17"/>
  <c r="I231" i="16"/>
  <c r="I99" i="16"/>
  <c r="I238" i="16"/>
  <c r="I100" i="16"/>
  <c r="I236" i="16" s="1"/>
  <c r="I235" i="16"/>
  <c r="I95" i="16"/>
  <c r="I239" i="16"/>
  <c r="I262" i="16"/>
  <c r="J92" i="12"/>
  <c r="J89" i="12"/>
  <c r="J239" i="14"/>
  <c r="J238" i="14"/>
  <c r="J95" i="14"/>
  <c r="J235" i="14"/>
  <c r="J231" i="14"/>
  <c r="J100" i="14"/>
  <c r="J236" i="14" s="1"/>
  <c r="J99" i="14"/>
  <c r="J262" i="14"/>
  <c r="I95" i="17"/>
  <c r="I235" i="17"/>
  <c r="I231" i="17"/>
  <c r="I239" i="17"/>
  <c r="I238" i="17"/>
  <c r="I100" i="17"/>
  <c r="I236" i="17" s="1"/>
  <c r="I99" i="17"/>
  <c r="I262" i="17"/>
  <c r="J235" i="15"/>
  <c r="J231" i="15"/>
  <c r="J100" i="15"/>
  <c r="J236" i="15" s="1"/>
  <c r="J99" i="15"/>
  <c r="J95" i="15"/>
  <c r="J239" i="15"/>
  <c r="J238" i="15"/>
  <c r="J262" i="15"/>
  <c r="G48" i="2"/>
  <c r="G68" i="2"/>
  <c r="G239" i="14"/>
  <c r="G235" i="14"/>
  <c r="G238" i="14"/>
  <c r="G100" i="14"/>
  <c r="G236" i="14" s="1"/>
  <c r="G99" i="14"/>
  <c r="G95" i="14"/>
  <c r="G262" i="14"/>
  <c r="I231" i="14"/>
  <c r="I235" i="14"/>
  <c r="I239" i="14"/>
  <c r="I238" i="14"/>
  <c r="I95" i="14"/>
  <c r="I99" i="14"/>
  <c r="I100" i="14"/>
  <c r="I236" i="14" s="1"/>
  <c r="I262" i="14"/>
  <c r="E68" i="2"/>
  <c r="E48" i="2"/>
  <c r="E6" i="18"/>
  <c r="E13" i="18" s="1"/>
  <c r="E30" i="18" s="1"/>
  <c r="E36" i="18" s="1"/>
  <c r="H81" i="12"/>
  <c r="H259" i="12"/>
  <c r="H237" i="12"/>
  <c r="G92" i="16"/>
  <c r="G89" i="16"/>
  <c r="H238" i="15"/>
  <c r="H100" i="15"/>
  <c r="H236" i="15" s="1"/>
  <c r="H231" i="15"/>
  <c r="H99" i="15"/>
  <c r="H235" i="15"/>
  <c r="H262" i="15"/>
  <c r="H239" i="15"/>
  <c r="H95" i="15"/>
  <c r="G239" i="15" l="1"/>
  <c r="G235" i="15"/>
  <c r="G95" i="15"/>
  <c r="G238" i="15"/>
  <c r="G99" i="15"/>
  <c r="G100" i="15"/>
  <c r="G236" i="15" s="1"/>
  <c r="G262" i="15"/>
  <c r="K238" i="17"/>
  <c r="K99" i="17"/>
  <c r="K239" i="17"/>
  <c r="K235" i="17"/>
  <c r="K95" i="17"/>
  <c r="K231" i="17"/>
  <c r="K100" i="17"/>
  <c r="K236" i="17" s="1"/>
  <c r="K262" i="17"/>
  <c r="G239" i="16"/>
  <c r="G235" i="16"/>
  <c r="G95" i="16"/>
  <c r="G238" i="16"/>
  <c r="G100" i="16"/>
  <c r="G236" i="16" s="1"/>
  <c r="G99" i="16"/>
  <c r="G262" i="16"/>
  <c r="G99" i="12"/>
  <c r="G95" i="12"/>
  <c r="G235" i="12"/>
  <c r="G100" i="12"/>
  <c r="G236" i="12" s="1"/>
  <c r="G239" i="12"/>
  <c r="G238" i="12"/>
  <c r="G262" i="12"/>
  <c r="H231" i="16"/>
  <c r="D9" i="13"/>
  <c r="F9" i="13" s="1"/>
  <c r="G9" i="13" s="1"/>
  <c r="I84" i="12"/>
  <c r="E9" i="13"/>
  <c r="H84" i="12"/>
  <c r="J100" i="12"/>
  <c r="J236" i="12" s="1"/>
  <c r="J239" i="12"/>
  <c r="J238" i="12"/>
  <c r="J99" i="12"/>
  <c r="J235" i="12"/>
  <c r="J95" i="12"/>
  <c r="J262" i="12"/>
  <c r="G77" i="18"/>
  <c r="G75" i="18" s="1"/>
  <c r="G84" i="18" s="1"/>
  <c r="G86" i="18" s="1"/>
  <c r="G90" i="18" s="1"/>
  <c r="K239" i="15"/>
  <c r="K235" i="15"/>
  <c r="K95" i="15"/>
  <c r="K238" i="15"/>
  <c r="K231" i="15"/>
  <c r="K100" i="15"/>
  <c r="K236" i="15" s="1"/>
  <c r="K99" i="15"/>
  <c r="K262" i="15"/>
  <c r="K99" i="12"/>
  <c r="K95" i="12"/>
  <c r="K235" i="12"/>
  <c r="K231" i="12"/>
  <c r="K100" i="12"/>
  <c r="K236" i="12" s="1"/>
  <c r="K239" i="12"/>
  <c r="K238" i="12"/>
  <c r="K262" i="12"/>
  <c r="H77" i="18"/>
  <c r="H75" i="18" s="1"/>
  <c r="H84" i="18" s="1"/>
  <c r="H86" i="18" s="1"/>
  <c r="H90" i="18" s="1"/>
  <c r="H92" i="12" l="1"/>
  <c r="H89" i="12"/>
  <c r="I92" i="12"/>
  <c r="I89" i="12"/>
  <c r="I238" i="12" l="1"/>
  <c r="D11" i="13"/>
  <c r="I235" i="12"/>
  <c r="I95" i="12"/>
  <c r="G19" i="2" s="1"/>
  <c r="G9" i="2" s="1"/>
  <c r="I239" i="12"/>
  <c r="I100" i="12"/>
  <c r="I236" i="12" s="1"/>
  <c r="I99" i="12"/>
  <c r="I231" i="12"/>
  <c r="F77" i="18"/>
  <c r="F75" i="18" s="1"/>
  <c r="F84" i="18" s="1"/>
  <c r="F86" i="18" s="1"/>
  <c r="F90" i="18" s="1"/>
  <c r="I262" i="12"/>
  <c r="J231" i="12"/>
  <c r="H239" i="12"/>
  <c r="H235" i="12"/>
  <c r="H231" i="12"/>
  <c r="H100" i="12"/>
  <c r="H236" i="12" s="1"/>
  <c r="H99" i="12"/>
  <c r="H238" i="12"/>
  <c r="H95" i="12"/>
  <c r="E19" i="2" s="1"/>
  <c r="E9" i="2" s="1"/>
  <c r="E11" i="13"/>
  <c r="E77" i="18"/>
  <c r="E75" i="18" s="1"/>
  <c r="E84" i="18" s="1"/>
  <c r="E86" i="18" s="1"/>
  <c r="E90" i="18" s="1"/>
  <c r="H262" i="12"/>
  <c r="H9" i="2" l="1"/>
  <c r="J22" i="1" s="1"/>
  <c r="F11" i="13"/>
  <c r="G11" i="13" s="1"/>
  <c r="E80" i="2"/>
  <c r="E57" i="2"/>
  <c r="D35" i="13"/>
  <c r="F35" i="13" s="1"/>
  <c r="G54" i="2"/>
  <c r="G44" i="2" s="1"/>
  <c r="H44" i="2" s="1"/>
  <c r="J24" i="1" s="1"/>
  <c r="G76" i="2"/>
  <c r="E35" i="13"/>
  <c r="E76" i="2"/>
  <c r="E63" i="2" s="1"/>
  <c r="E54" i="2"/>
  <c r="E44" i="2" s="1"/>
  <c r="E5" i="2" s="1"/>
  <c r="D2" i="2" s="1"/>
  <c r="G57" i="2"/>
  <c r="G80" i="2"/>
  <c r="G63" i="2" l="1"/>
  <c r="H63" i="2" s="1"/>
  <c r="J25" i="1" s="1"/>
  <c r="G5" i="2" l="1"/>
  <c r="F2" i="2" s="1"/>
  <c r="H2" i="2" s="1"/>
  <c r="L2" i="2" s="1"/>
  <c r="J26" i="1" s="1"/>
  <c r="M19" i="1" l="1"/>
  <c r="M22" i="1"/>
</calcChain>
</file>

<file path=xl/sharedStrings.xml><?xml version="1.0" encoding="utf-8"?>
<sst xmlns="http://schemas.openxmlformats.org/spreadsheetml/2006/main" count="3798" uniqueCount="3797">
  <si>
    <r>
      <rPr>
        <sz val="16"/>
        <rFont val="Open Sans"/>
      </rPr>
      <t>Key Insights</t>
    </r>
  </si>
  <si>
    <t>Overall Early Warning Score</t>
  </si>
  <si>
    <t>TOTAL EARLY WARNING SCORE</t>
  </si>
  <si>
    <t>Financial Health Triggers</t>
  </si>
  <si>
    <t>Income Parameters</t>
  </si>
  <si>
    <t>Balance Sheet Parameters</t>
  </si>
  <si>
    <t>Ratio Trends</t>
  </si>
  <si>
    <t>Ratio Values</t>
  </si>
  <si>
    <t>TOTAL FINANCAL HEALTH SCORE</t>
  </si>
  <si>
    <t>Statutory Triggers</t>
  </si>
  <si>
    <t>GST Filings</t>
  </si>
  <si>
    <t>EPFO Payments</t>
  </si>
  <si>
    <t>Employment Levels</t>
  </si>
  <si>
    <t>ROC MCA filings</t>
  </si>
  <si>
    <t>TOTAL STATUTORY HEALTH SCORE</t>
  </si>
  <si>
    <t>Legal Triggers</t>
  </si>
  <si>
    <t>Business</t>
  </si>
  <si>
    <t>Promoters</t>
  </si>
  <si>
    <t>TOTAL LEGAL HEALTH SCORE</t>
  </si>
  <si>
    <t>Bureau Triggers</t>
  </si>
  <si>
    <t>Business</t>
  </si>
  <si>
    <t>Promoters</t>
  </si>
  <si>
    <t>TOTAL BUREAU HEALTH SCORE</t>
  </si>
  <si>
    <t>Previous Year</t>
  </si>
  <si>
    <t>Latest Year</t>
  </si>
  <si>
    <t>Y/Y Change in Score</t>
  </si>
  <si>
    <t>Y/Y Change</t>
  </si>
  <si>
    <t>Score</t>
  </si>
  <si>
    <t>Score</t>
  </si>
  <si>
    <t>Final Score(100 point scale)</t>
  </si>
  <si>
    <t>&gt;10</t>
  </si>
  <si>
    <t>0 to 10</t>
  </si>
  <si>
    <t>Bucket</t>
  </si>
  <si>
    <t>Weightage</t>
  </si>
  <si>
    <t>Bucket Score</t>
  </si>
  <si>
    <t>Weightage</t>
  </si>
  <si>
    <t>Bucket Score</t>
  </si>
  <si>
    <t>-10 to 0</t>
  </si>
  <si>
    <t>A</t>
  </si>
  <si>
    <t>Quantitative Rating</t>
  </si>
  <si>
    <t>&lt;-10</t>
  </si>
  <si>
    <t>Parameter</t>
  </si>
  <si>
    <t>Total Score</t>
  </si>
  <si>
    <t>Score Awarded by NC</t>
  </si>
  <si>
    <t>Total Score</t>
  </si>
  <si>
    <t>Score Awarded by NC</t>
  </si>
  <si>
    <t>A</t>
  </si>
  <si>
    <t>Quantitative Rating (Financial Analysis Basis)</t>
  </si>
  <si>
    <t>i)</t>
  </si>
  <si>
    <t>Income Parameters(Weightage-30%)</t>
  </si>
  <si>
    <t>a</t>
  </si>
  <si>
    <t>Net Sales</t>
  </si>
  <si>
    <t>Increase</t>
  </si>
  <si>
    <t>Flat/Negative</t>
  </si>
  <si>
    <t>b</t>
  </si>
  <si>
    <t>Gross Profit</t>
  </si>
  <si>
    <t>Increase</t>
  </si>
  <si>
    <t>Flat/Negative</t>
  </si>
  <si>
    <t>c</t>
  </si>
  <si>
    <t>EBITDA</t>
  </si>
  <si>
    <t>Increase</t>
  </si>
  <si>
    <t>Flat/Negative</t>
  </si>
  <si>
    <t>d</t>
  </si>
  <si>
    <t>PAT</t>
  </si>
  <si>
    <t>Increase</t>
  </si>
  <si>
    <t>Flat/Negative</t>
  </si>
  <si>
    <t>ii)</t>
  </si>
  <si>
    <t>Balance Sheet Parameters(Weightage-10%)</t>
  </si>
  <si>
    <t>a</t>
  </si>
  <si>
    <t>Networth</t>
  </si>
  <si>
    <t>Increase</t>
  </si>
  <si>
    <t>Flat/Negative</t>
  </si>
  <si>
    <t>b</t>
  </si>
  <si>
    <t>Long Term Liability</t>
  </si>
  <si>
    <t>Increase</t>
  </si>
  <si>
    <t>Flat/Negative</t>
  </si>
  <si>
    <t>c</t>
  </si>
  <si>
    <t>Short Term Liability</t>
  </si>
  <si>
    <t>Increase</t>
  </si>
  <si>
    <t>Flat/Negative</t>
  </si>
  <si>
    <t>d</t>
  </si>
  <si>
    <t>Fixed Assets</t>
  </si>
  <si>
    <t>Increase</t>
  </si>
  <si>
    <t>Flat/Negative</t>
  </si>
  <si>
    <t>e</t>
  </si>
  <si>
    <t>Inventories</t>
  </si>
  <si>
    <t>Increase</t>
  </si>
  <si>
    <t>Flat/Negative</t>
  </si>
  <si>
    <t>f</t>
  </si>
  <si>
    <t>Debtors</t>
  </si>
  <si>
    <t>Increase</t>
  </si>
  <si>
    <t>Flat/Negative</t>
  </si>
  <si>
    <t>g</t>
  </si>
  <si>
    <t>Cash and Cash Equivalents</t>
  </si>
  <si>
    <t>Increase</t>
  </si>
  <si>
    <t>Flat/Negative</t>
  </si>
  <si>
    <t>iii)</t>
  </si>
  <si>
    <t>Ratio Trends as Parameters(Weightage-20%)</t>
  </si>
  <si>
    <t>a</t>
  </si>
  <si>
    <t>Current Ratio</t>
  </si>
  <si>
    <t>Increase</t>
  </si>
  <si>
    <t>Flat/Decrease</t>
  </si>
  <si>
    <t>b</t>
  </si>
  <si>
    <t>DSCR</t>
  </si>
  <si>
    <t>Increase</t>
  </si>
  <si>
    <t>Flat/Decrease</t>
  </si>
  <si>
    <t>c</t>
  </si>
  <si>
    <t>Debt to Equity</t>
  </si>
  <si>
    <t>Decrease</t>
  </si>
  <si>
    <t>Flat/Increase</t>
  </si>
  <si>
    <t>d</t>
  </si>
  <si>
    <t>Profit Margin (Net Profit / Net Sales)%</t>
  </si>
  <si>
    <t>Increase</t>
  </si>
  <si>
    <t>Flat/Decrease</t>
  </si>
  <si>
    <t>e</t>
  </si>
  <si>
    <t>Return on Assets</t>
  </si>
  <si>
    <t>Increase</t>
  </si>
  <si>
    <t>Flat/Decrease</t>
  </si>
  <si>
    <t>f</t>
  </si>
  <si>
    <t>Working Capital Cash Conversion Cycle ((Current Assets - Cash &amp; Equiv)/(Current Liab - ST Debt))</t>
  </si>
  <si>
    <t>Decrease</t>
  </si>
  <si>
    <t>Flat/Increase</t>
  </si>
  <si>
    <t>iv)</t>
  </si>
  <si>
    <t>Ratio Value as Parameters(Weightage-40%)</t>
  </si>
  <si>
    <t>a</t>
  </si>
  <si>
    <t>Current Ratio</t>
  </si>
  <si>
    <t>&gt;=3.5</t>
  </si>
  <si>
    <t>&gt;=1.8 &lt;3.5</t>
  </si>
  <si>
    <t>&lt;1.8</t>
  </si>
  <si>
    <t>b</t>
  </si>
  <si>
    <t>DSCR</t>
  </si>
  <si>
    <t>&gt;=1.5</t>
  </si>
  <si>
    <t>&gt;=1 &lt;1.5</t>
  </si>
  <si>
    <t>&lt;1</t>
  </si>
  <si>
    <t>c</t>
  </si>
  <si>
    <t>Debt to Equity</t>
  </si>
  <si>
    <t>&lt;1</t>
  </si>
  <si>
    <t>&gt;=1 &lt;2</t>
  </si>
  <si>
    <t>&gt;=2</t>
  </si>
  <si>
    <t>d</t>
  </si>
  <si>
    <t>Profit Margin (Net Profit / Net Sales)%</t>
  </si>
  <si>
    <t>&gt;=5%</t>
  </si>
  <si>
    <t>&gt;=1.5% &lt;5%</t>
  </si>
  <si>
    <t>&lt;1.5%</t>
  </si>
  <si>
    <t>e</t>
  </si>
  <si>
    <t>Return on Assets</t>
  </si>
  <si>
    <t>&gt;=5%</t>
  </si>
  <si>
    <t>&gt;=1.5% &lt;5%</t>
  </si>
  <si>
    <t>&lt;1.5%</t>
  </si>
  <si>
    <t>f</t>
  </si>
  <si>
    <t>Turnover of Entity</t>
  </si>
  <si>
    <t>&gt;=1.5 crores</t>
  </si>
  <si>
    <t>&gt;=0.5 crore &lt; 1.5 crores</t>
  </si>
  <si>
    <t>&lt; 0.5 crore</t>
  </si>
  <si>
    <t>g</t>
  </si>
  <si>
    <t>Working Capital Cash Conversion Cycle ((Current Assets - Cash &amp; Equiv)/(Current Liab - ST Debt))</t>
  </si>
  <si>
    <t>&lt;0.3</t>
  </si>
  <si>
    <t xml:space="preserve">&gt;=0.3 &lt;1.8 </t>
  </si>
  <si>
    <t>&gt;=1.8</t>
  </si>
  <si>
    <t>Current</t>
  </si>
  <si>
    <t>Final Score(100 point scale)</t>
  </si>
  <si>
    <t>Bucket</t>
  </si>
  <si>
    <t>Weightage</t>
  </si>
  <si>
    <t>Bucket Score</t>
  </si>
  <si>
    <t>A</t>
  </si>
  <si>
    <t>Quantitative Rating</t>
  </si>
  <si>
    <t>Parameter</t>
  </si>
  <si>
    <t>Total Score</t>
  </si>
  <si>
    <t>Score Awarded by NC</t>
  </si>
  <si>
    <t>A</t>
  </si>
  <si>
    <t>Quantitative Rating</t>
  </si>
  <si>
    <t>i)</t>
  </si>
  <si>
    <t>Statutory Trends</t>
  </si>
  <si>
    <t>a</t>
  </si>
  <si>
    <t>GST Filing Delay - Days LTM</t>
  </si>
  <si>
    <t>&lt;=6</t>
  </si>
  <si>
    <t>&gt;6</t>
  </si>
  <si>
    <t>b</t>
  </si>
  <si>
    <t>EPFO Payment Delay - Days LTM</t>
  </si>
  <si>
    <t>&lt;=6</t>
  </si>
  <si>
    <t>&gt;6</t>
  </si>
  <si>
    <t>c</t>
  </si>
  <si>
    <t>EPFO Employees - Quarterly Trend</t>
  </si>
  <si>
    <t>Employees Increasing &gt;10%</t>
  </si>
  <si>
    <t>Employees within 10% of last Q</t>
  </si>
  <si>
    <t>Employees Decreasing &gt;10%</t>
  </si>
  <si>
    <t>d</t>
  </si>
  <si>
    <t>ROC MCA Delayed Filings</t>
  </si>
  <si>
    <t>No filings delayed in MGT and AOC</t>
  </si>
  <si>
    <t>Filings delayed either in MGT and AOC</t>
  </si>
  <si>
    <t>Filings delayed Both in MGT and AOC</t>
  </si>
  <si>
    <t>Current</t>
  </si>
  <si>
    <t>Final Score(100 point scale)</t>
  </si>
  <si>
    <t>Bucket</t>
  </si>
  <si>
    <t>Weightage</t>
  </si>
  <si>
    <t>Bucket Score</t>
  </si>
  <si>
    <t>A</t>
  </si>
  <si>
    <t>Quantitative Rating</t>
  </si>
  <si>
    <t>Parameter</t>
  </si>
  <si>
    <t>Total Score</t>
  </si>
  <si>
    <t>Score Awarded by NC</t>
  </si>
  <si>
    <t>A</t>
  </si>
  <si>
    <t>Quantitative Rating</t>
  </si>
  <si>
    <t>i)</t>
  </si>
  <si>
    <t>Crime Check - Entity</t>
  </si>
  <si>
    <t>a</t>
  </si>
  <si>
    <t>Crime Check Rating</t>
  </si>
  <si>
    <t>No Risk</t>
  </si>
  <si>
    <t>Low Risk</t>
  </si>
  <si>
    <t>Average Risk</t>
  </si>
  <si>
    <t>High Risk</t>
  </si>
  <si>
    <t>Very High Risk</t>
  </si>
  <si>
    <t>b</t>
  </si>
  <si>
    <t>Crime Check - Cases in Last 2 Years</t>
  </si>
  <si>
    <t>2 or 3</t>
  </si>
  <si>
    <t>&gt;=5</t>
  </si>
  <si>
    <t>B</t>
  </si>
  <si>
    <t>Quantitative Rating</t>
  </si>
  <si>
    <t>i)</t>
  </si>
  <si>
    <t>Crime Check - Promoters</t>
  </si>
  <si>
    <t>a</t>
  </si>
  <si>
    <t>Crime Check Rating</t>
  </si>
  <si>
    <t>No Risk</t>
  </si>
  <si>
    <t>Low Risk</t>
  </si>
  <si>
    <t>Average Risk</t>
  </si>
  <si>
    <t>High Risk</t>
  </si>
  <si>
    <t>Very High Risk</t>
  </si>
  <si>
    <t>b</t>
  </si>
  <si>
    <t>Crime Check - Cases in Last 2 Years</t>
  </si>
  <si>
    <t>2 or 3</t>
  </si>
  <si>
    <t>&gt;=5</t>
  </si>
  <si>
    <t>Current</t>
  </si>
  <si>
    <t>Final Score(100 point scale)</t>
  </si>
  <si>
    <t>Bucket</t>
  </si>
  <si>
    <t>Weightage</t>
  </si>
  <si>
    <t>Bucket Score</t>
  </si>
  <si>
    <t>A</t>
  </si>
  <si>
    <t>Quantitative Rating</t>
  </si>
  <si>
    <t>Parameter</t>
  </si>
  <si>
    <t>Total Score</t>
  </si>
  <si>
    <t>Score Awarded by NC</t>
  </si>
  <si>
    <t>Score Considered</t>
  </si>
  <si>
    <t>A</t>
  </si>
  <si>
    <t>Quantitative Rating</t>
  </si>
  <si>
    <t>i)</t>
  </si>
  <si>
    <t>Company Credit</t>
  </si>
  <si>
    <t>CIBIL</t>
  </si>
  <si>
    <t>a</t>
  </si>
  <si>
    <t>Credit Score</t>
  </si>
  <si>
    <t>Experian 781-850 // CIBIL 1 to 3</t>
  </si>
  <si>
    <t>Experian 721-780 // CIBIL 4 to 6</t>
  </si>
  <si>
    <t>Experian 661-720 // CIBIL 7 to 9</t>
  </si>
  <si>
    <t>Experian 601-660 // CIBIL Above 9</t>
  </si>
  <si>
    <t>Experian Under 600</t>
  </si>
  <si>
    <t>b</t>
  </si>
  <si>
    <t>Wilful Defaulter\Suit Filed or SMA\SUB\DBT\LSS accounts</t>
  </si>
  <si>
    <t>&gt;1</t>
  </si>
  <si>
    <t>c</t>
  </si>
  <si>
    <t>Any Negative Remarks?</t>
  </si>
  <si>
    <t>No</t>
  </si>
  <si>
    <t>No</t>
  </si>
  <si>
    <t>Yes</t>
  </si>
  <si>
    <t>i)</t>
  </si>
  <si>
    <t>Average of Co-Applicant or Owner Credit</t>
  </si>
  <si>
    <t>a</t>
  </si>
  <si>
    <t>Credit Score</t>
  </si>
  <si>
    <t>750+</t>
  </si>
  <si>
    <t>650-749</t>
  </si>
  <si>
    <t>500-649</t>
  </si>
  <si>
    <t>300-499</t>
  </si>
  <si>
    <t>Under 300</t>
  </si>
  <si>
    <t>b</t>
  </si>
  <si>
    <t>Wilful Defaulter\Suit Filed or SMA\SUB\DBT\LSS accounts</t>
  </si>
  <si>
    <t>&gt;1</t>
  </si>
  <si>
    <t>c</t>
  </si>
  <si>
    <t>Any Negative Remarks?</t>
  </si>
  <si>
    <t>Yes</t>
  </si>
  <si>
    <t>No</t>
  </si>
  <si>
    <t>Yes</t>
  </si>
  <si>
    <t>Credit Information Report</t>
  </si>
  <si>
    <t>Particulars</t>
  </si>
  <si>
    <t>Applicant</t>
  </si>
  <si>
    <t>Co-Applicant 1</t>
  </si>
  <si>
    <t>Co-Applicant 2</t>
  </si>
  <si>
    <t>Co-Applicant 3</t>
  </si>
  <si>
    <t>Co-Applicant 4</t>
  </si>
  <si>
    <t>Co-Applicant 5</t>
  </si>
  <si>
    <t>Credit Information Company</t>
  </si>
  <si>
    <t>TransUnion</t>
  </si>
  <si>
    <t>TransUnion</t>
  </si>
  <si>
    <t>TransUnion</t>
  </si>
  <si>
    <t>Name</t>
  </si>
  <si>
    <t>ASC INFRATECH PRIVATE LIMITED</t>
  </si>
  <si>
    <t>AJAY SRIVASTAVA</t>
  </si>
  <si>
    <t>DEEPIKA SRIVASTAVA</t>
  </si>
  <si>
    <t>DOB/DOI</t>
  </si>
  <si>
    <t>PAN No</t>
  </si>
  <si>
    <t>AAICA3327R</t>
  </si>
  <si>
    <t>ALDPS4113Q</t>
  </si>
  <si>
    <t>AIWPG4603P</t>
  </si>
  <si>
    <t>Credit Score</t>
  </si>
  <si>
    <t>No of Loan Accounts</t>
  </si>
  <si>
    <t>No of Active Loans</t>
  </si>
  <si>
    <t>Principal Outstanding (POS) as per Credit Report</t>
  </si>
  <si>
    <t>High Credit as per Credit Report</t>
  </si>
  <si>
    <t>POS to High Credit (%)</t>
  </si>
  <si>
    <t>Wilful Defaulter\Suit Filed</t>
  </si>
  <si>
    <t>SMA\SUB\DBT\LSS accounts</t>
  </si>
  <si>
    <t>No of Enquiries - No of Loans Sanctioned in Last 30 Days</t>
  </si>
  <si>
    <t>1 - 0</t>
  </si>
  <si>
    <t>1 - 0</t>
  </si>
  <si>
    <t>0 - 0</t>
  </si>
  <si>
    <t>No of Enquiries - No of Loans Sanctioned in Last 3 Months</t>
  </si>
  <si>
    <t>3 - 1</t>
  </si>
  <si>
    <t>2 - 1</t>
  </si>
  <si>
    <t>1 - 0</t>
  </si>
  <si>
    <t>No of Enquiries - No of Loans Sanctioned in Last 6 Months</t>
  </si>
  <si>
    <t>8 - 6</t>
  </si>
  <si>
    <t>6 - 6</t>
  </si>
  <si>
    <t>2 - 0</t>
  </si>
  <si>
    <t>No of Enquiries - No of Loans Sanctioned in Last 12 Months</t>
  </si>
  <si>
    <t>8 - 15</t>
  </si>
  <si>
    <t>9 - 7</t>
  </si>
  <si>
    <t>5 - 1</t>
  </si>
  <si>
    <t>No of Enquiries - No of Loans Sanctioned in Last 24 Months</t>
  </si>
  <si>
    <t>8 - 58</t>
  </si>
  <si>
    <t>28 - 46</t>
  </si>
  <si>
    <t>22 - 4</t>
  </si>
  <si>
    <t>Remarks</t>
  </si>
  <si>
    <t xml:space="preserve">1: PRESENCE OF DELINQUENCY AS OF RECENT UPDATE
 2: PRESENCE OF DELINQUENCY
 3: HIGH PROPORTION OF OUTSTANDING TRADES
 4: HIGH BALANCE BUILD-UP ON REVOLVING TRADES
 5: HIGH BALANCE IN PROPORTION TO HIGH CREDIT AMOUNT IN THE   LAST 12
 MONTHS
 PERSONAL LOAN SCORE 739 1: OVER DUE AMOUNT TOO HIGH.
 2: LOW PROPORTION OF SATISFACTORY TRADES.
 3: TOO FEW SATISFACTORY BANKCARD ACCOUNTS.
 4: PRESENCE OF DELINQUENCY. </t>
  </si>
  <si>
    <t xml:space="preserve">1: HIGH BALANCE BUILD-UP ON NON-MORTGAGE LOANS
 PERSONAL LOAN SCORE 775 1: PRESENCE OF A HIGH NUMBER OF ENQUIRIES.
 2: LOW AVERAGE TRADE AGE.
 3: PRESENCE OF DELINQUENCY. </t>
  </si>
  <si>
    <t>Loan Details</t>
  </si>
  <si>
    <t>Repayment-Track</t>
  </si>
  <si>
    <t>Sl. No</t>
  </si>
  <si>
    <t>Loan Type - Ownership</t>
  </si>
  <si>
    <t>Financier/Source</t>
  </si>
  <si>
    <t>Loan Credit/ Sanction Amt</t>
  </si>
  <si>
    <t>Loan Debit</t>
  </si>
  <si>
    <t>EMI</t>
  </si>
  <si>
    <t>Start on</t>
  </si>
  <si>
    <t>Outstanding Bal</t>
  </si>
  <si>
    <t>Tenor</t>
  </si>
  <si>
    <t>Tenor Left</t>
  </si>
  <si>
    <t>EMI Obligation</t>
  </si>
  <si>
    <t>Bank Name (EMI running)</t>
  </si>
  <si>
    <t>Last 12 Months</t>
  </si>
  <si>
    <t>Remarks (Bounces/ DPD etc)</t>
  </si>
  <si>
    <t>EMI Paid</t>
  </si>
  <si>
    <t>EMI Bounce</t>
  </si>
  <si>
    <t>EMI Amt Paid</t>
  </si>
  <si>
    <t>Avg Previous Day Balance</t>
  </si>
  <si>
    <t>Date</t>
  </si>
  <si>
    <t>EMI</t>
  </si>
  <si>
    <t>Previous Day Balance</t>
  </si>
  <si>
    <t>Date</t>
  </si>
  <si>
    <t>EMI</t>
  </si>
  <si>
    <t>Previous Day Balance</t>
  </si>
  <si>
    <t>Date</t>
  </si>
  <si>
    <t>EMI</t>
  </si>
  <si>
    <t>Previous Day Balance</t>
  </si>
  <si>
    <t>Date</t>
  </si>
  <si>
    <t>EMI</t>
  </si>
  <si>
    <t>Previous Day Balance</t>
  </si>
  <si>
    <t>Date</t>
  </si>
  <si>
    <t>EMI</t>
  </si>
  <si>
    <t>Previous Bal</t>
  </si>
  <si>
    <t>Date</t>
  </si>
  <si>
    <t>EMI</t>
  </si>
  <si>
    <t>Previous Day Balance</t>
  </si>
  <si>
    <t>Date</t>
  </si>
  <si>
    <t>EMI</t>
  </si>
  <si>
    <t>Previous Day Balance</t>
  </si>
  <si>
    <t>Date</t>
  </si>
  <si>
    <t>EMI</t>
  </si>
  <si>
    <t>Previous Day Balance</t>
  </si>
  <si>
    <t>Date</t>
  </si>
  <si>
    <t>EMI</t>
  </si>
  <si>
    <t>Previous Day Balance</t>
  </si>
  <si>
    <t>Date</t>
  </si>
  <si>
    <t>EMI</t>
  </si>
  <si>
    <t>Previous Day Balance</t>
  </si>
  <si>
    <t>Date</t>
  </si>
  <si>
    <t>EMI</t>
  </si>
  <si>
    <t>Previous Day Balance</t>
  </si>
  <si>
    <t>Date</t>
  </si>
  <si>
    <t>EMI</t>
  </si>
  <si>
    <t>Previous Day Balance</t>
  </si>
  <si>
    <t>ASC INFRATECH PRIVATE LIMITED</t>
  </si>
  <si>
    <t>2-LONG TERM LOAN -SELF</t>
  </si>
  <si>
    <t>CIBIL of ASC INFRATECH PRIVATE LIMITED</t>
  </si>
  <si>
    <t>ASC INFRATECH PRIVATE LIMITED</t>
  </si>
  <si>
    <t>Commercial Cibil</t>
  </si>
  <si>
    <t>ASC INFRATECH PRIVATE LIMITED</t>
  </si>
  <si>
    <t>3-EQUIPMENT FINANCING -SELF</t>
  </si>
  <si>
    <t>CIBIL of ASC INFRATECH PRIVATE LIMITED &amp; AJAY SRIVASTAVA</t>
  </si>
  <si>
    <t>ASC INFRATECH PRIVATE LIMITED</t>
  </si>
  <si>
    <t>Commercial Cibil</t>
  </si>
  <si>
    <t>ASC INFRATECH PRIVATE LIMITED</t>
  </si>
  <si>
    <t>4-COMMERCIAL VEHICLE LOAN-SELF</t>
  </si>
  <si>
    <t>CIBIL of ASC INFRATECH PRIVATE LIMITED</t>
  </si>
  <si>
    <t>ASC INFRATECH PRIVATE LIMITED</t>
  </si>
  <si>
    <t>Commercial Cibil</t>
  </si>
  <si>
    <t>ASC INFRATECH PRIVATE LIMITED</t>
  </si>
  <si>
    <t>5-EQUIPMENT FINANCING -SELF</t>
  </si>
  <si>
    <t>CIBIL of ASC INFRATECH PRIVATE LIMITED</t>
  </si>
  <si>
    <t xml:space="preserve">Overdue: 590, </t>
  </si>
  <si>
    <t>ASC INFRATECH PRIVATE LIMITED</t>
  </si>
  <si>
    <t>Commercial Cibil</t>
  </si>
  <si>
    <t>ASC INFRATECH PRIVATE LIMITED</t>
  </si>
  <si>
    <t>6-EQUIPMENT FINANCING -SELF</t>
  </si>
  <si>
    <t>CIBIL of ASC INFRATECH PRIVATE LIMITED</t>
  </si>
  <si>
    <t>ASC INFRATECH PRIVATE LIMITED</t>
  </si>
  <si>
    <t>Commercial Cibil</t>
  </si>
  <si>
    <t>ASC INFRATECH PRIVATE LIMITED</t>
  </si>
  <si>
    <t>7-COMMERCIAL VEHICLE LOAN-SELF</t>
  </si>
  <si>
    <t>CIBIL of ASC INFRATECH PRIVATE LIMITED &amp; AJAY SRIVASTAVA &amp; AJAY SRIVASTAVA &amp; AJAY SRIVASTAVA &amp; AJAY SRIVASTAVA</t>
  </si>
  <si>
    <t>ASC INFRATECH PRIVATE LIMITED</t>
  </si>
  <si>
    <t>Commercial Cibil</t>
  </si>
  <si>
    <t>ASC INFRATECH PRIVATE LIMITED</t>
  </si>
  <si>
    <t>8-EQUIPMENT FINANCING -SELF</t>
  </si>
  <si>
    <t>CIBIL of ASC INFRATECH PRIVATE LIMITED</t>
  </si>
  <si>
    <t>ASC INFRATECH PRIVATE LIMITED</t>
  </si>
  <si>
    <t>Commercial Cibil</t>
  </si>
  <si>
    <t>ASC INFRATECH PRIVATE LIMITED</t>
  </si>
  <si>
    <t>9-EQUIPMENT FINANCING -SELF</t>
  </si>
  <si>
    <t>CIBIL of ASC INFRATECH PRIVATE LIMITED</t>
  </si>
  <si>
    <t>ASC INFRATECH PRIVATE LIMITED</t>
  </si>
  <si>
    <t>Commercial Cibil</t>
  </si>
  <si>
    <t>ASC INFRATECH PRIVATE LIMITED</t>
  </si>
  <si>
    <t>10-EQUIPMENT FINANCING -SELF</t>
  </si>
  <si>
    <t>CIBIL of ASC INFRATECH PRIVATE LIMITED</t>
  </si>
  <si>
    <t xml:space="preserve">Overdue: 590, </t>
  </si>
  <si>
    <t>ASC INFRATECH PRIVATE LIMITED</t>
  </si>
  <si>
    <t>Commercial Cibil</t>
  </si>
  <si>
    <t>ASC INFRATECH PRIVATE LIMITED</t>
  </si>
  <si>
    <t>11-COMMERCIAL VEHICLE LOAN-SELF</t>
  </si>
  <si>
    <t>CIBIL of ASC INFRATECH PRIVATE LIMITED</t>
  </si>
  <si>
    <t>ASC INFRATECH PRIVATE LIMITED</t>
  </si>
  <si>
    <t>Commercial Cibil</t>
  </si>
  <si>
    <t>ASC INFRATECH PRIVATE LIMITED</t>
  </si>
  <si>
    <t>12-EQUIPMENT FINANCING -SELF</t>
  </si>
  <si>
    <t>CIBIL of ASC INFRATECH PRIVATE LIMITED</t>
  </si>
  <si>
    <t>ASC INFRATECH PRIVATE LIMITED</t>
  </si>
  <si>
    <t>Commercial Cibil</t>
  </si>
  <si>
    <t>ASC INFRATECH PRIVATE LIMITED</t>
  </si>
  <si>
    <t>13-EQUIPMENT FINANCING -SELF</t>
  </si>
  <si>
    <t>CIBIL of ASC INFRATECH PRIVATE LIMITED</t>
  </si>
  <si>
    <t>ASC INFRATECH PRIVATE LIMITED</t>
  </si>
  <si>
    <t>Commercial Cibil</t>
  </si>
  <si>
    <t>ASC INFRATECH PRIVATE LIMITED</t>
  </si>
  <si>
    <t>14-COMMERCIAL VEHICLE LOAN-SELF</t>
  </si>
  <si>
    <t>CIBIL of ASC INFRATECH PRIVATE LIMITED</t>
  </si>
  <si>
    <t>ASC INFRATECH PRIVATE LIMITED</t>
  </si>
  <si>
    <t>Commercial Cibil</t>
  </si>
  <si>
    <t>ASC INFRATECH PRIVATE LIMITED</t>
  </si>
  <si>
    <t>15-EQUIPMENT FINANCING -SELF</t>
  </si>
  <si>
    <t>CIBIL of ASC INFRATECH PRIVATE LIMITED</t>
  </si>
  <si>
    <t>ASC INFRATECH PRIVATE LIMITED</t>
  </si>
  <si>
    <t>Commercial Cibil</t>
  </si>
  <si>
    <t>ASC INFRATECH PRIVATE LIMITED</t>
  </si>
  <si>
    <t>16-EQUIPMENT FINANCING -SELF</t>
  </si>
  <si>
    <t>CIBIL of ASC INFRATECH PRIVATE LIMITED</t>
  </si>
  <si>
    <t>ASC INFRATECH PRIVATE LIMITED</t>
  </si>
  <si>
    <t>Commercial Cibil</t>
  </si>
  <si>
    <t>ASC INFRATECH PRIVATE LIMITED</t>
  </si>
  <si>
    <t>17-COMMERCIAL VEHICLE LOAN-SELF</t>
  </si>
  <si>
    <t>CIBIL of ASC INFRATECH PRIVATE LIMITED</t>
  </si>
  <si>
    <t>ASC INFRATECH PRIVATE LIMITED</t>
  </si>
  <si>
    <t>Commercial Cibil</t>
  </si>
  <si>
    <t>ASC INFRATECH PRIVATE LIMITED</t>
  </si>
  <si>
    <t>18-EQUIPMENT FINANCING -SELF</t>
  </si>
  <si>
    <t>CIBIL of ASC INFRATECH PRIVATE LIMITED</t>
  </si>
  <si>
    <t>ASC INFRATECH PRIVATE LIMITED</t>
  </si>
  <si>
    <t>Commercial Cibil</t>
  </si>
  <si>
    <t>ASC INFRATECH PRIVATE LIMITED</t>
  </si>
  <si>
    <t>19-EQUIPMENT FINANCING -SELF</t>
  </si>
  <si>
    <t>CIBIL of ASC INFRATECH PRIVATE LIMITED</t>
  </si>
  <si>
    <t>ASC INFRATECH PRIVATE LIMITED</t>
  </si>
  <si>
    <t>Commercial Cibil</t>
  </si>
  <si>
    <t>ASC INFRATECH PRIVATE LIMITED</t>
  </si>
  <si>
    <t>20-EQUIPMENT FINANCING -SELF</t>
  </si>
  <si>
    <t>CIBIL of ASC INFRATECH PRIVATE LIMITED</t>
  </si>
  <si>
    <t>ASC INFRATECH PRIVATE LIMITED</t>
  </si>
  <si>
    <t>Commercial Cibil</t>
  </si>
  <si>
    <t>ASC INFRATECH PRIVATE LIMITED</t>
  </si>
  <si>
    <t>21-EQUIPMENT FINANCING -SELF</t>
  </si>
  <si>
    <t>CIBIL of ASC INFRATECH PRIVATE LIMITED</t>
  </si>
  <si>
    <t>ASC INFRATECH PRIVATE LIMITED</t>
  </si>
  <si>
    <t>Commercial Cibil</t>
  </si>
  <si>
    <t>ASC INFRATECH PRIVATE LIMITED</t>
  </si>
  <si>
    <t>22-EQUIPMENT FINANCING -SELF</t>
  </si>
  <si>
    <t>CIBIL of ASC INFRATECH PRIVATE LIMITED</t>
  </si>
  <si>
    <t>ASC INFRATECH PRIVATE LIMITED</t>
  </si>
  <si>
    <t>Commercial Cibil</t>
  </si>
  <si>
    <t>ASC INFRATECH PRIVATE LIMITED</t>
  </si>
  <si>
    <t>23-EQUIPMENT FINANCING -SELF</t>
  </si>
  <si>
    <t>CIBIL of ASC INFRATECH PRIVATE LIMITED</t>
  </si>
  <si>
    <t>ASC INFRATECH PRIVATE LIMITED</t>
  </si>
  <si>
    <t>Commercial Cibil</t>
  </si>
  <si>
    <t>ASC INFRATECH PRIVATE LIMITED</t>
  </si>
  <si>
    <t>24-COMMERCIAL VEHICLE LOAN-SELF</t>
  </si>
  <si>
    <t>CIBIL of ASC INFRATECH PRIVATE LIMITED</t>
  </si>
  <si>
    <t>ASC INFRATECH PRIVATE LIMITED</t>
  </si>
  <si>
    <t>Commercial Cibil</t>
  </si>
  <si>
    <t>ASC INFRATECH PRIVATE LIMITED</t>
  </si>
  <si>
    <t>25-COMMERCIAL VEHICLE LOAN-SELF</t>
  </si>
  <si>
    <t>CIBIL of ASC INFRATECH PRIVATE LIMITED</t>
  </si>
  <si>
    <t>ASC INFRATECH PRIVATE LIMITED</t>
  </si>
  <si>
    <t>Commercial Cibil</t>
  </si>
  <si>
    <t>ASC INFRATECH PRIVATE LIMITED</t>
  </si>
  <si>
    <t>26-EQUIPMENT FINANCING -SELF</t>
  </si>
  <si>
    <t>CIBIL of ASC INFRATECH PRIVATE LIMITED</t>
  </si>
  <si>
    <t>ASC INFRATECH PRIVATE LIMITED</t>
  </si>
  <si>
    <t>Commercial Cibil</t>
  </si>
  <si>
    <t>ASC INFRATECH PRIVATE LIMITED</t>
  </si>
  <si>
    <t>27-EQUIPMENT FINANCING -SELF</t>
  </si>
  <si>
    <t>CIBIL of ASC INFRATECH PRIVATE LIMITED</t>
  </si>
  <si>
    <t>ASC INFRATECH PRIVATE LIMITED</t>
  </si>
  <si>
    <t>Commercial Cibil</t>
  </si>
  <si>
    <t>ASC INFRATECH PRIVATE LIMITED</t>
  </si>
  <si>
    <t>28-COMMERCIAL VEHICLE LOAN-SELF</t>
  </si>
  <si>
    <t>CIBIL of ASC INFRATECH PRIVATE LIMITED</t>
  </si>
  <si>
    <t>ASC INFRATECH PRIVATE LIMITED</t>
  </si>
  <si>
    <t>Commercial Cibil</t>
  </si>
  <si>
    <t>ASC INFRATECH PRIVATE LIMITED</t>
  </si>
  <si>
    <t>29-EQUIPMENT FINANCING -SELF</t>
  </si>
  <si>
    <t>CIBIL of ASC INFRATECH PRIVATE LIMITED &amp; AJAY SRIVASTAVA &amp; AJAY SRIVASTAVA</t>
  </si>
  <si>
    <t>ASC INFRATECH PRIVATE LIMITED</t>
  </si>
  <si>
    <t>Commercial Cibil</t>
  </si>
  <si>
    <t>ASC INFRATECH PRIVATE LIMITED</t>
  </si>
  <si>
    <t>30-COMMERCIAL VEHICLE LOAN-SELF</t>
  </si>
  <si>
    <t>CIBIL of ASC INFRATECH PRIVATE LIMITED</t>
  </si>
  <si>
    <t xml:space="preserve">Overdue: 266, </t>
  </si>
  <si>
    <t>ASC INFRATECH PRIVATE LIMITED</t>
  </si>
  <si>
    <t>Commercial Cibil</t>
  </si>
  <si>
    <t>ASC INFRATECH PRIVATE LIMITED</t>
  </si>
  <si>
    <t>31-EQUIPMENT FINANCING -SELF</t>
  </si>
  <si>
    <t>CIBIL of ASC INFRATECH PRIVATE LIMITED</t>
  </si>
  <si>
    <t>ASC INFRATECH PRIVATE LIMITED</t>
  </si>
  <si>
    <t>Commercial Cibil</t>
  </si>
  <si>
    <t>ASC INFRATECH PRIVATE LIMITED</t>
  </si>
  <si>
    <t>32-EQUIPMENT FINANCING -SELF</t>
  </si>
  <si>
    <t>CIBIL of ASC INFRATECH PRIVATE LIMITED</t>
  </si>
  <si>
    <t xml:space="preserve">Overdue: 590, </t>
  </si>
  <si>
    <t>ASC INFRATECH PRIVATE LIMITED</t>
  </si>
  <si>
    <t>Commercial Cibil</t>
  </si>
  <si>
    <t>ASC INFRATECH PRIVATE LIMITED</t>
  </si>
  <si>
    <t>33-EQUIPMENT FINANCING -SELF</t>
  </si>
  <si>
    <t>CIBIL of ASC INFRATECH PRIVATE LIMITED</t>
  </si>
  <si>
    <t xml:space="preserve">Overdue: 590, </t>
  </si>
  <si>
    <t>ASC INFRATECH PRIVATE LIMITED</t>
  </si>
  <si>
    <t>Commercial Cibil</t>
  </si>
  <si>
    <t>ASC INFRATECH PRIVATE LIMITED</t>
  </si>
  <si>
    <t>34-EQUIPMENT FINANCING -SELF</t>
  </si>
  <si>
    <t>CIBIL of ASC INFRATECH PRIVATE LIMITED</t>
  </si>
  <si>
    <t>ASC INFRATECH PRIVATE LIMITED</t>
  </si>
  <si>
    <t>Commercial Cibil</t>
  </si>
  <si>
    <t>ASC INFRATECH PRIVATE LIMITED</t>
  </si>
  <si>
    <t>35-EQUIPMENT FINANCING -SELF</t>
  </si>
  <si>
    <t>CIBIL of ASC INFRATECH PRIVATE LIMITED</t>
  </si>
  <si>
    <t xml:space="preserve">Overdue: 155, </t>
  </si>
  <si>
    <t>ASC INFRATECH PRIVATE LIMITED</t>
  </si>
  <si>
    <t>Commercial Cibil</t>
  </si>
  <si>
    <t>ASC INFRATECH PRIVATE LIMITED</t>
  </si>
  <si>
    <t>36-COMMERCIAL VEHICLE LOAN-SELF</t>
  </si>
  <si>
    <t>CIBIL of ASC INFRATECH PRIVATE LIMITED</t>
  </si>
  <si>
    <t>ASC INFRATECH PRIVATE LIMITED</t>
  </si>
  <si>
    <t>Commercial Cibil</t>
  </si>
  <si>
    <t>ASC INFRATECH PRIVATE LIMITED</t>
  </si>
  <si>
    <t>37-EQUIPMENT FINANCING -SELF</t>
  </si>
  <si>
    <t>CIBIL of ASC INFRATECH PRIVATE LIMITED</t>
  </si>
  <si>
    <t>ASC INFRATECH PRIVATE LIMITED</t>
  </si>
  <si>
    <t>Commercial Cibil</t>
  </si>
  <si>
    <t>ASC INFRATECH PRIVATE LIMITED</t>
  </si>
  <si>
    <t>38-EQUIPMENT FINANCING -SELF</t>
  </si>
  <si>
    <t>CIBIL of ASC INFRATECH PRIVATE LIMITED</t>
  </si>
  <si>
    <t>ASC INFRATECH PRIVATE LIMITED</t>
  </si>
  <si>
    <t>Commercial Cibil</t>
  </si>
  <si>
    <t>ASC INFRATECH PRIVATE LIMITED</t>
  </si>
  <si>
    <t>39-EQUIPMENT FINANCING -SELF</t>
  </si>
  <si>
    <t>CIBIL of ASC INFRATECH PRIVATE LIMITED</t>
  </si>
  <si>
    <t xml:space="preserve">Overdue: 590, </t>
  </si>
  <si>
    <t>ASC INFRATECH PRIVATE LIMITED</t>
  </si>
  <si>
    <t>Commercial Cibil</t>
  </si>
  <si>
    <t>ASC INFRATECH PRIVATE LIMITED</t>
  </si>
  <si>
    <t>40-COMMERCIAL VEHICLE LOAN-SELF</t>
  </si>
  <si>
    <t>CIBIL of ASC INFRATECH PRIVATE LIMITED &amp; AJAY SRIVASTAVA &amp; AJAY SRIVASTAVA</t>
  </si>
  <si>
    <t>ASC INFRATECH PRIVATE LIMITED</t>
  </si>
  <si>
    <t>Commercial Cibil</t>
  </si>
  <si>
    <t>ASC INFRATECH PRIVATE LIMITED</t>
  </si>
  <si>
    <t>41-EQUIPMENT FINANCING -SELF</t>
  </si>
  <si>
    <t>CIBIL of ASC INFRATECH PRIVATE LIMITED</t>
  </si>
  <si>
    <t>ASC INFRATECH PRIVATE LIMITED</t>
  </si>
  <si>
    <t>Commercial Cibil</t>
  </si>
  <si>
    <t>ASC INFRATECH PRIVATE LIMITED</t>
  </si>
  <si>
    <t>42-COMMERCIAL VEHICLE LOAN-SELF</t>
  </si>
  <si>
    <t>CIBIL of ASC INFRATECH PRIVATE LIMITED</t>
  </si>
  <si>
    <t>ASC INFRATECH PRIVATE LIMITED</t>
  </si>
  <si>
    <t>Commercial Cibil</t>
  </si>
  <si>
    <t>ASC INFRATECH PRIVATE LIMITED</t>
  </si>
  <si>
    <t>43-EQUIPMENT FINANCING -SELF</t>
  </si>
  <si>
    <t>CIBIL of ASC INFRATECH PRIVATE LIMITED &amp; AJAY SRIVASTAVA</t>
  </si>
  <si>
    <t>ASC INFRATECH PRIVATE LIMITED</t>
  </si>
  <si>
    <t>Commercial Cibil</t>
  </si>
  <si>
    <t>ASC INFRATECH PRIVATE LIMITED</t>
  </si>
  <si>
    <t>44-EQUIPMENT FINANCING -SELF</t>
  </si>
  <si>
    <t>CIBIL of ASC INFRATECH PRIVATE LIMITED</t>
  </si>
  <si>
    <t>ASC INFRATECH PRIVATE LIMITED</t>
  </si>
  <si>
    <t>Commercial Cibil</t>
  </si>
  <si>
    <t>ASC INFRATECH PRIVATE LIMITED</t>
  </si>
  <si>
    <t>45-COMMERCIAL VEHICLE LOAN-SELF</t>
  </si>
  <si>
    <t>CIBIL of ASC INFRATECH PRIVATE LIMITED</t>
  </si>
  <si>
    <t>ASC INFRATECH PRIVATE LIMITED</t>
  </si>
  <si>
    <t>Commercial Cibil</t>
  </si>
  <si>
    <t>ASC INFRATECH PRIVATE LIMITED</t>
  </si>
  <si>
    <t>46-EQUIPMENT FINANCING -SELF</t>
  </si>
  <si>
    <t>CIBIL of ASC INFRATECH PRIVATE LIMITED &amp; AJAY SRIVASTAVA</t>
  </si>
  <si>
    <t>ASC INFRATECH PRIVATE LIMITED</t>
  </si>
  <si>
    <t>Commercial Cibil</t>
  </si>
  <si>
    <t>ASC INFRATECH PRIVATE LIMITED</t>
  </si>
  <si>
    <t>47-EQUIPMENT FINANCING -SELF</t>
  </si>
  <si>
    <t>CIBIL of ASC INFRATECH PRIVATE LIMITED &amp; AJAY SRIVASTAVA</t>
  </si>
  <si>
    <t>ASC INFRATECH PRIVATE LIMITED</t>
  </si>
  <si>
    <t>Commercial Cibil</t>
  </si>
  <si>
    <t>ASC INFRATECH PRIVATE LIMITED</t>
  </si>
  <si>
    <t>48-COMMERCIAL VEHICLE LOAN-SELF</t>
  </si>
  <si>
    <t>CIBIL of ASC INFRATECH PRIVATE LIMITED</t>
  </si>
  <si>
    <t>ASC INFRATECH PRIVATE LIMITED</t>
  </si>
  <si>
    <t>Commercial Cibil</t>
  </si>
  <si>
    <t>ASC INFRATECH PRIVATE LIMITED</t>
  </si>
  <si>
    <t>49-COMMERCIAL VEHICLE LOAN-SELF</t>
  </si>
  <si>
    <t>CIBIL of ASC INFRATECH PRIVATE LIMITED</t>
  </si>
  <si>
    <t>ASC INFRATECH PRIVATE LIMITED</t>
  </si>
  <si>
    <t>Commercial Cibil</t>
  </si>
  <si>
    <t>ASC INFRATECH PRIVATE LIMITED</t>
  </si>
  <si>
    <t>50-EQUIPMENT FINANCING -SELF</t>
  </si>
  <si>
    <t>CIBIL of ASC INFRATECH PRIVATE LIMITED</t>
  </si>
  <si>
    <t xml:space="preserve">Overdue: 590, </t>
  </si>
  <si>
    <t>ASC INFRATECH PRIVATE LIMITED</t>
  </si>
  <si>
    <t>Commercial Cibil</t>
  </si>
  <si>
    <t>ASC INFRATECH PRIVATE LIMITED</t>
  </si>
  <si>
    <t>51-COMMERCIAL VEHICLE LOAN-SELF</t>
  </si>
  <si>
    <t>CIBIL of ASC INFRATECH PRIVATE LIMITED</t>
  </si>
  <si>
    <t>ASC INFRATECH PRIVATE LIMITED</t>
  </si>
  <si>
    <t>Commercial Cibil</t>
  </si>
  <si>
    <t>ASC INFRATECH PRIVATE LIMITED</t>
  </si>
  <si>
    <t>52-EQUIPMENT FINANCING -SELF</t>
  </si>
  <si>
    <t>CIBIL of ASC INFRATECH PRIVATE LIMITED</t>
  </si>
  <si>
    <t xml:space="preserve">Overdue: 590, </t>
  </si>
  <si>
    <t>ASC INFRATECH PRIVATE LIMITED</t>
  </si>
  <si>
    <t>Commercial Cibil</t>
  </si>
  <si>
    <t>ASC INFRATECH PRIVATE LIMITED</t>
  </si>
  <si>
    <t>53-EQUIPMENT FINANCING -SELF</t>
  </si>
  <si>
    <t>CIBIL of ASC INFRATECH PRIVATE LIMITED &amp; AJAY SRIVASTAVA</t>
  </si>
  <si>
    <t xml:space="preserve">Overdue: 26, </t>
  </si>
  <si>
    <t>ASC INFRATECH PRIVATE LIMITED</t>
  </si>
  <si>
    <t>Commercial Cibil</t>
  </si>
  <si>
    <t>ASC INFRATECH PRIVATE LIMITED</t>
  </si>
  <si>
    <t>54-EQUIPMENT FINANCING -SELF</t>
  </si>
  <si>
    <t>CIBIL of ASC INFRATECH PRIVATE LIMITED</t>
  </si>
  <si>
    <t>ASC INFRATECH PRIVATE LIMITED</t>
  </si>
  <si>
    <t>Commercial Cibil</t>
  </si>
  <si>
    <t>ASC INFRATECH PRIVATE LIMITED</t>
  </si>
  <si>
    <t>55-EQUIPMENT FINANCING -SELF</t>
  </si>
  <si>
    <t>CIBIL of ASC INFRATECH PRIVATE LIMITED &amp; AJAY SRIVASTAVA</t>
  </si>
  <si>
    <t>ASC INFRATECH PRIVATE LIMITED</t>
  </si>
  <si>
    <t>Commercial Cibil</t>
  </si>
  <si>
    <t>ASC INFRATECH PRIVATE LIMITED</t>
  </si>
  <si>
    <t>56-EQUIPMENT FINANCING -SELF</t>
  </si>
  <si>
    <t>CIBIL of ASC INFRATECH PRIVATE LIMITED</t>
  </si>
  <si>
    <t>ASC INFRATECH PRIVATE LIMITED</t>
  </si>
  <si>
    <t>Commercial Cibil</t>
  </si>
  <si>
    <t>ASC INFRATECH PRIVATE LIMITED</t>
  </si>
  <si>
    <t>57-MEDIUM TERM LOAN -SELF</t>
  </si>
  <si>
    <t>CIBIL of ASC INFRATECH PRIVATE LIMITED</t>
  </si>
  <si>
    <t>ASC INFRATECH PRIVATE LIMITED</t>
  </si>
  <si>
    <t>Commercial Cibil</t>
  </si>
  <si>
    <t>ASC INFRATECH PRIVATE LIMITED</t>
  </si>
  <si>
    <t>58-DERIVATIVES-SELF</t>
  </si>
  <si>
    <t>CIBIL of ASC INFRATECH PRIVATE LIMITED</t>
  </si>
  <si>
    <t>ASC INFRATECH PRIVATE LIMITED</t>
  </si>
  <si>
    <t>Commercial Cibil</t>
  </si>
  <si>
    <t>ASC INFRATECH PRIVATE LIMITED</t>
  </si>
  <si>
    <t>62-LONG TERM LOAN -SELF</t>
  </si>
  <si>
    <t>CIBIL of ASC INFRATECH PRIVATE LIMITED</t>
  </si>
  <si>
    <t>ASC INFRATECH PRIVATE LIMITED</t>
  </si>
  <si>
    <t>Commercial Cibil</t>
  </si>
  <si>
    <t>ASC INFRATECH PRIVATE LIMITED</t>
  </si>
  <si>
    <t>63-MEDIUM TERM LOAN -SELF</t>
  </si>
  <si>
    <t>CIBIL of ASC INFRATECH PRIVATE LIMITED</t>
  </si>
  <si>
    <t>ASC INFRATECH PRIVATE LIMITED</t>
  </si>
  <si>
    <t>Commercial Cibil</t>
  </si>
  <si>
    <t>ASC INFRATECH PRIVATE LIMITED</t>
  </si>
  <si>
    <t>64-LONG TERM LOAN -SELF</t>
  </si>
  <si>
    <t>CIBIL of ASC INFRATECH PRIVATE LIMITED</t>
  </si>
  <si>
    <t>ASC INFRATECH PRIVATE LIMITED</t>
  </si>
  <si>
    <t>Commercial Cibil</t>
  </si>
  <si>
    <t>ASC INFRATECH PRIVATE LIMITED</t>
  </si>
  <si>
    <t>66-SHORT TERM LOAN -SELF</t>
  </si>
  <si>
    <t>CIBIL of ASC INFRATECH PRIVATE LIMITED</t>
  </si>
  <si>
    <t>-</t>
  </si>
  <si>
    <t>ASC INFRATECH PRIVATE LIMITED</t>
  </si>
  <si>
    <t>Commercial Cibil</t>
  </si>
  <si>
    <t>ASC INFRATECH PRIVATE LIMITED</t>
  </si>
  <si>
    <t>67-EQUIPMENT FINANCING -SELF</t>
  </si>
  <si>
    <t>CIBIL of ASC INFRATECH PRIVATE LIMITED</t>
  </si>
  <si>
    <t>ASC INFRATECH PRIVATE LIMITED</t>
  </si>
  <si>
    <t>Commercial Cibil</t>
  </si>
  <si>
    <t>ASC INFRATECH PRIVATE LIMITED</t>
  </si>
  <si>
    <t>68-EQUIPMENT FINANCING -SELF</t>
  </si>
  <si>
    <t>CIBIL of ASC INFRATECH PRIVATE LIMITED</t>
  </si>
  <si>
    <t>ASC INFRATECH PRIVATE LIMITED</t>
  </si>
  <si>
    <t>Commercial Cibil</t>
  </si>
  <si>
    <t>ASC INFRATECH PRIVATE LIMITED</t>
  </si>
  <si>
    <t>69-GECL LOAN-SELF</t>
  </si>
  <si>
    <t>CIBIL of ASC INFRATECH PRIVATE LIMITED</t>
  </si>
  <si>
    <t>ASC INFRATECH PRIVATE LIMITED</t>
  </si>
  <si>
    <t>Commercial Cibil</t>
  </si>
  <si>
    <t>ASC INFRATECH PRIVATE LIMITED</t>
  </si>
  <si>
    <t>70-EQUIPMENT FINANCING -SELF</t>
  </si>
  <si>
    <t>CIBIL of ASC INFRATECH PRIVATE LIMITED</t>
  </si>
  <si>
    <t>ASC INFRATECH PRIVATE LIMITED</t>
  </si>
  <si>
    <t>Commercial Cibil</t>
  </si>
  <si>
    <t>ASC INFRATECH PRIVATE LIMITED</t>
  </si>
  <si>
    <t>71-EQUIPMENT FINANCING -SELF</t>
  </si>
  <si>
    <t>CIBIL of ASC INFRATECH PRIVATE LIMITED</t>
  </si>
  <si>
    <t>ASC INFRATECH PRIVATE LIMITED</t>
  </si>
  <si>
    <t>Commercial Cibil</t>
  </si>
  <si>
    <t>ASC INFRATECH PRIVATE LIMITED</t>
  </si>
  <si>
    <t>72-EQUIPMENT FINANCING -SELF</t>
  </si>
  <si>
    <t>CIBIL of ASC INFRATECH PRIVATE LIMITED</t>
  </si>
  <si>
    <t>ASC INFRATECH PRIVATE LIMITED</t>
  </si>
  <si>
    <t>Commercial Cibil</t>
  </si>
  <si>
    <t>ASC INFRATECH PRIVATE LIMITED</t>
  </si>
  <si>
    <t>73-GECL LOAN-SELF</t>
  </si>
  <si>
    <t>CIBIL of ASC INFRATECH PRIVATE LIMITED</t>
  </si>
  <si>
    <t>ASC INFRATECH PRIVATE LIMITED</t>
  </si>
  <si>
    <t>Commercial Cibil</t>
  </si>
  <si>
    <t>ASC INFRATECH PRIVATE LIMITED</t>
  </si>
  <si>
    <t>74-EQUIPMENT FINANCING -SELF</t>
  </si>
  <si>
    <t>CIBIL of ASC INFRATECH PRIVATE LIMITED</t>
  </si>
  <si>
    <t>ASC INFRATECH PRIVATE LIMITED</t>
  </si>
  <si>
    <t>Commercial Cibil</t>
  </si>
  <si>
    <t>ASC INFRATECH PRIVATE LIMITED</t>
  </si>
  <si>
    <t>75-EQUIPMENT FINANCING -SELF</t>
  </si>
  <si>
    <t>CIBIL of ASC INFRATECH PRIVATE LIMITED</t>
  </si>
  <si>
    <t>ASC INFRATECH PRIVATE LIMITED</t>
  </si>
  <si>
    <t>Commercial Cibil</t>
  </si>
  <si>
    <t>ASC INFRATECH PRIVATE LIMITED</t>
  </si>
  <si>
    <t>76-EQUIPMENT FINANCING -SELF</t>
  </si>
  <si>
    <t>CIBIL of ASC INFRATECH PRIVATE LIMITED</t>
  </si>
  <si>
    <t>ASC INFRATECH PRIVATE LIMITED</t>
  </si>
  <si>
    <t>Commercial Cibil</t>
  </si>
  <si>
    <t>ASC INFRATECH PRIVATE LIMITED</t>
  </si>
  <si>
    <t>77-EQUIPMENT FINANCING -SELF</t>
  </si>
  <si>
    <t>CIBIL of ASC INFRATECH PRIVATE LIMITED</t>
  </si>
  <si>
    <t>ASC INFRATECH PRIVATE LIMITED</t>
  </si>
  <si>
    <t>Commercial Cibil</t>
  </si>
  <si>
    <t>ASC INFRATECH PRIVATE LIMITED</t>
  </si>
  <si>
    <t>78-EQUIPMENT FINANCING -SELF</t>
  </si>
  <si>
    <t>CIBIL of ASC INFRATECH PRIVATE LIMITED</t>
  </si>
  <si>
    <t>ASC INFRATECH PRIVATE LIMITED</t>
  </si>
  <si>
    <t>Commercial Cibil</t>
  </si>
  <si>
    <t>ASC INFRATECH PRIVATE LIMITED</t>
  </si>
  <si>
    <t>79-EQUIPMENT FINANCING -SELF</t>
  </si>
  <si>
    <t>CIBIL of ASC INFRATECH PRIVATE LIMITED</t>
  </si>
  <si>
    <t>ASC INFRATECH PRIVATE LIMITED</t>
  </si>
  <si>
    <t>Commercial Cibil</t>
  </si>
  <si>
    <t>ASC INFRATECH PRIVATE LIMITED</t>
  </si>
  <si>
    <t>80-DEMAND LOAN-SELF</t>
  </si>
  <si>
    <t>CIBIL of ASC INFRATECH PRIVATE LIMITED</t>
  </si>
  <si>
    <t>ASC INFRATECH PRIVATE LIMITED</t>
  </si>
  <si>
    <t>Commercial Cibil</t>
  </si>
  <si>
    <t>ASC INFRATECH PRIVATE LIMITED</t>
  </si>
  <si>
    <t>81-EQUIPMENT FINANCING -SELF</t>
  </si>
  <si>
    <t>CIBIL of ASC INFRATECH PRIVATE LIMITED</t>
  </si>
  <si>
    <t>ASC INFRATECH PRIVATE LIMITED</t>
  </si>
  <si>
    <t>Commercial Cibil</t>
  </si>
  <si>
    <t>ASC INFRATECH PRIVATE LIMITED</t>
  </si>
  <si>
    <t>82-EQUIPMENT FINANCING -SELF</t>
  </si>
  <si>
    <t>CIBIL of ASC INFRATECH PRIVATE LIMITED</t>
  </si>
  <si>
    <t>ASC INFRATECH PRIVATE LIMITED</t>
  </si>
  <si>
    <t>Commercial Cibil</t>
  </si>
  <si>
    <t>ASC INFRATECH PRIVATE LIMITED</t>
  </si>
  <si>
    <t>83-EQUIPMENT FINANCING -SELF</t>
  </si>
  <si>
    <t>CIBIL of ASC INFRATECH PRIVATE LIMITED</t>
  </si>
  <si>
    <t>ASC INFRATECH PRIVATE LIMITED</t>
  </si>
  <si>
    <t>Commercial Cibil</t>
  </si>
  <si>
    <t>ASC INFRATECH PRIVATE LIMITED</t>
  </si>
  <si>
    <t>84-EQUIPMENT FINANCING -SELF</t>
  </si>
  <si>
    <t>CIBIL of ASC INFRATECH PRIVATE LIMITED</t>
  </si>
  <si>
    <t>ASC INFRATECH PRIVATE LIMITED</t>
  </si>
  <si>
    <t>Commercial Cibil</t>
  </si>
  <si>
    <t>ASC INFRATECH PRIVATE LIMITED</t>
  </si>
  <si>
    <t>86-COMMERCIAL VEHICLE LOAN-SELF</t>
  </si>
  <si>
    <t>CIBIL of ASC INFRATECH PRIVATE LIMITED</t>
  </si>
  <si>
    <t>ASC INFRATECH PRIVATE LIMITED</t>
  </si>
  <si>
    <t>Commercial Cibil</t>
  </si>
  <si>
    <t>ASC INFRATECH PRIVATE LIMITED</t>
  </si>
  <si>
    <t>87-EQUIPMENT FINANCING -SELF</t>
  </si>
  <si>
    <t>CIBIL of ASC INFRATECH PRIVATE LIMITED</t>
  </si>
  <si>
    <t>ASC INFRATECH PRIVATE LIMITED</t>
  </si>
  <si>
    <t>Commercial Cibil</t>
  </si>
  <si>
    <t>ASC INFRATECH PRIVATE LIMITED</t>
  </si>
  <si>
    <t>88-EQUIPMENT FINANCING -SELF</t>
  </si>
  <si>
    <t>CIBIL of ASC INFRATECH PRIVATE LIMITED</t>
  </si>
  <si>
    <t>ASC INFRATECH PRIVATE LIMITED</t>
  </si>
  <si>
    <t>Commercial Cibil</t>
  </si>
  <si>
    <t>ASC INFRATECH PRIVATE LIMITED</t>
  </si>
  <si>
    <t>89-EQUIPMENT FINANCING -SELF</t>
  </si>
  <si>
    <t>CIBIL of ASC INFRATECH PRIVATE LIMITED</t>
  </si>
  <si>
    <t>ASC INFRATECH PRIVATE LIMITED</t>
  </si>
  <si>
    <t>Commercial Cibil</t>
  </si>
  <si>
    <t>ASC INFRATECH PRIVATE LIMITED</t>
  </si>
  <si>
    <t>90-COMMERCIAL VEHICLE LOAN-SELF</t>
  </si>
  <si>
    <t>CIBIL of ASC INFRATECH PRIVATE LIMITED</t>
  </si>
  <si>
    <t>ASC INFRATECH PRIVATE LIMITED</t>
  </si>
  <si>
    <t>Commercial Cibil</t>
  </si>
  <si>
    <t>ASC INFRATECH PRIVATE LIMITED</t>
  </si>
  <si>
    <t>91-EQUIPMENT FINANCING -SELF</t>
  </si>
  <si>
    <t>CIBIL of ASC INFRATECH PRIVATE LIMITED</t>
  </si>
  <si>
    <t>ASC INFRATECH PRIVATE LIMITED</t>
  </si>
  <si>
    <t>Commercial Cibil</t>
  </si>
  <si>
    <t>ASC INFRATECH PRIVATE LIMITED</t>
  </si>
  <si>
    <t>92-EQUIPMENT FINANCING -SELF</t>
  </si>
  <si>
    <t>CIBIL of ASC INFRATECH PRIVATE LIMITED</t>
  </si>
  <si>
    <t>ASC INFRATECH PRIVATE LIMITED</t>
  </si>
  <si>
    <t>Commercial Cibil</t>
  </si>
  <si>
    <t>ASC INFRATECH PRIVATE LIMITED</t>
  </si>
  <si>
    <t>93-EQUIPMENT FINANCING -SELF</t>
  </si>
  <si>
    <t>CIBIL of ASC INFRATECH PRIVATE LIMITED</t>
  </si>
  <si>
    <t>ASC INFRATECH PRIVATE LIMITED</t>
  </si>
  <si>
    <t>Commercial Cibil</t>
  </si>
  <si>
    <t>ASC INFRATECH PRIVATE LIMITED</t>
  </si>
  <si>
    <t>94-EQUIPMENT FINANCING -SELF</t>
  </si>
  <si>
    <t>CIBIL of ASC INFRATECH PRIVATE LIMITED</t>
  </si>
  <si>
    <t>ASC INFRATECH PRIVATE LIMITED</t>
  </si>
  <si>
    <t>Commercial Cibil</t>
  </si>
  <si>
    <t>ASC INFRATECH PRIVATE LIMITED</t>
  </si>
  <si>
    <t>95-EQUIPMENT FINANCING -SELF</t>
  </si>
  <si>
    <t>CIBIL of ASC INFRATECH PRIVATE LIMITED</t>
  </si>
  <si>
    <t>ASC INFRATECH PRIVATE LIMITED</t>
  </si>
  <si>
    <t>Commercial Cibil</t>
  </si>
  <si>
    <t>ASC INFRATECH PRIVATE LIMITED</t>
  </si>
  <si>
    <t>96-EQUIPMENT FINANCING -SELF</t>
  </si>
  <si>
    <t>CIBIL of ASC INFRATECH PRIVATE LIMITED</t>
  </si>
  <si>
    <t>ASC INFRATECH PRIVATE LIMITED</t>
  </si>
  <si>
    <t>Commercial Cibil</t>
  </si>
  <si>
    <t>ASC INFRATECH PRIVATE LIMITED</t>
  </si>
  <si>
    <t>97-EQUIPMENT FINANCING -SELF</t>
  </si>
  <si>
    <t>CIBIL of ASC INFRATECH PRIVATE LIMITED</t>
  </si>
  <si>
    <t>ASC INFRATECH PRIVATE LIMITED</t>
  </si>
  <si>
    <t>Commercial Cibil</t>
  </si>
  <si>
    <t>ASC INFRATECH PRIVATE LIMITED</t>
  </si>
  <si>
    <t>98-EQUIPMENT FINANCING -SELF</t>
  </si>
  <si>
    <t>CIBIL of ASC INFRATECH PRIVATE LIMITED</t>
  </si>
  <si>
    <t>ASC INFRATECH PRIVATE LIMITED</t>
  </si>
  <si>
    <t>Commercial Cibil</t>
  </si>
  <si>
    <t>ASC INFRATECH PRIVATE LIMITED</t>
  </si>
  <si>
    <t>99-EQUIPMENT FINANCING -SELF</t>
  </si>
  <si>
    <t>CIBIL of ASC INFRATECH PRIVATE LIMITED</t>
  </si>
  <si>
    <t>ASC INFRATECH PRIVATE LIMITED</t>
  </si>
  <si>
    <t>Commercial Cibil</t>
  </si>
  <si>
    <t>ASC INFRATECH PRIVATE LIMITED</t>
  </si>
  <si>
    <t>100-EQUIPMENT FINANCING -SELF</t>
  </si>
  <si>
    <t>CIBIL of ASC INFRATECH PRIVATE LIMITED</t>
  </si>
  <si>
    <t>ASC INFRATECH PRIVATE LIMITED</t>
  </si>
  <si>
    <t>Commercial Cibil</t>
  </si>
  <si>
    <t>ASC INFRATECH PRIVATE LIMITED</t>
  </si>
  <si>
    <t>101-EQUIPMENT FINANCING -SELF</t>
  </si>
  <si>
    <t>CIBIL of ASC INFRATECH PRIVATE LIMITED</t>
  </si>
  <si>
    <t>ASC INFRATECH PRIVATE LIMITED</t>
  </si>
  <si>
    <t>Commercial Cibil</t>
  </si>
  <si>
    <t>ASC INFRATECH PRIVATE LIMITED</t>
  </si>
  <si>
    <t>102-EQUIPMENT FINANCING -SELF</t>
  </si>
  <si>
    <t>CIBIL of ASC INFRATECH PRIVATE LIMITED</t>
  </si>
  <si>
    <t>ASC INFRATECH PRIVATE LIMITED</t>
  </si>
  <si>
    <t>Commercial Cibil</t>
  </si>
  <si>
    <t>ASC INFRATECH PRIVATE LIMITED</t>
  </si>
  <si>
    <t>103-EQUIPMENT FINANCING -SELF</t>
  </si>
  <si>
    <t>CIBIL of ASC INFRATECH PRIVATE LIMITED</t>
  </si>
  <si>
    <t>ASC INFRATECH PRIVATE LIMITED</t>
  </si>
  <si>
    <t>Commercial Cibil</t>
  </si>
  <si>
    <t>ASC INFRATECH PRIVATE LIMITED</t>
  </si>
  <si>
    <t>104-COMMERCIAL VEHICLE LOAN-SELF</t>
  </si>
  <si>
    <t>CIBIL of ASC INFRATECH PRIVATE LIMITED</t>
  </si>
  <si>
    <t>ASC INFRATECH PRIVATE LIMITED</t>
  </si>
  <si>
    <t>Commercial Cibil</t>
  </si>
  <si>
    <t>ASC INFRATECH PRIVATE LIMITED</t>
  </si>
  <si>
    <t>105-EQUIPMENT FINANCING -SELF</t>
  </si>
  <si>
    <t>CIBIL of ASC INFRATECH PRIVATE LIMITED</t>
  </si>
  <si>
    <t>ASC INFRATECH PRIVATE LIMITED</t>
  </si>
  <si>
    <t>Commercial Cibil</t>
  </si>
  <si>
    <t>ASC INFRATECH PRIVATE LIMITED</t>
  </si>
  <si>
    <t>106-EQUIPMENT FINANCING -SELF</t>
  </si>
  <si>
    <t>CIBIL of ASC INFRATECH PRIVATE LIMITED</t>
  </si>
  <si>
    <t>ASC INFRATECH PRIVATE LIMITED</t>
  </si>
  <si>
    <t>Commercial Cibil</t>
  </si>
  <si>
    <t>ASC INFRATECH PRIVATE LIMITED</t>
  </si>
  <si>
    <t>107-EQUIPMENT FINANCING -SELF</t>
  </si>
  <si>
    <t>CIBIL of ASC INFRATECH PRIVATE LIMITED</t>
  </si>
  <si>
    <t>ASC INFRATECH PRIVATE LIMITED</t>
  </si>
  <si>
    <t>Commercial Cibil</t>
  </si>
  <si>
    <t>ASC INFRATECH PRIVATE LIMITED</t>
  </si>
  <si>
    <t>108-EQUIPMENT FINANCING -SELF</t>
  </si>
  <si>
    <t>CIBIL of ASC INFRATECH PRIVATE LIMITED</t>
  </si>
  <si>
    <t>ASC INFRATECH PRIVATE LIMITED</t>
  </si>
  <si>
    <t>Commercial Cibil</t>
  </si>
  <si>
    <t>ASC INFRATECH PRIVATE LIMITED</t>
  </si>
  <si>
    <t>109-EQUIPMENT FINANCING -SELF</t>
  </si>
  <si>
    <t>CIBIL of ASC INFRATECH PRIVATE LIMITED</t>
  </si>
  <si>
    <t>ASC INFRATECH PRIVATE LIMITED</t>
  </si>
  <si>
    <t>Commercial Cibil</t>
  </si>
  <si>
    <t>ASC INFRATECH PRIVATE LIMITED</t>
  </si>
  <si>
    <t>110-EQUIPMENT FINANCING -SELF</t>
  </si>
  <si>
    <t>CIBIL of ASC INFRATECH PRIVATE LIMITED</t>
  </si>
  <si>
    <t>ASC INFRATECH PRIVATE LIMITED</t>
  </si>
  <si>
    <t>Commercial Cibil</t>
  </si>
  <si>
    <t>ASC INFRATECH PRIVATE LIMITED</t>
  </si>
  <si>
    <t>111-EQUIPMENT FINANCING -SELF</t>
  </si>
  <si>
    <t>CIBIL of ASC INFRATECH PRIVATE LIMITED</t>
  </si>
  <si>
    <t>ASC INFRATECH PRIVATE LIMITED</t>
  </si>
  <si>
    <t>Commercial Cibil</t>
  </si>
  <si>
    <t>ASC INFRATECH PRIVATE LIMITED</t>
  </si>
  <si>
    <t>112-EQUIPMENT FINANCING -SELF</t>
  </si>
  <si>
    <t>CIBIL of ASC INFRATECH PRIVATE LIMITED</t>
  </si>
  <si>
    <t>ASC INFRATECH PRIVATE LIMITED</t>
  </si>
  <si>
    <t>Commercial Cibil</t>
  </si>
  <si>
    <t>ASC INFRATECH PRIVATE LIMITED</t>
  </si>
  <si>
    <t>113-EQUIPMENT FINANCING -SELF</t>
  </si>
  <si>
    <t>CIBIL of ASC INFRATECH PRIVATE LIMITED</t>
  </si>
  <si>
    <t xml:space="preserve">Overdue: 590, </t>
  </si>
  <si>
    <t>ASC INFRATECH PRIVATE LIMITED</t>
  </si>
  <si>
    <t>Commercial Cibil</t>
  </si>
  <si>
    <t>ASC INFRATECH PRIVATE LIMITED</t>
  </si>
  <si>
    <t>114-COMMERCIAL VEHICLE LOAN-SELF</t>
  </si>
  <si>
    <t>CIBIL of ASC INFRATECH PRIVATE LIMITED</t>
  </si>
  <si>
    <t>ASC INFRATECH PRIVATE LIMITED</t>
  </si>
  <si>
    <t>Commercial Cibil</t>
  </si>
  <si>
    <t>BANK GUARANTEE-SELF</t>
  </si>
  <si>
    <t>CIBIL of ASC INFRATECH PRIVATE LIMITED</t>
  </si>
  <si>
    <t>AJAY SRIVASTAVA</t>
  </si>
  <si>
    <t>CONSTRUCTION-GUARANTOR</t>
  </si>
  <si>
    <t>CIBIL of AJAY SRIVASTAVA</t>
  </si>
  <si>
    <t>Individual Cibil</t>
  </si>
  <si>
    <t>AJAY SRIVASTAVA</t>
  </si>
  <si>
    <t>CONSTRUCTION-GUARANTOR</t>
  </si>
  <si>
    <t>CIBIL of AJAY SRIVASTAVA</t>
  </si>
  <si>
    <t>Individual Cibil</t>
  </si>
  <si>
    <t>AJAY SRIVASTAVA</t>
  </si>
  <si>
    <t>CONSTRUCTION-GUARANTOR</t>
  </si>
  <si>
    <t>CIBIL of AJAY SRIVASTAVA</t>
  </si>
  <si>
    <t>Individual Cibil</t>
  </si>
  <si>
    <t>AJAY SRIVASTAVA</t>
  </si>
  <si>
    <t>COMMERCIAL VEHICLE-GUARANTOR</t>
  </si>
  <si>
    <t>CIBIL of AJAY SRIVASTAVA</t>
  </si>
  <si>
    <t>Individual Cibil</t>
  </si>
  <si>
    <t>AJAY SRIVASTAVA</t>
  </si>
  <si>
    <t>COMMERCIAL VEHICLE-GUARANTOR</t>
  </si>
  <si>
    <t>CIBIL of AJAY SRIVASTAVA &amp; AJAY SRIVASTAVA</t>
  </si>
  <si>
    <t>Individual Cibil</t>
  </si>
  <si>
    <t>AJAY SRIVASTAVA</t>
  </si>
  <si>
    <t>CONSTRUCTION-JOINT</t>
  </si>
  <si>
    <t>CIBIL of AJAY SRIVASTAVA &amp; DEEPIKA SRIVASTAVA</t>
  </si>
  <si>
    <t>Individual Cibil</t>
  </si>
  <si>
    <t>AJAY SRIVASTAVA</t>
  </si>
  <si>
    <t>USED CAR LOAN-JOINT</t>
  </si>
  <si>
    <t>CIBIL of AJAY SRIVASTAVA</t>
  </si>
  <si>
    <t>Individual Cibil</t>
  </si>
  <si>
    <t>AJAY SRIVASTAVA</t>
  </si>
  <si>
    <t>CONSTRUCTION-JOINT</t>
  </si>
  <si>
    <t>CIBIL of AJAY SRIVASTAVA</t>
  </si>
  <si>
    <t>Individual Cibil</t>
  </si>
  <si>
    <t>AJAY SRIVASTAVA</t>
  </si>
  <si>
    <t>CONSTRUCTION-JOINT</t>
  </si>
  <si>
    <t>CIBIL of AJAY SRIVASTAVA</t>
  </si>
  <si>
    <t>Individual Cibil</t>
  </si>
  <si>
    <t>AJAY SRIVASTAVA</t>
  </si>
  <si>
    <t>CONSTRUCTION-JOINT</t>
  </si>
  <si>
    <t>CIBIL of AJAY SRIVASTAVA</t>
  </si>
  <si>
    <t>Individual Cibil</t>
  </si>
  <si>
    <t>AJAY SRIVASTAVA</t>
  </si>
  <si>
    <t>CONSTRUCTION-JOINT</t>
  </si>
  <si>
    <t>CIBIL of AJAY SRIVASTAVA</t>
  </si>
  <si>
    <t>Individual Cibil</t>
  </si>
  <si>
    <t>AJAY SRIVASTAVA</t>
  </si>
  <si>
    <t>CONSTRUCTION-JOINT</t>
  </si>
  <si>
    <t>CIBIL of AJAY SRIVASTAVA</t>
  </si>
  <si>
    <t>Individual Cibil</t>
  </si>
  <si>
    <t>AJAY SRIVASTAVA</t>
  </si>
  <si>
    <t>CONSTRUCTION-JOINT</t>
  </si>
  <si>
    <t>CIBIL of AJAY SRIVASTAVA</t>
  </si>
  <si>
    <t>Individual Cibil</t>
  </si>
  <si>
    <t>AJAY SRIVASTAVA</t>
  </si>
  <si>
    <t>CONSTRUCTION-JOINT</t>
  </si>
  <si>
    <t>CIBIL of AJAY SRIVASTAVA</t>
  </si>
  <si>
    <t>Individual Cibil</t>
  </si>
  <si>
    <t>AJAY SRIVASTAVA</t>
  </si>
  <si>
    <t>CONSTRUCTION-JOINT</t>
  </si>
  <si>
    <t>CIBIL of AJAY SRIVASTAVA</t>
  </si>
  <si>
    <t>Individual Cibil</t>
  </si>
  <si>
    <t>AJAY SRIVASTAVA</t>
  </si>
  <si>
    <t>CONSTRUCTION-JOINT</t>
  </si>
  <si>
    <t>CIBIL of AJAY SRIVASTAVA</t>
  </si>
  <si>
    <t>Individual Cibil</t>
  </si>
  <si>
    <t>AJAY SRIVASTAVA</t>
  </si>
  <si>
    <t>CONSTRUCTION-JOINT</t>
  </si>
  <si>
    <t>CIBIL of AJAY SRIVASTAVA</t>
  </si>
  <si>
    <t>Individual Cibil</t>
  </si>
  <si>
    <t>AJAY SRIVASTAVA</t>
  </si>
  <si>
    <t>CONSTRUCTION-JOINT</t>
  </si>
  <si>
    <t>CIBIL of AJAY SRIVASTAVA</t>
  </si>
  <si>
    <t>Individual Cibil</t>
  </si>
  <si>
    <t>AJAY SRIVASTAVA</t>
  </si>
  <si>
    <t>CONSTRUCTION-GUARANTOR</t>
  </si>
  <si>
    <t>CIBIL of AJAY SRIVASTAVA</t>
  </si>
  <si>
    <t>Individual Cibil</t>
  </si>
  <si>
    <t>AJAY SRIVASTAVA</t>
  </si>
  <si>
    <t>CONSTRUCTION-GUARANTOR</t>
  </si>
  <si>
    <t>CIBIL of AJAY SRIVASTAVA</t>
  </si>
  <si>
    <t>Individual Cibil</t>
  </si>
  <si>
    <t>AJAY SRIVASTAVA</t>
  </si>
  <si>
    <t>COMMERCIAL VEHICLE-GUARANTOR</t>
  </si>
  <si>
    <t>CIBIL of AJAY SRIVASTAVA</t>
  </si>
  <si>
    <t>Individual Cibil</t>
  </si>
  <si>
    <t>AJAY SRIVASTAVA</t>
  </si>
  <si>
    <t>COMMERCIAL VEHICLE-GUARANTOR</t>
  </si>
  <si>
    <t>CIBIL of AJAY SRIVASTAVA</t>
  </si>
  <si>
    <t>Individual Cibil</t>
  </si>
  <si>
    <t>AJAY SRIVASTAVA</t>
  </si>
  <si>
    <t>COMMERCIAL VEHICLE-GUARANTOR</t>
  </si>
  <si>
    <t>CIBIL of AJAY SRIVASTAVA</t>
  </si>
  <si>
    <t xml:space="preserve">Overdue: 266, </t>
  </si>
  <si>
    <t>Individual Cibil</t>
  </si>
  <si>
    <t>AJAY SRIVASTAVA</t>
  </si>
  <si>
    <t>CONSTRUCTION-JOINT</t>
  </si>
  <si>
    <t>CIBIL of AJAY SRIVASTAVA</t>
  </si>
  <si>
    <t>Individual Cibil</t>
  </si>
  <si>
    <t>AJAY SRIVASTAVA</t>
  </si>
  <si>
    <t>CONSTRUCTION-JOINT</t>
  </si>
  <si>
    <t>CIBIL of AJAY SRIVASTAVA</t>
  </si>
  <si>
    <t>Individual Cibil</t>
  </si>
  <si>
    <t>AJAY SRIVASTAVA</t>
  </si>
  <si>
    <t>CONSTRUCTION-JOINT</t>
  </si>
  <si>
    <t>CIBIL of AJAY SRIVASTAVA &amp; AJAY SRIVASTAVA</t>
  </si>
  <si>
    <t>Individual Cibil</t>
  </si>
  <si>
    <t>AJAY SRIVASTAVA</t>
  </si>
  <si>
    <t>CONSTRUCTION-JOINT</t>
  </si>
  <si>
    <t>CIBIL of AJAY SRIVASTAVA</t>
  </si>
  <si>
    <t>Individual Cibil</t>
  </si>
  <si>
    <t>AJAY SRIVASTAVA</t>
  </si>
  <si>
    <t>CONSTRUCTION-JOINT</t>
  </si>
  <si>
    <t>CIBIL of AJAY SRIVASTAVA</t>
  </si>
  <si>
    <t>Individual Cibil</t>
  </si>
  <si>
    <t>AJAY SRIVASTAVA</t>
  </si>
  <si>
    <t>CONSTRUCTION-JOINT</t>
  </si>
  <si>
    <t>CIBIL of AJAY SRIVASTAVA</t>
  </si>
  <si>
    <t>Individual Cibil</t>
  </si>
  <si>
    <t>AJAY SRIVASTAVA</t>
  </si>
  <si>
    <t>CONSTRUCTION-JOINT</t>
  </si>
  <si>
    <t>CIBIL of AJAY SRIVASTAVA</t>
  </si>
  <si>
    <t>Individual Cibil</t>
  </si>
  <si>
    <t>AJAY SRIVASTAVA</t>
  </si>
  <si>
    <t>CONSTRUCTION-GUARANTOR</t>
  </si>
  <si>
    <t>CIBIL of AJAY SRIVASTAVA &amp; AJAY SRIVASTAVA</t>
  </si>
  <si>
    <t xml:space="preserve">Overdue: 590, </t>
  </si>
  <si>
    <t>Individual Cibil</t>
  </si>
  <si>
    <t>AJAY SRIVASTAVA</t>
  </si>
  <si>
    <t>CONSTRUCTION-GUARANTOR</t>
  </si>
  <si>
    <t>CIBIL of AJAY SRIVASTAVA &amp; AJAY SRIVASTAVA</t>
  </si>
  <si>
    <t>Individual Cibil</t>
  </si>
  <si>
    <t>AJAY SRIVASTAVA</t>
  </si>
  <si>
    <t>CONSTRUCTION-GUARANTOR</t>
  </si>
  <si>
    <t>CIBIL of AJAY SRIVASTAVA</t>
  </si>
  <si>
    <t>Individual Cibil</t>
  </si>
  <si>
    <t>AJAY SRIVASTAVA</t>
  </si>
  <si>
    <t>CONSTRUCTION-JOINT</t>
  </si>
  <si>
    <t>CIBIL of AJAY SRIVASTAVA</t>
  </si>
  <si>
    <t>Individual Cibil</t>
  </si>
  <si>
    <t>AJAY SRIVASTAVA</t>
  </si>
  <si>
    <t>CONSTRUCTION-JOINT</t>
  </si>
  <si>
    <t>CIBIL of AJAY SRIVASTAVA</t>
  </si>
  <si>
    <t>Individual Cibil</t>
  </si>
  <si>
    <t>AJAY SRIVASTAVA</t>
  </si>
  <si>
    <t>CONSTRUCTION-JOINT</t>
  </si>
  <si>
    <t>CIBIL of AJAY SRIVASTAVA</t>
  </si>
  <si>
    <t>Individual Cibil</t>
  </si>
  <si>
    <t>AJAY SRIVASTAVA</t>
  </si>
  <si>
    <t>CONSTRUCTION-JOINT</t>
  </si>
  <si>
    <t>CIBIL of AJAY SRIVASTAVA</t>
  </si>
  <si>
    <t>Individual Cibil</t>
  </si>
  <si>
    <t>AJAY SRIVASTAVA</t>
  </si>
  <si>
    <t>CONSTRUCTION-JOINT</t>
  </si>
  <si>
    <t>CIBIL of AJAY SRIVASTAVA</t>
  </si>
  <si>
    <t>Individual Cibil</t>
  </si>
  <si>
    <t>AJAY SRIVASTAVA</t>
  </si>
  <si>
    <t>CONSTRUCTION-JOINT</t>
  </si>
  <si>
    <t>CIBIL of AJAY SRIVASTAVA</t>
  </si>
  <si>
    <t>Individual Cibil</t>
  </si>
  <si>
    <t>AJAY SRIVASTAVA</t>
  </si>
  <si>
    <t>CONSTRUCTION-JOINT</t>
  </si>
  <si>
    <t>CIBIL of AJAY SRIVASTAVA</t>
  </si>
  <si>
    <t>Individual Cibil</t>
  </si>
  <si>
    <t>AJAY SRIVASTAVA</t>
  </si>
  <si>
    <t>CONSTRUCTION-JOINT</t>
  </si>
  <si>
    <t>CIBIL of AJAY SRIVASTAVA</t>
  </si>
  <si>
    <t>Individual Cibil</t>
  </si>
  <si>
    <t>AJAY SRIVASTAVA</t>
  </si>
  <si>
    <t>CONSTRUCTION-JOINT</t>
  </si>
  <si>
    <t>CIBIL of AJAY SRIVASTAVA</t>
  </si>
  <si>
    <t>Individual Cibil</t>
  </si>
  <si>
    <t>AJAY SRIVASTAVA</t>
  </si>
  <si>
    <t>CONSTRUCTION-JOINT</t>
  </si>
  <si>
    <t>CIBIL of AJAY SRIVASTAVA</t>
  </si>
  <si>
    <t>Individual Cibil</t>
  </si>
  <si>
    <t>AJAY SRIVASTAVA</t>
  </si>
  <si>
    <t>CONSTRUCTION-JOINT</t>
  </si>
  <si>
    <t>CIBIL of AJAY SRIVASTAVA</t>
  </si>
  <si>
    <t>Individual Cibil</t>
  </si>
  <si>
    <t>AJAY SRIVASTAVA</t>
  </si>
  <si>
    <t>CONSTRUCTION-GUARANTOR</t>
  </si>
  <si>
    <t>CIBIL of AJAY SRIVASTAVA</t>
  </si>
  <si>
    <t>Individual Cibil</t>
  </si>
  <si>
    <t>AJAY SRIVASTAVA</t>
  </si>
  <si>
    <t>CONSTRUCTION-GUARANTOR</t>
  </si>
  <si>
    <t>CIBIL of AJAY SRIVASTAVA &amp; AJAY SRIVASTAVA</t>
  </si>
  <si>
    <t>Individual Cibil</t>
  </si>
  <si>
    <t>AJAY SRIVASTAVA</t>
  </si>
  <si>
    <t>CONSTRUCTION-GUARANTOR</t>
  </si>
  <si>
    <t>CIBIL of AJAY SRIVASTAVA &amp; AJAY SRIVASTAVA &amp; AJAY SRIVASTAVA</t>
  </si>
  <si>
    <t xml:space="preserve">Overdue: 590, </t>
  </si>
  <si>
    <t>Individual Cibil</t>
  </si>
  <si>
    <t>AJAY SRIVASTAVA</t>
  </si>
  <si>
    <t>CONSTRUCTION-JOINT</t>
  </si>
  <si>
    <t>CIBIL of AJAY SRIVASTAVA</t>
  </si>
  <si>
    <t>Individual Cibil</t>
  </si>
  <si>
    <t>AJAY SRIVASTAVA</t>
  </si>
  <si>
    <t>CONSTRUCTION-JOINT</t>
  </si>
  <si>
    <t>CIBIL of AJAY SRIVASTAVA</t>
  </si>
  <si>
    <t>Individual Cibil</t>
  </si>
  <si>
    <t>AJAY SRIVASTAVA</t>
  </si>
  <si>
    <t>CONSTRUCTION-JOINT</t>
  </si>
  <si>
    <t>CIBIL of AJAY SRIVASTAVA</t>
  </si>
  <si>
    <t>Individual Cibil</t>
  </si>
  <si>
    <t>AJAY SRIVASTAVA</t>
  </si>
  <si>
    <t>CONSTRUCTION-JOINT</t>
  </si>
  <si>
    <t>CIBIL of AJAY SRIVASTAVA</t>
  </si>
  <si>
    <t>Individual Cibil</t>
  </si>
  <si>
    <t>AJAY SRIVASTAVA</t>
  </si>
  <si>
    <t>COMMERCIAL VEHICLE-JOINT</t>
  </si>
  <si>
    <t>CIBIL of AJAY SRIVASTAVA</t>
  </si>
  <si>
    <t>Individual Cibil</t>
  </si>
  <si>
    <t>AJAY SRIVASTAVA</t>
  </si>
  <si>
    <t>CONSTRUCTION-JOINT</t>
  </si>
  <si>
    <t>CIBIL of AJAY SRIVASTAVA</t>
  </si>
  <si>
    <t>Individual Cibil</t>
  </si>
  <si>
    <t>AJAY SRIVASTAVA</t>
  </si>
  <si>
    <t>COMMERCIAL VEHICLE-JOINT</t>
  </si>
  <si>
    <t>CIBIL of AJAY SRIVASTAVA &amp; AJAY SRIVASTAVA</t>
  </si>
  <si>
    <t>Individual Cibil</t>
  </si>
  <si>
    <t>AJAY SRIVASTAVA</t>
  </si>
  <si>
    <t>CONSTRUCTION-JOINT</t>
  </si>
  <si>
    <t>CIBIL of AJAY SRIVASTAVA</t>
  </si>
  <si>
    <t>Individual Cibil</t>
  </si>
  <si>
    <t>AJAY SRIVASTAVA</t>
  </si>
  <si>
    <t>CONSTRUCTION-GUARANTOR</t>
  </si>
  <si>
    <t>CIBIL of AJAY SRIVASTAVA</t>
  </si>
  <si>
    <t>Individual Cibil</t>
  </si>
  <si>
    <t>AJAY SRIVASTAVA</t>
  </si>
  <si>
    <t>CONSTRUCTION-GUARANTOR</t>
  </si>
  <si>
    <t>CIBIL of AJAY SRIVASTAVA</t>
  </si>
  <si>
    <t>Individual Cibil</t>
  </si>
  <si>
    <t>AJAY SRIVASTAVA</t>
  </si>
  <si>
    <t>CONSTRUCTION-GUARANTOR</t>
  </si>
  <si>
    <t>CIBIL of AJAY SRIVASTAVA</t>
  </si>
  <si>
    <t xml:space="preserve">Overdue: 590, </t>
  </si>
  <si>
    <t>Individual Cibil</t>
  </si>
  <si>
    <t>AJAY SRIVASTAVA</t>
  </si>
  <si>
    <t>CONSTRUCTION-GUARANTOR</t>
  </si>
  <si>
    <t>CIBIL of AJAY SRIVASTAVA</t>
  </si>
  <si>
    <t xml:space="preserve">Overdue: 590, </t>
  </si>
  <si>
    <t>Individual Cibil</t>
  </si>
  <si>
    <t>AJAY SRIVASTAVA</t>
  </si>
  <si>
    <t>CONSTRUCTION-GUARANTOR</t>
  </si>
  <si>
    <t>CIBIL of AJAY SRIVASTAVA</t>
  </si>
  <si>
    <t xml:space="preserve">Overdue: 590, </t>
  </si>
  <si>
    <t>Individual Cibil</t>
  </si>
  <si>
    <t>AJAY SRIVASTAVA</t>
  </si>
  <si>
    <t>COMMERCIAL VEHICLE-GUARANTOR</t>
  </si>
  <si>
    <t>CIBIL of AJAY SRIVASTAVA</t>
  </si>
  <si>
    <t>Individual Cibil</t>
  </si>
  <si>
    <t>AJAY SRIVASTAVA</t>
  </si>
  <si>
    <t>OTHER-GUARANTOR</t>
  </si>
  <si>
    <t>CIBIL of AJAY SRIVASTAVA</t>
  </si>
  <si>
    <t>Individual Cibil</t>
  </si>
  <si>
    <t>AJAY SRIVASTAVA</t>
  </si>
  <si>
    <t>CONSTRUCTION-GUARANTOR</t>
  </si>
  <si>
    <t>CIBIL of AJAY SRIVASTAVA</t>
  </si>
  <si>
    <t>Individual Cibil</t>
  </si>
  <si>
    <t>AJAY SRIVASTAVA</t>
  </si>
  <si>
    <t>CONSTRUCTION-GUARANTOR</t>
  </si>
  <si>
    <t>CIBIL of AJAY SRIVASTAVA</t>
  </si>
  <si>
    <t>Individual Cibil</t>
  </si>
  <si>
    <t>AJAY SRIVASTAVA</t>
  </si>
  <si>
    <t>CONSTRUCTION-GUARANTOR</t>
  </si>
  <si>
    <t>CIBIL of AJAY SRIVASTAVA</t>
  </si>
  <si>
    <t>Individual Cibil</t>
  </si>
  <si>
    <t>AJAY SRIVASTAVA</t>
  </si>
  <si>
    <t>CONSTRUCTION-GUARANTOR</t>
  </si>
  <si>
    <t>CIBIL of AJAY SRIVASTAVA</t>
  </si>
  <si>
    <t>Individual Cibil</t>
  </si>
  <si>
    <t>AJAY SRIVASTAVA</t>
  </si>
  <si>
    <t>CONSTRUCTION-GUARANTOR</t>
  </si>
  <si>
    <t>CIBIL of AJAY SRIVASTAVA</t>
  </si>
  <si>
    <t>Individual Cibil</t>
  </si>
  <si>
    <t>AJAY SRIVASTAVA</t>
  </si>
  <si>
    <t>CONSTRUCTION-GUARANTOR</t>
  </si>
  <si>
    <t>CIBIL of AJAY SRIVASTAVA</t>
  </si>
  <si>
    <t>Individual Cibil</t>
  </si>
  <si>
    <t>AJAY SRIVASTAVA</t>
  </si>
  <si>
    <t>CONSTRUCTION-GUARANTOR</t>
  </si>
  <si>
    <t>CIBIL of AJAY SRIVASTAVA</t>
  </si>
  <si>
    <t>Individual Cibil</t>
  </si>
  <si>
    <t>AJAY SRIVASTAVA</t>
  </si>
  <si>
    <t>CONSTRUCTION-GUARANTOR</t>
  </si>
  <si>
    <t>CIBIL of AJAY SRIVASTAVA</t>
  </si>
  <si>
    <t>Individual Cibil</t>
  </si>
  <si>
    <t>AJAY SRIVASTAVA</t>
  </si>
  <si>
    <t>CONSTRUCTION-GUARANTOR</t>
  </si>
  <si>
    <t>CIBIL of AJAY SRIVASTAVA</t>
  </si>
  <si>
    <t xml:space="preserve">Overdue: 155, </t>
  </si>
  <si>
    <t>Individual Cibil</t>
  </si>
  <si>
    <t>AJAY SRIVASTAVA</t>
  </si>
  <si>
    <t>CONSTRUCTION-GUARANTOR</t>
  </si>
  <si>
    <t>CIBIL of AJAY SRIVASTAVA</t>
  </si>
  <si>
    <t>Individual Cibil</t>
  </si>
  <si>
    <t>AJAY SRIVASTAVA</t>
  </si>
  <si>
    <t>COMMERCIAL VEHICLE-GUARANTOR</t>
  </si>
  <si>
    <t>CIBIL of AJAY SRIVASTAVA &amp; AJAY SRIVASTAVA &amp; AJAY SRIVASTAVA</t>
  </si>
  <si>
    <t>Individual Cibil</t>
  </si>
  <si>
    <t>AJAY SRIVASTAVA</t>
  </si>
  <si>
    <t>COMMERCIAL VEHICLE-GUARANTOR</t>
  </si>
  <si>
    <t>CIBIL of AJAY SRIVASTAVA</t>
  </si>
  <si>
    <t>Individual Cibil</t>
  </si>
  <si>
    <t>AJAY SRIVASTAVA</t>
  </si>
  <si>
    <t>CREDIT CARD-INDIVIDUAL</t>
  </si>
  <si>
    <t>CIBIL of AJAY SRIVASTAVA</t>
  </si>
  <si>
    <t>Individual Cibil</t>
  </si>
  <si>
    <t>DEEPIKA SRIVASTAVA</t>
  </si>
  <si>
    <t>AUTO LOAN-INDIVIDUAL</t>
  </si>
  <si>
    <t>CIBIL of DEEPIKA SRIVASTAVA</t>
  </si>
  <si>
    <t>Individual Cibil</t>
  </si>
  <si>
    <t>DEEPIKA SRIVASTAVA</t>
  </si>
  <si>
    <t>HOUSING LOAN-JOINT</t>
  </si>
  <si>
    <t>CIBIL of DEEPIKA SRIVASTAVA</t>
  </si>
  <si>
    <t xml:space="preserve">DPD: 1, </t>
  </si>
  <si>
    <t>Individual Cibil</t>
  </si>
  <si>
    <t>Total</t>
  </si>
  <si>
    <t>Company Profile</t>
  </si>
  <si>
    <t xml:space="preserve">CIN </t>
  </si>
  <si>
    <t>U51220MH1994PTC080424</t>
  </si>
  <si>
    <t>Company Name</t>
  </si>
  <si>
    <t>AUTO HANGAR (INDIA) PRIVATE LIMITED</t>
  </si>
  <si>
    <t>ROC Code</t>
  </si>
  <si>
    <t>RoC-Mumbai</t>
  </si>
  <si>
    <t>Registration Number</t>
  </si>
  <si>
    <t>080424</t>
  </si>
  <si>
    <t>Company Category</t>
  </si>
  <si>
    <t>Company limited by Shares</t>
  </si>
  <si>
    <t>Company SubCategory</t>
  </si>
  <si>
    <t>Non-govt company</t>
  </si>
  <si>
    <t xml:space="preserve">Class of Company </t>
  </si>
  <si>
    <t>Private</t>
  </si>
  <si>
    <t>Authorised Capital (Rs)</t>
  </si>
  <si>
    <t>Paid up Capital (Rs)</t>
  </si>
  <si>
    <t>Number of Members(If Co. w/o Share Capital)</t>
  </si>
  <si>
    <t>Date of Incorporation</t>
  </si>
  <si>
    <t>Vintage:</t>
  </si>
  <si>
    <t xml:space="preserve">Registered Address </t>
  </si>
  <si>
    <t xml:space="preserve">Ground Floor, South Wing, Plot-909, 86, Suraj Prakash CHS, Shankar Ghanekar Marg, Nr Ravindra Natya Mandir, Prabhadevi, Prabhadevi Mumbai Mumbai MH 400025 IN </t>
  </si>
  <si>
    <t>Address other than R/o where all or any books of account and papers are maintained</t>
  </si>
  <si>
    <t>-</t>
  </si>
  <si>
    <t>Email Id</t>
  </si>
  <si>
    <t>chandraprakash.ramjalwar@autohangar.com</t>
  </si>
  <si>
    <t>Whether Listed or not</t>
  </si>
  <si>
    <t>Unlisted</t>
  </si>
  <si>
    <t>ACTIVE compliance</t>
  </si>
  <si>
    <t>Suspended at stock exchange</t>
  </si>
  <si>
    <t>-</t>
  </si>
  <si>
    <t>Date of last AGM</t>
  </si>
  <si>
    <t>Date of Balance Sheet</t>
  </si>
  <si>
    <t>Company Status(for efiling)</t>
  </si>
  <si>
    <t>Active</t>
  </si>
  <si>
    <t>Verified on</t>
  </si>
  <si>
    <t>Loan Details</t>
  </si>
  <si>
    <t>Annual E-Filing</t>
  </si>
  <si>
    <t xml:space="preserve">AOC4 </t>
  </si>
  <si>
    <t>MGT7/7A</t>
  </si>
  <si>
    <t>Active Loans</t>
  </si>
  <si>
    <t>Due Date</t>
  </si>
  <si>
    <t>Closed Loans</t>
  </si>
  <si>
    <t>Filed Date</t>
  </si>
  <si>
    <t>Total</t>
  </si>
  <si>
    <t>Delay Status</t>
  </si>
  <si>
    <t>Charges Registered</t>
  </si>
  <si>
    <t>Sl. No</t>
  </si>
  <si>
    <t>SRN</t>
  </si>
  <si>
    <t>Charge Id</t>
  </si>
  <si>
    <t>Charge Holder Name</t>
  </si>
  <si>
    <t>Date of Creation</t>
  </si>
  <si>
    <t>Date of Modification</t>
  </si>
  <si>
    <t>Date of Satisfaction</t>
  </si>
  <si>
    <t>Amount</t>
  </si>
  <si>
    <t>Address</t>
  </si>
  <si>
    <t>B83577247</t>
  </si>
  <si>
    <t>TATA CAPITAL FINANCIAL SERVICES LIMITED</t>
  </si>
  <si>
    <t>-</t>
  </si>
  <si>
    <t>-</t>
  </si>
  <si>
    <t>One Forbes,Dr. V. B. Gandhi Marg, FortMumbaiMH400001IN</t>
  </si>
  <si>
    <t>B60674108</t>
  </si>
  <si>
    <t>KOTAK MAHINDRA BANK LIMITED</t>
  </si>
  <si>
    <t>-</t>
  </si>
  <si>
    <t>36-38A, NARIMAN BHAVAN, 227,D,NARIMAN POINT,MUMBAIMH400021IN</t>
  </si>
  <si>
    <t>B23058050</t>
  </si>
  <si>
    <t>KOTAK MAHINDRA BANK LIMITED</t>
  </si>
  <si>
    <t>-</t>
  </si>
  <si>
    <t>-</t>
  </si>
  <si>
    <t>36-38A, NARIMAN BHAVAN, 227,D,NARIMAN POINT,MUMBAIMH400021IN</t>
  </si>
  <si>
    <t>AA0764267</t>
  </si>
  <si>
    <t>DAIMLER FINANCIAL SERVICES INDIA PRIVATE LIMITED</t>
  </si>
  <si>
    <t>-</t>
  </si>
  <si>
    <t>5th Floor, Plot No 8, Baashyam Willow Square 9&amp;10, First Ste, GuindyChennaiChennai600032IN</t>
  </si>
  <si>
    <t>AA4008061</t>
  </si>
  <si>
    <t>KOTAK MAHINDRA BANK LIMITED</t>
  </si>
  <si>
    <t>-</t>
  </si>
  <si>
    <t>27BKC, C 27, G Block Bandra Kurla Complex, Bandra (E),MumbaiMumbai400051IN</t>
  </si>
  <si>
    <t>AA2923434</t>
  </si>
  <si>
    <t>KOTAK MAHINDRA PRIME LIMITED</t>
  </si>
  <si>
    <t>27BKC, C 27, G BlockBandra Kurla Complex, Bandra (E),Mumbai400051IN</t>
  </si>
  <si>
    <t>AA2922838</t>
  </si>
  <si>
    <t>KOTAK MAHINDRA PRIME LIMITED</t>
  </si>
  <si>
    <t>-</t>
  </si>
  <si>
    <t>27BKC, C 27, G BlockBandra Kurla Complex, Bandra (E),Mumbai400051IN</t>
  </si>
  <si>
    <t>AA2350394</t>
  </si>
  <si>
    <t>KOTAK MAHINDRA PRIME LIMITED</t>
  </si>
  <si>
    <t>27BKC, C 27, G BlockBandra Kurla Complex, Bandra (E),Mumbai400051IN</t>
  </si>
  <si>
    <t>AA1389683</t>
  </si>
  <si>
    <t>TATA CAPITAL FINANCIAL SERVICES LIMITED</t>
  </si>
  <si>
    <t>-</t>
  </si>
  <si>
    <t>One Forbes,Dr. V. B. Gandhi Marg, FortMumbaiMH400001IN</t>
  </si>
  <si>
    <t>F07975493</t>
  </si>
  <si>
    <t>DAIMLER FINANCIAL SERVICES INDIA PRIVATE LIMITED</t>
  </si>
  <si>
    <t>-</t>
  </si>
  <si>
    <t>Unit 202, 2nd Floor, Campus 3B,RMZ MillenniaBusiness Park, No.143, Dr. M.G.R.Road,PerungudiChennaiTa600096IN</t>
  </si>
  <si>
    <t>H42213009</t>
  </si>
  <si>
    <t>KOTAK MAHINDRA PRIME LIMITED</t>
  </si>
  <si>
    <t>27BKC, C 27, G BlockBandra Kurla Complex, Bandra (E),MumbaiMa400051IN</t>
  </si>
  <si>
    <t>G33703257</t>
  </si>
  <si>
    <t>KOTAK MAHINDRA PRIME LIMITED</t>
  </si>
  <si>
    <t>-</t>
  </si>
  <si>
    <t>36-38A NARIMAN BHAVAN,227, NARIMAN POINT,MUMBAIMH400021IN</t>
  </si>
  <si>
    <t>G33700899</t>
  </si>
  <si>
    <t>KOTAK MAHINDRA PRIME LIMITED</t>
  </si>
  <si>
    <t>36-38A NARIMAN BHAVAN,227, NARIMAN POINT,MUMBAIMH400021IN</t>
  </si>
  <si>
    <t>G33700386</t>
  </si>
  <si>
    <t>KOTAK MAHINDRA PRIME LIMITED</t>
  </si>
  <si>
    <t>36-38A NARIMAN BHAVAN,227, NARIMAN POINT,MUMBAIMH400021IN</t>
  </si>
  <si>
    <t>G33703307</t>
  </si>
  <si>
    <t>KOTAK MAHINDRA PRIME LIMITED</t>
  </si>
  <si>
    <t>-</t>
  </si>
  <si>
    <t>36-38A NARIMAN BHAVAN,227, NARIMAN POINT,MUMBAIMH400021IN</t>
  </si>
  <si>
    <t>G33702119</t>
  </si>
  <si>
    <t>KOTAK MAHINDRA PRIME LIMITED</t>
  </si>
  <si>
    <t>-</t>
  </si>
  <si>
    <t>36-38A NARIMAN BHAVAN,227, NARIMAN POINT,MUMBAIMH400021IN</t>
  </si>
  <si>
    <t>G33703661</t>
  </si>
  <si>
    <t>KOTAK MAHINDRA PRIME LIMITED</t>
  </si>
  <si>
    <t>-</t>
  </si>
  <si>
    <t>36-38A NARIMAN BHAVAN,227, NARIMAN POINT,MUMBAIMH400021IN</t>
  </si>
  <si>
    <t>G33701657</t>
  </si>
  <si>
    <t>KOTAK MAHINDRA PRIME LIMITED</t>
  </si>
  <si>
    <t>-</t>
  </si>
  <si>
    <t>36-38A NARIMAN BHAVAN,227, NARIMAN POINT,MUMBAIMH400021IN</t>
  </si>
  <si>
    <t>G33703216</t>
  </si>
  <si>
    <t>KOTAK MAHINDRA PRIME LIMITED</t>
  </si>
  <si>
    <t>-</t>
  </si>
  <si>
    <t>36-38A NARIMAN BHAVAN,227, NARIMAN POINT,MUMBAIMH400021IN</t>
  </si>
  <si>
    <t>G33703943</t>
  </si>
  <si>
    <t>KOTAK MAHINDRA PRIME LIMITED</t>
  </si>
  <si>
    <t>-</t>
  </si>
  <si>
    <t>36-38A NARIMAN BHAVAN,227, NARIMAN POINT,MUMBAIMH400021IN</t>
  </si>
  <si>
    <t>G33701699</t>
  </si>
  <si>
    <t>KOTAK MAHINDRA PRIME LIMITED</t>
  </si>
  <si>
    <t>-</t>
  </si>
  <si>
    <t>36-38A NARIMAN BHAVAN,227, NARIMAN POINT,MUMBAIMH400021IN</t>
  </si>
  <si>
    <t>G33704107</t>
  </si>
  <si>
    <t>KOTAK MAHINDRA PRIME LIMITED</t>
  </si>
  <si>
    <t>27BKC, C 27, G BlockBandra Kurla Complex, Bandra (E),MumbaiMH400051IN</t>
  </si>
  <si>
    <t>G33139734</t>
  </si>
  <si>
    <t>DAIMLER FINANCIAL SERVICES INDIA PRIVATE LIMITED</t>
  </si>
  <si>
    <t>-</t>
  </si>
  <si>
    <t>Unit 202, 2nd Floor, Campus 3B,RMZ MillenniaBusiness Park, No.143, Dr. M.G.R.Road,PerungudiChennaiTa600096IN</t>
  </si>
  <si>
    <t>G08902256</t>
  </si>
  <si>
    <t>DEUTSCHE BANK AG</t>
  </si>
  <si>
    <t>-</t>
  </si>
  <si>
    <t>P.O. BOX NO. 9080GOREGAON (EAST)MUMBAIMH400063IN</t>
  </si>
  <si>
    <t>C82243346</t>
  </si>
  <si>
    <t>VOLKSWAGEN FINANCE PRIVATE LIMITED</t>
  </si>
  <si>
    <t>3rd Floor, Wing - A, Silver UtopiaCardinal Gracious Road, Chakala, AndheriMumbaiMH400099IN</t>
  </si>
  <si>
    <t>B07774250</t>
  </si>
  <si>
    <t>BOMBAY MERCANTILE CO-OP. BANK LTD.</t>
  </si>
  <si>
    <t>-</t>
  </si>
  <si>
    <t>89; MOHANMEDALI ROADMUMBAIMH400003IN</t>
  </si>
  <si>
    <t>B07774177</t>
  </si>
  <si>
    <t>BOMBAY MERCANTILE CO-OP. BANK LTD.</t>
  </si>
  <si>
    <t>-</t>
  </si>
  <si>
    <t>89; MOHANMEDALI ROADMUMBAIMH400003IN</t>
  </si>
  <si>
    <t>B07774375</t>
  </si>
  <si>
    <t>BOMBAY MERCANTILE CO-OP. BANK LTD.</t>
  </si>
  <si>
    <t>-</t>
  </si>
  <si>
    <t>89; MOHANMEDALI ROADMUMBAIMH400003IN</t>
  </si>
  <si>
    <t>B07774326</t>
  </si>
  <si>
    <t>BOMBAY MERCANTILE CO-OP. BANK LTD.</t>
  </si>
  <si>
    <t>-</t>
  </si>
  <si>
    <t>89; MOHANMEDALI ROADMUMBAIMH400003IN</t>
  </si>
  <si>
    <t>A70335112</t>
  </si>
  <si>
    <t>ICICI BANK LIMITED</t>
  </si>
  <si>
    <t>ICICI BANK TOWERS, BANDRA KURLA COMPLEXBANDRA EASTMUMBAIMH400051IN</t>
  </si>
  <si>
    <t>A23570633</t>
  </si>
  <si>
    <t>IL&amp;FS TRUST CO. LTD.</t>
  </si>
  <si>
    <t>-</t>
  </si>
  <si>
    <t>PLOT NO. 22,BLOCK ""G"'BANDRA KURLA COMPLEXMUMBAIMH400051IN</t>
  </si>
  <si>
    <t>Y10254420</t>
  </si>
  <si>
    <t>THE UNITED WESTERN BANK LTD.</t>
  </si>
  <si>
    <t>-</t>
  </si>
  <si>
    <t>ANDHERIMUMBAIMH400059IN</t>
  </si>
  <si>
    <t>Y10253352</t>
  </si>
  <si>
    <t>THE UNITED WESTERN BANK LTD.</t>
  </si>
  <si>
    <t>-</t>
  </si>
  <si>
    <t>MOKUND NAGARMUMBAIMH400059IN</t>
  </si>
  <si>
    <t>Y10253486</t>
  </si>
  <si>
    <t>SICOM LTD.</t>
  </si>
  <si>
    <t>-</t>
  </si>
  <si>
    <t>NIRMALNARIMAN POINTMUMBAIMH400021IN</t>
  </si>
  <si>
    <t>Signatory / Director Details</t>
  </si>
  <si>
    <t>Sl. No</t>
  </si>
  <si>
    <t>DIN</t>
  </si>
  <si>
    <t>Name</t>
  </si>
  <si>
    <t>Position</t>
  </si>
  <si>
    <t>Registration Date</t>
  </si>
  <si>
    <t>DSC Registered</t>
  </si>
  <si>
    <t>Expiry Date</t>
  </si>
  <si>
    <t>Associated Companies</t>
  </si>
  <si>
    <t>00182835</t>
  </si>
  <si>
    <t>JAYASINH VALLABHDAS MARIWALA</t>
  </si>
  <si>
    <t>Director</t>
  </si>
  <si>
    <t>Yes</t>
  </si>
  <si>
    <t xml:space="preserve">OMNIACTIVE IMPROVING LIVES FOUNDATION, AUTO HANGAR INSURANCE BROKERS PRIVATE LIMITED, FOOD SERVICE (INDIA) PRIVATE LIMITED, IHSEDU SPECIALITY CHEMICALS PRIVATE LIMITED, KAMET NATURAL ISOLATES LIMITED, CENTRE FOR DIGESTIVE AND KIDNEY DISEASES (INDIA) PRIVATE LIMITED, REDLINE AUTOMOTIVE PRIVATE LIMITED, OMNI WELLNESS AND NUTRITION LIMITED, SANJWIN CONSULTING SOLUTIONS PRIVATE LIMITED, AUTO HANGAR (INDIA) PRIVATE LIMITED, RED PEPPERS LIMITED, SJM FINANCE AND INVESTMENTS PRIVATE LIMITED, AJM FINANCE AND INVESTMENTS PRIVATE LIMITED, MADHAVI MOHAN FINANCE AND INVESTMENT PVT LTD, JAYSINH ANILA FINANCE AND INVESTMENTS PVT LTD, VALLABHDAS KANJI LIMITED, JVM CAPSOL LLP, </t>
  </si>
  <si>
    <t>00193786</t>
  </si>
  <si>
    <t>AJAY JAYASINH MARIWALA</t>
  </si>
  <si>
    <t>Director</t>
  </si>
  <si>
    <t>Yes</t>
  </si>
  <si>
    <t xml:space="preserve">NUTRITI BIOTECH PRIVATE LIMITED, VEGANCIA FOOD SOLUTION ENTERPRISE PRIVATE LIMITED, FOOD SERVICE (INDIA) PRIVATE LIMITED, NUTRITI INGREDIENTS PRIVATE LIMITED, AJWIN CONSULTING SOLUTIONS PRIVATE LIMITED, SIL FOOD INDIA PRIVATE LIMITED, KANCOR COLOURS LIMITED, MEHER PROPERTIES PRIVATE LIMITED, AUTO HANGAR (INDIA) PRIVATE LIMITED, COMPLETE SPICE SOLUTIONS INDIA LIMITED, RED PEPPERS LIMITED, MALABAR SPICES COMPANY LIMITED, KANJI MOORARJI FOOD INGREDIENTS PRIVATE LIMITED, SJM FINANCE AND INVESTMENTS PRIVATE LIMITED, AJM FINANCE AND INVESTMENTS PRIVATE LIMITED, MADHAVI MOHAN FINANCE AND INVESTMENT PVT LTD, JAYSINH ANILA FINANCE AND INVESTMENTS PVT LTD, VALLABHDAS KANJI LIMITED, </t>
  </si>
  <si>
    <t>00854497</t>
  </si>
  <si>
    <t>MOHAN JAYASINH MARIWALA</t>
  </si>
  <si>
    <t>Managing Director</t>
  </si>
  <si>
    <t>Yes</t>
  </si>
  <si>
    <t xml:space="preserve">VALLABHDAS KANJI LIMITED, JAYSINH ANILA FINANCE AND INVESTMENTS PVT LTD, MADHAVI MOHAN FINANCE AND INVESTMENT PVT LTD, AJM FINANCE AND INVESTMENTS PRIVATE LIMITED, SJM FINANCE AND INVESTMENTS PRIVATE LIMITED, AUTO HANGAR (INDIA) PRIVATE LIMITED, KANCOR COLOURS LIMITED, MOWIN CONSULTING SOLUTIONS PRIVATE LIMITED, REDLINE AUTOMOTIVE PRIVATE LIMITED, REDLINE AUTOMOTIVE PRIVATE LIMITED, FOOD SERVICE (INDIA) PRIVATE LIMITED, MARIWALA FINSERV PRIVATE LIMITED, AUTO HANGAR INSURANCE BROKERS PRIVATE LIMITED, AUTO HANGAR ADVANTAGE PRIVATE LIMITED, MJM CAPSOL LLP, </t>
  </si>
  <si>
    <t>01111537</t>
  </si>
  <si>
    <t>SANJAY JAYASINH MARIWALA</t>
  </si>
  <si>
    <t>Director</t>
  </si>
  <si>
    <t>Yes</t>
  </si>
  <si>
    <t xml:space="preserve">ZIVIA PHARMACY PRIVATE LIMITED, ZIVIA HEALTHCARE PRIVATE LIMITED, SJM CAPSOL PRIVATE LIMITED, EDENCE LIFE SCIENCES PRIVATE LIMITED, ASSOCIATION OF HERBAL AND NUTRACEUTICAL MANUFACTURERS OF INDIA, SETU NUTRITION PRIVATE LIMITED, VALLABHDAS KANJI LIMITED, PAEON WELLNESS AND NUTRITION LIMITED, JAYSINH ANILA FINANCE AND INVESTMENTS PVT LTD, FOOD SERVICE (INDIA) PRIVATE LIMITED, KAMET NATURAL ISOLATES LIMITED, OMNIACTIVE HEALTH TECHNOLOGIES LIMITED, MADHAVI MOHAN FINANCE AND INVESTMENT PVT LTD, OMNI WELLNESS AND NUTRITION LIMITED, NUTRITI INGREDIENTS PRIVATE LIMITED, SANJWIN CONSULTING SOLUTIONS PRIVATE LIMITED, NUTRA LIFE SCIENCE LABORATORIES PRIVATE LIMITED, MARMEN REALTORS AND DEVELOPERS PRIVATE LIMITED, KANMAR INFRASTRUCTURE AND SEZ PRIVATE LIMITED, SIL FOOD INDIA PRIVATE LIMITED, AJM FINANCE AND INVESTMENTS PRIVATE LIMITED, KANCOR COLOURS LIMITED, SJM FINANCE AND INVESTMENTS PRIVATE LIMITED, SHELLAC AND FOREST PRODUCTS EXPORT PROMOTION COUNCIL, KANJI MOORARJI FOOD INGREDIENTS PRIVATE LIMITED, INDFRAG LIMITED, IMC CHAMBER OF COMMERCE AND INDUSTRY, MALABAR SPICES COMPANY LIMITED, AUTO HANGAR (INDIA) PRIVATE LIMITED, RED PEPPERS LIMITED, JAYANT AGRO-ORGANICS LIMITED, COMPLETE SPICE SOLUTIONS INDIA LIMITED, ARTISTIC SPACES LLP, JVM CAPSOL LLP, MJM CAPSOL LLP, PEPPER HEALTHCARE LLP, </t>
  </si>
  <si>
    <t>Goods &amp; Service Tax</t>
  </si>
  <si>
    <t>GSTIN/UIN</t>
  </si>
  <si>
    <t>27AAACA9484D1ZM</t>
  </si>
  <si>
    <t>Legal Name of Business</t>
  </si>
  <si>
    <t>AUTO HANGAR (INDIA) PRIVATE LIMITED</t>
  </si>
  <si>
    <t>Trade Name</t>
  </si>
  <si>
    <t>AUTO HANGAR I PRIVATE LIMITED</t>
  </si>
  <si>
    <t>Effective Date of registration</t>
  </si>
  <si>
    <t>Constitution of Business</t>
  </si>
  <si>
    <t>Private Limited Company</t>
  </si>
  <si>
    <t>GSTIN / UIN Status</t>
  </si>
  <si>
    <t>Active</t>
  </si>
  <si>
    <t>Taxpayer Type</t>
  </si>
  <si>
    <t>Regular</t>
  </si>
  <si>
    <t>Principal Place of Business</t>
  </si>
  <si>
    <t>GROUND FLOOR, SOUTH WING, SURAJ PRAKASH CHS LIMITED, N Shankar Ghanekar Marg, NEAR RAVINDRA NATYA MANDIR, Prabhadevi, Mumbai, Mumbai, Maharashtra, 400025</t>
  </si>
  <si>
    <t>Administrative Office</t>
  </si>
  <si>
    <t xml:space="preserve">(JURISDICTION - STATE)
State - Maharashtra
Zone - MUMBAI_SOUTH_WEST
Division - SAKINAKA
Charge - SAKINAKA_603
 </t>
  </si>
  <si>
    <t>Other Office</t>
  </si>
  <si>
    <t xml:space="preserve">(JURISDICTION - CENTER)
Commissionerate - MUMBAI-EAST
Division - DIVISION VIII
Range - RANGE-I
 </t>
  </si>
  <si>
    <t>Effective Date of Cancellation</t>
  </si>
  <si>
    <t>Verified on</t>
  </si>
  <si>
    <t>Sl. No</t>
  </si>
  <si>
    <t>Return Type</t>
  </si>
  <si>
    <t>Financial Year</t>
  </si>
  <si>
    <t>Tax Period</t>
  </si>
  <si>
    <t>Date of filing</t>
  </si>
  <si>
    <t>Status</t>
  </si>
  <si>
    <t>Due Date</t>
  </si>
  <si>
    <t>Days Delayed</t>
  </si>
  <si>
    <t>Reference</t>
  </si>
  <si>
    <t>GSTR3B</t>
  </si>
  <si>
    <t>2023-2024</t>
  </si>
  <si>
    <t>August</t>
  </si>
  <si>
    <t>Filed</t>
  </si>
  <si>
    <t>GSTR3B</t>
  </si>
  <si>
    <t>2023-2024</t>
  </si>
  <si>
    <t>July</t>
  </si>
  <si>
    <t>Filed</t>
  </si>
  <si>
    <t>GSTR3B</t>
  </si>
  <si>
    <t>2023-2024</t>
  </si>
  <si>
    <t>June</t>
  </si>
  <si>
    <t>Filed</t>
  </si>
  <si>
    <t>GSTR3B</t>
  </si>
  <si>
    <t>2023-2024</t>
  </si>
  <si>
    <t>May</t>
  </si>
  <si>
    <t>Filed</t>
  </si>
  <si>
    <t>GSTR3B</t>
  </si>
  <si>
    <t>2023-2024</t>
  </si>
  <si>
    <t>April</t>
  </si>
  <si>
    <t>Filed</t>
  </si>
  <si>
    <t>GSTR3B</t>
  </si>
  <si>
    <t>2022-2023</t>
  </si>
  <si>
    <t>March</t>
  </si>
  <si>
    <t>Filed</t>
  </si>
  <si>
    <t>GSTR3B</t>
  </si>
  <si>
    <t>2022-2023</t>
  </si>
  <si>
    <t>February</t>
  </si>
  <si>
    <t>Filed</t>
  </si>
  <si>
    <t>GSTR3B</t>
  </si>
  <si>
    <t>2022-2023</t>
  </si>
  <si>
    <t>January</t>
  </si>
  <si>
    <t>Filed</t>
  </si>
  <si>
    <t>GSTR3B</t>
  </si>
  <si>
    <t>2022-2023</t>
  </si>
  <si>
    <t>December</t>
  </si>
  <si>
    <t>Filed</t>
  </si>
  <si>
    <t>GSTR3B</t>
  </si>
  <si>
    <t>2022-2023</t>
  </si>
  <si>
    <t>November</t>
  </si>
  <si>
    <t>Filed</t>
  </si>
  <si>
    <t>Total Days Delayed LTM</t>
  </si>
  <si>
    <t>Establishment Details</t>
  </si>
  <si>
    <t>Name</t>
  </si>
  <si>
    <t>ASC INFRATECH PRIVATE LIMITED</t>
  </si>
  <si>
    <t>Establishment Code :</t>
  </si>
  <si>
    <t>MRNOI0055590000</t>
  </si>
  <si>
    <t>Section Applicable :</t>
  </si>
  <si>
    <t>OTHER ESTABLISHMENTS IN WHICH EMPLOYING 20 OR MORE PERSONS AND NOTIFIED BY THE CENTRAL GOVT.</t>
  </si>
  <si>
    <t>Primary Business Activity :</t>
  </si>
  <si>
    <t>ENGINEERS - ENGG. CONTRACTORS</t>
  </si>
  <si>
    <t>ESIC CODE :</t>
  </si>
  <si>
    <t>Start Date</t>
  </si>
  <si>
    <t>Ownership Type :</t>
  </si>
  <si>
    <t>Private Limited Company</t>
  </si>
  <si>
    <t>End Month</t>
  </si>
  <si>
    <t>Date Of Setup Of Establishment :</t>
  </si>
  <si>
    <t>LTM Total</t>
  </si>
  <si>
    <t>Address :</t>
  </si>
  <si>
    <t>H-37 1ST FLOOR SECTOR-63</t>
  </si>
  <si>
    <t>Avg Employees Current Q</t>
  </si>
  <si>
    <t>EPFO Office Name :</t>
  </si>
  <si>
    <t>NOIDA</t>
  </si>
  <si>
    <t>Avg Employees Last Q</t>
  </si>
  <si>
    <t>Zone :</t>
  </si>
  <si>
    <t>UTTAR PRADESH AND BIHAR</t>
  </si>
  <si>
    <t>% Change</t>
  </si>
  <si>
    <t>Region :</t>
  </si>
  <si>
    <t>UP - MEERUT</t>
  </si>
  <si>
    <t>Exemption Status</t>
  </si>
  <si>
    <t>PF: UNEXEMPTED, PENSION: UNEXEMPTED, EDLI: UNEXEMPTED</t>
  </si>
  <si>
    <t>Working Status</t>
  </si>
  <si>
    <t>LIVE ESTABLISHMENT</t>
  </si>
  <si>
    <t>Coverage Section</t>
  </si>
  <si>
    <t>0001(3)(b)</t>
  </si>
  <si>
    <t>Actionable Status</t>
  </si>
  <si>
    <t>ACTIONABLE ESTABLISHMENT</t>
  </si>
  <si>
    <t>Date of Coverage</t>
  </si>
  <si>
    <t>01-JAN-2012</t>
  </si>
  <si>
    <t>Verified on</t>
  </si>
  <si>
    <t>Payment Table</t>
  </si>
  <si>
    <t>Date Of Credit</t>
  </si>
  <si>
    <t>Amount (Rs)</t>
  </si>
  <si>
    <t>Wage Month</t>
  </si>
  <si>
    <t>No of Emplyess</t>
  </si>
  <si>
    <t>ECR</t>
  </si>
  <si>
    <t>Due Date</t>
  </si>
  <si>
    <t>Delay Days</t>
  </si>
  <si>
    <t>YES</t>
  </si>
  <si>
    <t>YES</t>
  </si>
  <si>
    <t>YES</t>
  </si>
  <si>
    <t>YES</t>
  </si>
  <si>
    <t>YES</t>
  </si>
  <si>
    <t>YES</t>
  </si>
  <si>
    <t>YES</t>
  </si>
  <si>
    <t>YES</t>
  </si>
  <si>
    <t>YES</t>
  </si>
  <si>
    <t>YES</t>
  </si>
  <si>
    <t>YES</t>
  </si>
  <si>
    <t>YES</t>
  </si>
  <si>
    <t>YES</t>
  </si>
  <si>
    <t>YES</t>
  </si>
  <si>
    <t>YES</t>
  </si>
  <si>
    <t>YES</t>
  </si>
  <si>
    <t>YES</t>
  </si>
  <si>
    <t>YES</t>
  </si>
  <si>
    <t>YES</t>
  </si>
  <si>
    <t>YES</t>
  </si>
  <si>
    <t>YES</t>
  </si>
  <si>
    <t>YES</t>
  </si>
  <si>
    <t>YES</t>
  </si>
  <si>
    <t>YES</t>
  </si>
  <si>
    <t>YES</t>
  </si>
  <si>
    <t>YES</t>
  </si>
  <si>
    <t>YES</t>
  </si>
  <si>
    <t>YES</t>
  </si>
  <si>
    <t>YES</t>
  </si>
  <si>
    <t>YES</t>
  </si>
  <si>
    <t>YES</t>
  </si>
  <si>
    <t>YES</t>
  </si>
  <si>
    <t>YES</t>
  </si>
  <si>
    <t>YES</t>
  </si>
  <si>
    <t>YES</t>
  </si>
  <si>
    <t>YES</t>
  </si>
  <si>
    <t>YES</t>
  </si>
  <si>
    <t>YES</t>
  </si>
  <si>
    <t>YES</t>
  </si>
  <si>
    <t>YES</t>
  </si>
  <si>
    <t>YES</t>
  </si>
  <si>
    <t>YES</t>
  </si>
  <si>
    <t>YES</t>
  </si>
  <si>
    <t>YES</t>
  </si>
  <si>
    <t>YES</t>
  </si>
  <si>
    <t>YES</t>
  </si>
  <si>
    <t>YES</t>
  </si>
  <si>
    <t>YES</t>
  </si>
  <si>
    <t>YES</t>
  </si>
  <si>
    <t>YES</t>
  </si>
  <si>
    <t>YES</t>
  </si>
  <si>
    <t>YES</t>
  </si>
  <si>
    <t>YES</t>
  </si>
  <si>
    <t>YES</t>
  </si>
  <si>
    <t>YES</t>
  </si>
  <si>
    <t>YES</t>
  </si>
  <si>
    <t>YES</t>
  </si>
  <si>
    <t>YES</t>
  </si>
  <si>
    <t>YES</t>
  </si>
  <si>
    <t>YES</t>
  </si>
  <si>
    <t>YES</t>
  </si>
  <si>
    <t>YES</t>
  </si>
  <si>
    <t>YES</t>
  </si>
  <si>
    <t>YES</t>
  </si>
  <si>
    <t>YES</t>
  </si>
  <si>
    <t>YES</t>
  </si>
  <si>
    <t>YES</t>
  </si>
  <si>
    <t>YES</t>
  </si>
  <si>
    <t>YES</t>
  </si>
  <si>
    <t>YES</t>
  </si>
  <si>
    <t>YES</t>
  </si>
  <si>
    <t>YES</t>
  </si>
  <si>
    <t>YES</t>
  </si>
  <si>
    <t>YES</t>
  </si>
  <si>
    <t>YES</t>
  </si>
  <si>
    <t>YES</t>
  </si>
  <si>
    <t>YES</t>
  </si>
  <si>
    <t>YES</t>
  </si>
  <si>
    <t>YES</t>
  </si>
  <si>
    <t>YES</t>
  </si>
  <si>
    <t>YES</t>
  </si>
  <si>
    <t>YES</t>
  </si>
  <si>
    <t>YES</t>
  </si>
  <si>
    <t>YES</t>
  </si>
  <si>
    <t>YES</t>
  </si>
  <si>
    <t>YES</t>
  </si>
  <si>
    <t>YES</t>
  </si>
  <si>
    <t>YES</t>
  </si>
  <si>
    <t>YES</t>
  </si>
  <si>
    <t>YES</t>
  </si>
  <si>
    <t>YES</t>
  </si>
  <si>
    <t>YES</t>
  </si>
  <si>
    <t>YES</t>
  </si>
  <si>
    <t>YES</t>
  </si>
  <si>
    <t>YES</t>
  </si>
  <si>
    <t>YES</t>
  </si>
  <si>
    <t>YES</t>
  </si>
  <si>
    <t>YES</t>
  </si>
  <si>
    <t>YES</t>
  </si>
  <si>
    <t>YES</t>
  </si>
  <si>
    <t>YES</t>
  </si>
  <si>
    <t>YES</t>
  </si>
  <si>
    <t>YES</t>
  </si>
  <si>
    <t>YES</t>
  </si>
  <si>
    <t>YES</t>
  </si>
  <si>
    <t>YES</t>
  </si>
  <si>
    <t>YES</t>
  </si>
  <si>
    <t>YES</t>
  </si>
  <si>
    <t>YES</t>
  </si>
  <si>
    <t>YES</t>
  </si>
  <si>
    <t>YES</t>
  </si>
  <si>
    <t>YES</t>
  </si>
  <si>
    <t>YES</t>
  </si>
  <si>
    <t>YES</t>
  </si>
  <si>
    <t>YES</t>
  </si>
  <si>
    <t>YES</t>
  </si>
  <si>
    <t>YES</t>
  </si>
  <si>
    <t>Crime Check</t>
  </si>
  <si>
    <t>Name:</t>
  </si>
  <si>
    <t>ASC INFRATECH PRIVATE LIMITED</t>
  </si>
  <si>
    <t>Cases In Last 2 Years</t>
  </si>
  <si>
    <t>Summary:</t>
  </si>
  <si>
    <t>ASC INFRATECH PRIVATE LIMITED has 17 cases registered.</t>
  </si>
  <si>
    <t>Risk Indicator:</t>
  </si>
  <si>
    <t>Very High Risk</t>
  </si>
  <si>
    <t>Risk Interpretation:</t>
  </si>
  <si>
    <t>Court Records have high impact on financial liability of the person. May refrain from providing loans and services.</t>
  </si>
  <si>
    <t>Verified on:</t>
  </si>
  <si>
    <t>Case Summary</t>
  </si>
  <si>
    <t>slNo</t>
  </si>
  <si>
    <t>petitioner</t>
  </si>
  <si>
    <t>respondent</t>
  </si>
  <si>
    <t>cinNumber</t>
  </si>
  <si>
    <t>caseTypeName</t>
  </si>
  <si>
    <t>courtName</t>
  </si>
  <si>
    <t>state</t>
  </si>
  <si>
    <t>district</t>
  </si>
  <si>
    <t>petitionerAddress</t>
  </si>
  <si>
    <t>respondentAddress</t>
  </si>
  <si>
    <t>caseNumber</t>
  </si>
  <si>
    <t>caseYear</t>
  </si>
  <si>
    <t>underAct</t>
  </si>
  <si>
    <t>section</t>
  </si>
  <si>
    <t>caseStatus</t>
  </si>
  <si>
    <t>firLink</t>
  </si>
  <si>
    <t>judgementLink</t>
  </si>
  <si>
    <t>caseLink</t>
  </si>
  <si>
    <t>caseType</t>
  </si>
  <si>
    <t>caseRemarks</t>
  </si>
  <si>
    <t>natureOfDisposal</t>
  </si>
  <si>
    <t>final_riskType</t>
  </si>
  <si>
    <t>final_riskSummary</t>
  </si>
  <si>
    <t>courtType</t>
  </si>
  <si>
    <t>caseDetailsLink</t>
  </si>
  <si>
    <t>case_match_percentage</t>
  </si>
  <si>
    <t>M/S AHAD INTERNATIONAL</t>
  </si>
  <si>
    <t>M/S ASC INFRATECH PVT LTD. AND OTHERS</t>
  </si>
  <si>
    <t>WBSP0A0010712019</t>
  </si>
  <si>
    <t>Complaint Case</t>
  </si>
  <si>
    <t>Additional Chief Judicial Magistrate, Sealdeh, South 24 Parganas</t>
  </si>
  <si>
    <t>West Bengal</t>
  </si>
  <si>
    <t>South Twenty Four Parganas</t>
  </si>
  <si>
    <t>1) Name: M/S AHAD INTERNATIONAL</t>
  </si>
  <si>
    <t>1) Name: M/S ASC INFRATECH PVT LTD. AND OTHERS</t>
  </si>
  <si>
    <t>200700003242019</t>
  </si>
  <si>
    <t>U/a Indian Penal Code</t>
  </si>
  <si>
    <t>U/s 156(3)</t>
  </si>
  <si>
    <t>Disposed</t>
  </si>
  <si>
    <t>N/A</t>
  </si>
  <si>
    <t>https://services.ecourts.gov.in/ecourtindia_v6/</t>
  </si>
  <si>
    <t>Criminal</t>
  </si>
  <si>
    <t>Uncontested--OTHERWISE</t>
  </si>
  <si>
    <t>Magistrate Court</t>
  </si>
  <si>
    <t>https://crime.getupforchange.com/getDetails?gfcId=2a73eeba04b4414537f84943f43c51390929d69efa0b12fbbfc3a1d6c3419dc42cf950f654a464599861546b5dc908e91564fd7c123e47ad35d9e67cca8e94fe</t>
  </si>
  <si>
    <t>100% match with Name full match</t>
  </si>
  <si>
    <t>State Government</t>
  </si>
  <si>
    <t>M/s ASC Infratech pvt ltd</t>
  </si>
  <si>
    <t>UKDD020089942019</t>
  </si>
  <si>
    <t>Summary Trial</t>
  </si>
  <si>
    <t>Chief Judicial Magistrate FTC Dehradun</t>
  </si>
  <si>
    <t>Uttarakhand</t>
  </si>
  <si>
    <t>Dehradun</t>
  </si>
  <si>
    <t>1) Name: State Government</t>
  </si>
  <si>
    <t>1) Name: M/s ASC Infratech pvt ltd</t>
  </si>
  <si>
    <t>206000072002019</t>
  </si>
  <si>
    <t>U/a Motor Vehicles Act</t>
  </si>
  <si>
    <t>U/s 39,66</t>
  </si>
  <si>
    <t>Disposed</t>
  </si>
  <si>
    <t>N/A</t>
  </si>
  <si>
    <t>https://services.ecourts.gov.in/ecourtindia_v6/</t>
  </si>
  <si>
    <t>Civil</t>
  </si>
  <si>
    <t>Uncontested--Confess</t>
  </si>
  <si>
    <t>Civil Court</t>
  </si>
  <si>
    <t>https://crime.getupforchange.com/getDetails?gfcId=f5b4a043db802bfc2f95b285bb22db69444939dc110a439356f9166674809efc49f21b59c7a6c1eed2fa7943081eb295a79034ed540d164ed8f56235537fdd47</t>
  </si>
  <si>
    <t>100% match with Name full match</t>
  </si>
  <si>
    <t>State of Tripura</t>
  </si>
  <si>
    <t>M/s. ASC Infratech Pvt.Ltd</t>
  </si>
  <si>
    <t>TRWT020038682022</t>
  </si>
  <si>
    <t>C R</t>
  </si>
  <si>
    <t>Chief Judicial Magistrate Court Complex, Agartala</t>
  </si>
  <si>
    <t>Tripura</t>
  </si>
  <si>
    <t>West Tripura</t>
  </si>
  <si>
    <t>1) Name: State of Tripura</t>
  </si>
  <si>
    <t>1) Name: M/s. ASC Infratech Pvt.Ltd</t>
  </si>
  <si>
    <t>205500002742022</t>
  </si>
  <si>
    <t>N/A</t>
  </si>
  <si>
    <t>Pending</t>
  </si>
  <si>
    <t>N/A</t>
  </si>
  <si>
    <t>https://services.ecourts.gov.in/ecourtindia_v6/</t>
  </si>
  <si>
    <t>Civil</t>
  </si>
  <si>
    <t>Civil Court</t>
  </si>
  <si>
    <t>https://crime.getupforchange.com/getDetails?gfcId=2496b1bfe463e673159a8887403f06affe62cc459c51795c42d45a3796791060c5a3e5506ba88d354de1601f7ee3cf6e9f1c77155e7b42b270e3b74136675288</t>
  </si>
  <si>
    <t>100% match with Name full match</t>
  </si>
  <si>
    <t>State of Tripura</t>
  </si>
  <si>
    <t>M/s. ASC Infratech Pvt. Ltd.</t>
  </si>
  <si>
    <t>TRWT020038692022</t>
  </si>
  <si>
    <t>C R</t>
  </si>
  <si>
    <t>Chief Judicial Magistrate Court Complex, Agartala</t>
  </si>
  <si>
    <t>Tripura</t>
  </si>
  <si>
    <t>West Tripura</t>
  </si>
  <si>
    <t>1) Name: State of Tripura</t>
  </si>
  <si>
    <t>1) Name: M/s. ASC Infratech Pvt. Ltd.</t>
  </si>
  <si>
    <t>205500002752022</t>
  </si>
  <si>
    <t>N/A</t>
  </si>
  <si>
    <t>Pending</t>
  </si>
  <si>
    <t>N/A</t>
  </si>
  <si>
    <t>https://services.ecourts.gov.in/ecourtindia_v6/</t>
  </si>
  <si>
    <t>Civil</t>
  </si>
  <si>
    <t>Civil Court</t>
  </si>
  <si>
    <t>https://crime.getupforchange.com/getDetails?gfcId=2496b1bfe463e673159a8887403f06af6378634080dfa41815a122ff128e0efab465bf6ec26a36b84f1c62f14bdc515d78b6e7ae1abad698ce70f82ef9b4f787</t>
  </si>
  <si>
    <t>100% match with Name full match</t>
  </si>
  <si>
    <t>SEW Infrastructures Ltd.,</t>
  </si>
  <si>
    <t>M/s ASC Infratech Pvt Ltd.,</t>
  </si>
  <si>
    <t>TSHC010001232022</t>
  </si>
  <si>
    <t>A.R.B.O.P</t>
  </si>
  <si>
    <t>Chief Judges Courts, Hyderabad - CCC</t>
  </si>
  <si>
    <t>Telangana</t>
  </si>
  <si>
    <t>Hyderabad</t>
  </si>
  <si>
    <t>1) Name: SEW Infrastructures Ltd.,</t>
  </si>
  <si>
    <t>1) Name: M/s ASC Infratech Pvt Ltd.,----------------------------,2) Name: P.Prasad----------------------------</t>
  </si>
  <si>
    <t>205100001772022</t>
  </si>
  <si>
    <t>U/a ARBITRATION AND CONCILIATION ACT</t>
  </si>
  <si>
    <t>U/s 34</t>
  </si>
  <si>
    <t>Pending</t>
  </si>
  <si>
    <t>N/A</t>
  </si>
  <si>
    <t>https://services.ecourts.gov.in/ecourtindia_v6/</t>
  </si>
  <si>
    <t>Civil</t>
  </si>
  <si>
    <t>Civil Court</t>
  </si>
  <si>
    <t>https://crime.getupforchange.com/getDetails?gfcId=df3a2d6815254d8cdcd6125199233ba8cc3c2552525850357fb56c7e06c0d0bdc26bf12af8f9f6b9d32ecbcbf239306d8e5122ddf697f9ba86cdb9a504894a3a</t>
  </si>
  <si>
    <t>100% match with Name full match</t>
  </si>
  <si>
    <t>SEW Infrastructures Ltd.,</t>
  </si>
  <si>
    <t>M/s ASC infratech Pvt Ltd.,</t>
  </si>
  <si>
    <t>TSHC010001242022</t>
  </si>
  <si>
    <t>A.R.B.O.P</t>
  </si>
  <si>
    <t>Chief Judges Courts, Hyderabad - CCC</t>
  </si>
  <si>
    <t>Telangana</t>
  </si>
  <si>
    <t>Hyderabad</t>
  </si>
  <si>
    <t>1) Name: SEW Infrastructures Ltd.,</t>
  </si>
  <si>
    <t>1) Name: M/s ASC infratech Pvt Ltd.,----------------------------,2) Name: P.Prasad, Arbitrator----------------------------</t>
  </si>
  <si>
    <t>205100001762022</t>
  </si>
  <si>
    <t>U/a ARBITRATION AND CONCILIATION ACT</t>
  </si>
  <si>
    <t>U/s 34</t>
  </si>
  <si>
    <t>Pending</t>
  </si>
  <si>
    <t>N/A</t>
  </si>
  <si>
    <t>https://services.ecourts.gov.in/ecourtindia_v6/</t>
  </si>
  <si>
    <t>Civil</t>
  </si>
  <si>
    <t>Civil Court</t>
  </si>
  <si>
    <t>https://crime.getupforchange.com/getDetails?gfcId=df3a2d6815254d8cdcd6125199233ba8c6c1a22db23adb26f1520145cd6d6f4864a3dcbff4267306dcf0220926e65d6857732029eb2ebc570018c585b904cc3c</t>
  </si>
  <si>
    <t>100% match with Name full match</t>
  </si>
  <si>
    <t>SEW Infrastructures Ltd.,</t>
  </si>
  <si>
    <t>M/s ASC Infratech Pvt Ltd.,</t>
  </si>
  <si>
    <t>TSHC010001222022</t>
  </si>
  <si>
    <t>A.R.B.O.P</t>
  </si>
  <si>
    <t>Chief Judges Courts, Hyderabad - CCC</t>
  </si>
  <si>
    <t>Telangana</t>
  </si>
  <si>
    <t>Hyderabad</t>
  </si>
  <si>
    <t>1) Name: SEW Infrastructures Ltd.,</t>
  </si>
  <si>
    <t>1) Name: M/s ASC Infratech Pvt Ltd.,----------------------------,2) Name: P.Prasad----------------------------</t>
  </si>
  <si>
    <t>205100001782022</t>
  </si>
  <si>
    <t>U/a ARBITRATION AND CONCILIATION ACT</t>
  </si>
  <si>
    <t>U/s 34</t>
  </si>
  <si>
    <t>Pending</t>
  </si>
  <si>
    <t>N/A</t>
  </si>
  <si>
    <t>https://services.ecourts.gov.in/ecourtindia_v6/</t>
  </si>
  <si>
    <t>Civil</t>
  </si>
  <si>
    <t>Civil Court</t>
  </si>
  <si>
    <t>https://crime.getupforchange.com/getDetails?gfcId=df3a2d6815254d8cdcd6125199233ba88c411e01599a6bf6b09275b276a6e58dc02040953efa3d1a0eb409146a76253f97a856a36f3cc4a6dff0cbd4606fc95e</t>
  </si>
  <si>
    <t>100% match with Name full match</t>
  </si>
  <si>
    <t>LABOUR ENFORCEMENT OFFICER</t>
  </si>
  <si>
    <t>M/S ASC INFRATECH PRIVATE LIMITED AJAY SHIRIVASTAV  DRIECTOR,</t>
  </si>
  <si>
    <t>BRGO020026982023</t>
  </si>
  <si>
    <t>Cr Compt.(O)</t>
  </si>
  <si>
    <t>CJM Div. Gopalganj</t>
  </si>
  <si>
    <t>Bihar</t>
  </si>
  <si>
    <t>Gopalganj</t>
  </si>
  <si>
    <t>1) Name: LABOUR ENFORCEMENT OFFICER</t>
  </si>
  <si>
    <t>1) Name: M/S ASC INFRATECH PRIVATE LIMITED AJAY SHIRIVASTAV  DRIECTOR,</t>
  </si>
  <si>
    <t>215900000042023</t>
  </si>
  <si>
    <t>2023</t>
  </si>
  <si>
    <t>N/A</t>
  </si>
  <si>
    <t>Disposed</t>
  </si>
  <si>
    <t>N/A</t>
  </si>
  <si>
    <t>https://services.ecourts.gov.in/ecourtindia_v6/</t>
  </si>
  <si>
    <t>Magistrate Court</t>
  </si>
  <si>
    <t>https://crime.getupforchange.com/getDetails?gfcId=1fe4e8f7b8f1e33095193bafc7ab50a38dca5683f5e0d11bb7015a3bd604bcf277d5348e4259b463be727900ffd036500bc19aceb55ef5a001c34350ed212a2a</t>
  </si>
  <si>
    <t>100% match with Name full match</t>
  </si>
  <si>
    <t>M/s ASC Infratech Pvt Ltd.,</t>
  </si>
  <si>
    <t>M/s SEW Infrastructures Ltd.,</t>
  </si>
  <si>
    <t>TSHC010007532022</t>
  </si>
  <si>
    <t>A.R.B.O.P</t>
  </si>
  <si>
    <t>Chief Judges Courts, Hyderabad - CCC</t>
  </si>
  <si>
    <t>Telangana</t>
  </si>
  <si>
    <t>Hyderabad</t>
  </si>
  <si>
    <t>1) Name: M/s ASC Infratech Pvt Ltd.,</t>
  </si>
  <si>
    <t>1) Name: M/s SEW Infrastructures Ltd.,</t>
  </si>
  <si>
    <t>205100000112023</t>
  </si>
  <si>
    <t>N/A</t>
  </si>
  <si>
    <t>Pending</t>
  </si>
  <si>
    <t>N/A</t>
  </si>
  <si>
    <t>https://services.ecourts.gov.in/ecourtindia_v6/</t>
  </si>
  <si>
    <t>Civil</t>
  </si>
  <si>
    <t>Civil Court</t>
  </si>
  <si>
    <t>https://crime.getupforchange.com/getDetails?gfcId=df3a2d6815254d8cdcd6125199233ba81d38fb9203557f51fe23c2f21cebc0464fb4a91e9e405875899c6a3f1f8f57b86d5f493656738f782658bc540ef1e08e</t>
  </si>
  <si>
    <t>100% match with Name full match</t>
  </si>
  <si>
    <t>M/s ASC Infratech Pvt Ltd.,</t>
  </si>
  <si>
    <t>M/s SEW Infrastructures Ltd.,</t>
  </si>
  <si>
    <t>TSHC010007542022</t>
  </si>
  <si>
    <t>A.R.B.O.P</t>
  </si>
  <si>
    <t>Chief Judges Courts, Hyderabad - CCC</t>
  </si>
  <si>
    <t>Telangana</t>
  </si>
  <si>
    <t>Hyderabad</t>
  </si>
  <si>
    <t>1) Name: M/s ASC Infratech Pvt Ltd.,</t>
  </si>
  <si>
    <t>1) Name: M/s SEW Infrastructures Ltd.,</t>
  </si>
  <si>
    <t>205100000122023</t>
  </si>
  <si>
    <t>N/A</t>
  </si>
  <si>
    <t>Pending</t>
  </si>
  <si>
    <t>N/A</t>
  </si>
  <si>
    <t>https://services.ecourts.gov.in/ecourtindia_v6/</t>
  </si>
  <si>
    <t>Civil</t>
  </si>
  <si>
    <t>Civil Court</t>
  </si>
  <si>
    <t>https://crime.getupforchange.com/getDetails?gfcId=df3a2d6815254d8cdcd6125199233ba8f02b96cd906c0d49c443d494315784fdde8ba8d4e39e3745a30177a39884a8045749376bfae237b6c399777e29e239de</t>
  </si>
  <si>
    <t>100% match with Name full match</t>
  </si>
  <si>
    <t>M/s ASC Infratech Pvt Ltd.,</t>
  </si>
  <si>
    <t>M/s SEW Infrastructures Ltd.,</t>
  </si>
  <si>
    <t>TSHC010007522022</t>
  </si>
  <si>
    <t>A.R.B.O.P</t>
  </si>
  <si>
    <t>Chief Judges Courts, Hyderabad - CCC</t>
  </si>
  <si>
    <t>Telangana</t>
  </si>
  <si>
    <t>Hyderabad</t>
  </si>
  <si>
    <t>1) Name: M/s ASC Infratech Pvt Ltd.,</t>
  </si>
  <si>
    <t>1) Name: M/s SEW Infrastructures Ltd.,</t>
  </si>
  <si>
    <t>205100000132023</t>
  </si>
  <si>
    <t>N/A</t>
  </si>
  <si>
    <t>Pending</t>
  </si>
  <si>
    <t>N/A</t>
  </si>
  <si>
    <t>https://services.ecourts.gov.in/ecourtindia_v6/</t>
  </si>
  <si>
    <t>Civil</t>
  </si>
  <si>
    <t>Civil Court</t>
  </si>
  <si>
    <t>https://crime.getupforchange.com/getDetails?gfcId=df3a2d6815254d8cdcd6125199233ba8102776d6ab8dcec3a9a38f4a82c34dfe3f3fb52094e6198d23c62741a47fed510aa6fca24a806c3eb03a67a8e29b538f</t>
  </si>
  <si>
    <t>100% match with Name full match</t>
  </si>
  <si>
    <t>ASC INFRATECH PVT. LTD</t>
  </si>
  <si>
    <t>M/s. IL and FS Engineering And Construction Co.Ltd</t>
  </si>
  <si>
    <t>HBHC010104202019</t>
  </si>
  <si>
    <t>ARBAPPL - ARBITRATION APPLICATION</t>
  </si>
  <si>
    <t>High Court of Telangana</t>
  </si>
  <si>
    <t>Telangana</t>
  </si>
  <si>
    <t>1) Name: ASC INFRATECH PVT. LTD</t>
  </si>
  <si>
    <t>1) Name: M/s. IL and FS Engineering And Construction Co.Ltd</t>
  </si>
  <si>
    <t>200200000702019</t>
  </si>
  <si>
    <t>N/A</t>
  </si>
  <si>
    <t>Disposed</t>
  </si>
  <si>
    <t>N/A</t>
  </si>
  <si>
    <t>http://orders.getupforchange.com/getFile/74eb5a8a56af2207c60cca5d53ecd65ec596ec39498fb2d77f49a3142b831f1b629217209545bedc277a07c292f7fc56</t>
  </si>
  <si>
    <t>https://hcservices.ecourts.gov.in/hcservices/</t>
  </si>
  <si>
    <t>Civil</t>
  </si>
  <si>
    <t>High Court</t>
  </si>
  <si>
    <t>https://crime.getupforchange.com/getDetails?gfcId=97123a593fbc4bbbaf56e5fe8b1ff8211b017de8fe030c8345b3567aff57383be802db5e9bea3e21a4bec412697e6c0433663fce563aeb373129e400795dd9b654ad839f5e9ef6c790bf342e3a9d92d74c70af89d8c1bdeb11c6e85a1ad9851c1acc910c6c3789e439b5ad0c095d7d1a</t>
  </si>
  <si>
    <t>100% match with Name full match</t>
  </si>
  <si>
    <t>ASC INFRATECH PVT Ltd.</t>
  </si>
  <si>
    <t>M/s. SEW INFRASTRUCTURES LTD</t>
  </si>
  <si>
    <t>HBHC010260152019</t>
  </si>
  <si>
    <t>ARBAPPL - ARBITRATION APPLICATION</t>
  </si>
  <si>
    <t>High Court of Telangana</t>
  </si>
  <si>
    <t>Telangana</t>
  </si>
  <si>
    <t>1) Name: ASC INFRATECH PVT Ltd.</t>
  </si>
  <si>
    <t>1) Name: M/s. SEW INFRASTRUCTURES LTD</t>
  </si>
  <si>
    <t>200200000652019</t>
  </si>
  <si>
    <t>N/A</t>
  </si>
  <si>
    <t>Disposed</t>
  </si>
  <si>
    <t>N/A</t>
  </si>
  <si>
    <t>http://orders.getupforchange.com/getFile/74eb5a8a56af2207c60cca5d53ecd65e5dfb87d2547f6897d06ed175f46f999aa76ae5395b02c8237fa2d9ad01f8369b</t>
  </si>
  <si>
    <t>https://hcservices.ecourts.gov.in/hcservices/</t>
  </si>
  <si>
    <t>Civil</t>
  </si>
  <si>
    <t>High Court</t>
  </si>
  <si>
    <t>https://crime.getupforchange.com/getDetails?gfcId=97123a593fbc4bbbaf56e5fe8b1ff8211b017de8fe030c8345b3567aff57383be802db5e9bea3e21a4bec412697e6c0433663fce563aeb373129e400795dd9b6fb92526f89859c8906ab6a91b9740487eb3f4191a24d21444a1cc8a9f798cb8f7b9e711e427a7c83477a8c33f1aa9071</t>
  </si>
  <si>
    <t>100% match with Name full match</t>
  </si>
  <si>
    <t>ASC INFRATECH PVT Ltd.</t>
  </si>
  <si>
    <t>M/s. SEW INFRASTRUCTURES LTD</t>
  </si>
  <si>
    <t>Case Number: ARBAPPL/65/2019</t>
  </si>
  <si>
    <t>ARBAPPL(ARBITRATION APPLICATION)</t>
  </si>
  <si>
    <t>High Court of Telangana</t>
  </si>
  <si>
    <t>Telangana</t>
  </si>
  <si>
    <t>1) Name: ASC INFRATECH PVT Ltd - Corporate Office situated at H37 1st Floor Sector63 Noida Uttar Pradesh Represented by its Authorised Signatory Mr Sanjay Gupta sonof  Late Mr Dr H S Gupta MajorAddress: at H37 1st Floor Sector63 Noida Uttar Pradesh201301</t>
  </si>
  <si>
    <t xml:space="preserve">1) Name: M/s SEW INFRASTRUCTURES LTD - Rep by its Assistant General Manager Transpiration and Roads Department Shri Ch Gowri Sankara Rao Office at 63871 Snehlata Greenlands Road Begumpet Hyderabad 500016 Telangana </t>
  </si>
  <si>
    <t>ARBAPPL/65/2019</t>
  </si>
  <si>
    <t>N/A</t>
  </si>
  <si>
    <t>Disposed</t>
  </si>
  <si>
    <t>N/A</t>
  </si>
  <si>
    <t>https://csis.tshc.gov.in/</t>
  </si>
  <si>
    <t>High Court</t>
  </si>
  <si>
    <t>https://crime.getupforchange.com/getDetails?gfcId=9ae449765471b812e28fdd497b32d933f9c2ca386b69e92186d9867d7be564ee04f5cb64212668887cd037a5b5213712b54523152fcdce961cc6b5a967ce6688de1a5a204fb59e27a0190c10f379b4b7</t>
  </si>
  <si>
    <t>100% match with Name full match</t>
  </si>
  <si>
    <t>ASC INFRATECH PVT. LTD</t>
  </si>
  <si>
    <t>M/s. IL and FS Engineering And Construction Co.Ltd</t>
  </si>
  <si>
    <t>Case Number: ARBAPPL/70/2019</t>
  </si>
  <si>
    <t>ARBAPPL(ARBITRATION APPLICATION)</t>
  </si>
  <si>
    <t>High Court of Telangana</t>
  </si>
  <si>
    <t>Telangana</t>
  </si>
  <si>
    <t>1) Name: ASC INFRATECH PVT LTD - Corporate Office situated at H37 1st Floor Sector 63 Noida Uttar Pradesh Represented by its Authorized Signatory Mr Sanjay Gupta sonof  Late Mr Dr H S Gupta MajorAddress: at H37 1st Floor Sector 63 Noida Uttar Pradesh 201301</t>
  </si>
  <si>
    <t xml:space="preserve">1) Name: M/s IL and FS Engineering And Construction Co Ltd - Represented by Mr Mukund Sapre Managing Director 82120/113/3/4F Sanali Info Park Cyber Towers Road No 2 Banjara Hills Hyderabad  500033 Telangana </t>
  </si>
  <si>
    <t>ARBAPPL/70/2019</t>
  </si>
  <si>
    <t>2019</t>
  </si>
  <si>
    <t>N/A</t>
  </si>
  <si>
    <t>Disposed</t>
  </si>
  <si>
    <t>N/A</t>
  </si>
  <si>
    <t>https://csis.tshc.gov.in/</t>
  </si>
  <si>
    <t>High Court</t>
  </si>
  <si>
    <t>https://crime.getupforchange.com/getDetails?gfcId=9ae449765471b812e28fdd497b32d933f9c2ca386b69e92186d9867d7be564ee04f5cb64212668887cd037a5b521371255fa72e334ca36f6510b91bcf814a6756c6efe91b2e47600795a84b8df00ff45</t>
  </si>
  <si>
    <t>100% match with Name full match</t>
  </si>
  <si>
    <t>M/s. Asc Infratech</t>
  </si>
  <si>
    <t>M/s. New calcutta Machnery Works And Ors</t>
  </si>
  <si>
    <t>UPGB050227592019</t>
  </si>
  <si>
    <t>Complaint Cases</t>
  </si>
  <si>
    <t>Civil Judge Senior Division</t>
  </si>
  <si>
    <t>Uttar Pradesh</t>
  </si>
  <si>
    <t>Gautam Buddha Nagar</t>
  </si>
  <si>
    <t>1) Name: M/s. Asc Infratech</t>
  </si>
  <si>
    <t>1) Name: M/s. New calcutta Machnery Works And Ors</t>
  </si>
  <si>
    <t>203500009812019</t>
  </si>
  <si>
    <t>2019</t>
  </si>
  <si>
    <t>U/a Negotiable Instruments Act</t>
  </si>
  <si>
    <t>U/s 138,</t>
  </si>
  <si>
    <t>Disposed</t>
  </si>
  <si>
    <t>N/A</t>
  </si>
  <si>
    <t>https://services.ecourts.gov.in/ecourtindia_v6/</t>
  </si>
  <si>
    <t>Criminal</t>
  </si>
  <si>
    <t>Contested--TRANSFER</t>
  </si>
  <si>
    <t>Magistrate Court</t>
  </si>
  <si>
    <t>https://crime.getupforchange.com/getDetails?gfcId=3d587c9d7576a1d146fbd7c63c2177efb1891c4ce6a4344c488d7392e3a6c7b3b022e7a67a38ccda56fadb8cf2063db5487f8eb4f48d7bb63e5a064f30c13b55</t>
  </si>
  <si>
    <t>100% match with Name full match</t>
  </si>
  <si>
    <t>M/s. Asc Infratech</t>
  </si>
  <si>
    <t>M/s. New calcutta Machnery Works And Ors</t>
  </si>
  <si>
    <t>UPGB040091112020</t>
  </si>
  <si>
    <t>Complaint Cases</t>
  </si>
  <si>
    <t>Chief Judicial Magistrate</t>
  </si>
  <si>
    <t>Uttar Pradesh</t>
  </si>
  <si>
    <t>Gautam Buddha Nagar</t>
  </si>
  <si>
    <t>1) Name: M/s. Asc Infratech</t>
  </si>
  <si>
    <t>1) Name: M/s. New calcutta Machnery Works And Ors</t>
  </si>
  <si>
    <t>203500012922020</t>
  </si>
  <si>
    <t>U/a Negotiable Instruments Act</t>
  </si>
  <si>
    <t>U/s 138,</t>
  </si>
  <si>
    <t>Pending</t>
  </si>
  <si>
    <t>N/A</t>
  </si>
  <si>
    <t>https://services.ecourts.gov.in/ecourtindia_v6/</t>
  </si>
  <si>
    <t>Criminal</t>
  </si>
  <si>
    <t>Magistrate Court</t>
  </si>
  <si>
    <t>https://crime.getupforchange.com/getDetails?gfcId=79c5571bc27346b5aae5c2b9ab5ab9c700ce1d26225bcfb771e465bbb91fbfbb490df2c786c2e52b0b3abbc6effd15c95e18b232ccb99670f2d5698f02f8b655</t>
  </si>
  <si>
    <t>100% match with Name full match</t>
  </si>
  <si>
    <t>Crime Check</t>
  </si>
  <si>
    <t>Name:</t>
  </si>
  <si>
    <t>JAYASINH VALLABHDAS MARIWALA</t>
  </si>
  <si>
    <t>Cases In Last 2 Years</t>
  </si>
  <si>
    <t>Summary:</t>
  </si>
  <si>
    <t>JAYASINH VALLABHDAS MARIWALA has 0 cases registered.</t>
  </si>
  <si>
    <t>Risk Indicator:</t>
  </si>
  <si>
    <t>No Risk</t>
  </si>
  <si>
    <t>Risk Interpretation:</t>
  </si>
  <si>
    <t>Court Records have high impact on financial liability of the person. May refrain from providing loans and services.</t>
  </si>
  <si>
    <t>Verified on:</t>
  </si>
  <si>
    <t>Case Summary</t>
  </si>
  <si>
    <t>slNo</t>
  </si>
  <si>
    <t>petitioner</t>
  </si>
  <si>
    <t>respondent</t>
  </si>
  <si>
    <t>cinNumber</t>
  </si>
  <si>
    <t>caseTypeName</t>
  </si>
  <si>
    <t>courtName</t>
  </si>
  <si>
    <t>state</t>
  </si>
  <si>
    <t>district</t>
  </si>
  <si>
    <t>petitionerAddress</t>
  </si>
  <si>
    <t>respondentAddress</t>
  </si>
  <si>
    <t>caseNumber</t>
  </si>
  <si>
    <t>caseYear</t>
  </si>
  <si>
    <t>underAct</t>
  </si>
  <si>
    <t>section</t>
  </si>
  <si>
    <t>caseStatus</t>
  </si>
  <si>
    <t>firLink</t>
  </si>
  <si>
    <t>judgementLink</t>
  </si>
  <si>
    <t>caseLink</t>
  </si>
  <si>
    <t>caseType</t>
  </si>
  <si>
    <t>caseRemarks</t>
  </si>
  <si>
    <t>natureOfDisposal</t>
  </si>
  <si>
    <t>final_riskType</t>
  </si>
  <si>
    <t>final_riskSummary</t>
  </si>
  <si>
    <t>courtType</t>
  </si>
  <si>
    <t>caseDetailsLink</t>
  </si>
  <si>
    <t>case_match_percentage</t>
  </si>
  <si>
    <t>Namaste Credit Financial Statement</t>
  </si>
  <si>
    <t>Conolidated Financial Entities</t>
  </si>
  <si>
    <t>Names</t>
  </si>
  <si>
    <t>Amount in</t>
  </si>
  <si>
    <t>Crores</t>
  </si>
  <si>
    <t>Profit and Loss</t>
  </si>
  <si>
    <t>Particulars</t>
  </si>
  <si>
    <t>Source type:</t>
  </si>
  <si>
    <t>Audited</t>
  </si>
  <si>
    <t>Audited</t>
  </si>
  <si>
    <t>Audited</t>
  </si>
  <si>
    <t>Audited</t>
  </si>
  <si>
    <t>Audited</t>
  </si>
  <si>
    <t>Auditor</t>
  </si>
  <si>
    <t>Auditor's Opinion</t>
  </si>
  <si>
    <t>Revenue from Operations:</t>
  </si>
  <si>
    <t>Revenue</t>
  </si>
  <si>
    <t>Domestic Turnover:</t>
  </si>
  <si>
    <t>Sale of Goods Manufactured</t>
  </si>
  <si>
    <t>Sale of Goods Traded</t>
  </si>
  <si>
    <t>Sale or Supply of Services</t>
  </si>
  <si>
    <t>Export Turnover:</t>
  </si>
  <si>
    <t>-</t>
  </si>
  <si>
    <t>Sale of Goods Manufactured</t>
  </si>
  <si>
    <t>Sale of Goods Traded</t>
  </si>
  <si>
    <t>-</t>
  </si>
  <si>
    <t>Sale or Supply of Services</t>
  </si>
  <si>
    <t>Sale or Supply of Spares</t>
  </si>
  <si>
    <t>Other Operating Revenue</t>
  </si>
  <si>
    <t>Sales Return</t>
  </si>
  <si>
    <t>Total Revenue</t>
  </si>
  <si>
    <t>Expenses:</t>
  </si>
  <si>
    <t>COGS</t>
  </si>
  <si>
    <t>Raw Materials</t>
  </si>
  <si>
    <t>Opening Stock</t>
  </si>
  <si>
    <t>Purchases</t>
  </si>
  <si>
    <t>Closing Stock</t>
  </si>
  <si>
    <t>Work In Progress / Finished Goods:</t>
  </si>
  <si>
    <t>Opening Stock</t>
  </si>
  <si>
    <t>Closing Stock</t>
  </si>
  <si>
    <t>Spares:</t>
  </si>
  <si>
    <t>Opening Stock</t>
  </si>
  <si>
    <t>Purchases</t>
  </si>
  <si>
    <t>Closing Stock</t>
  </si>
  <si>
    <t>Manufacturing Expenses / Other Direct Expenses</t>
  </si>
  <si>
    <t>Wages and Salary to Direct Employees</t>
  </si>
  <si>
    <t>Power &amp; Fuel</t>
  </si>
  <si>
    <t>Rent</t>
  </si>
  <si>
    <t>Other</t>
  </si>
  <si>
    <t>Gross Profit</t>
  </si>
  <si>
    <t>Gross profit</t>
  </si>
  <si>
    <t>Adminsitrative Expenses</t>
  </si>
  <si>
    <t>Salary &amp; Employee Benefits</t>
  </si>
  <si>
    <t>Selling and Distribution Expense</t>
  </si>
  <si>
    <t>Others</t>
  </si>
  <si>
    <t>Payment to Management:</t>
  </si>
  <si>
    <t>Salary to Directors / Partners</t>
  </si>
  <si>
    <t>Interest to Directors / Partners</t>
  </si>
  <si>
    <t>Other Expenses:</t>
  </si>
  <si>
    <t>Bank Charges</t>
  </si>
  <si>
    <t>Others</t>
  </si>
  <si>
    <t>EBITDA</t>
  </si>
  <si>
    <t>Depreciation &amp; Amortisation</t>
  </si>
  <si>
    <t>Bad Debts</t>
  </si>
  <si>
    <t>Provision for Bad Debts</t>
  </si>
  <si>
    <t>Bad Debts W/O</t>
  </si>
  <si>
    <t>Other Non-Cash Expenses</t>
  </si>
  <si>
    <t>Non-Cash Expenses Incurred</t>
  </si>
  <si>
    <t>Non-Cash Expenses W/o</t>
  </si>
  <si>
    <t>Preliminary / Pre-operative expenses</t>
  </si>
  <si>
    <t>EBIT</t>
  </si>
  <si>
    <t>Interest Expense:</t>
  </si>
  <si>
    <t>Interest on Loans from Banks</t>
  </si>
  <si>
    <t>Interest on Loans from Relatives</t>
  </si>
  <si>
    <t>Interest on Loans from Others</t>
  </si>
  <si>
    <t>Interest on CC/OD</t>
  </si>
  <si>
    <t>Other Interest Charges</t>
  </si>
  <si>
    <t>Other Non-Operating Revenue:</t>
  </si>
  <si>
    <t>Interest Income</t>
  </si>
  <si>
    <t>Dividend Received</t>
  </si>
  <si>
    <t>Profit / Loss from Sale of Assets</t>
  </si>
  <si>
    <t>Profit / Loss from Sale of Investments</t>
  </si>
  <si>
    <t>Forex Income</t>
  </si>
  <si>
    <t>Other Income of Director / Partner / Propreitor</t>
  </si>
  <si>
    <t>Others</t>
  </si>
  <si>
    <t>Profit/(Loss) before exceptional items and Tax</t>
  </si>
  <si>
    <t>Exceptional Items Gains/(Losses)</t>
  </si>
  <si>
    <t>PBT</t>
  </si>
  <si>
    <t>Provision For Tax</t>
  </si>
  <si>
    <t>Income Tax</t>
  </si>
  <si>
    <t>Deferred Tax (Assets) / Liability</t>
  </si>
  <si>
    <t>Tax Rate</t>
  </si>
  <si>
    <t>PAT</t>
  </si>
  <si>
    <t>Minority Interest (+/-)</t>
  </si>
  <si>
    <t>Net PAT</t>
  </si>
  <si>
    <t>Dividend/Withdrawal</t>
  </si>
  <si>
    <t>Dividend on Equity / Preference Shares</t>
  </si>
  <si>
    <t>Patner's Withdrawal / Interest</t>
  </si>
  <si>
    <t>Retained Profit</t>
  </si>
  <si>
    <t>Cash Profit</t>
  </si>
  <si>
    <t>Balance Sheet</t>
  </si>
  <si>
    <t>Particulars</t>
  </si>
  <si>
    <t>Balance Sheet</t>
  </si>
  <si>
    <t>Equity and Liabilities</t>
  </si>
  <si>
    <t>Equity:</t>
  </si>
  <si>
    <t>Share Capital</t>
  </si>
  <si>
    <t>Equity Capital Fund</t>
  </si>
  <si>
    <t>Partner's/Propreitor's Capital Account</t>
  </si>
  <si>
    <t>Preference Share &gt;12 Years</t>
  </si>
  <si>
    <t>Quasi Capital</t>
  </si>
  <si>
    <t>Minority Interest</t>
  </si>
  <si>
    <t>Reserves &amp; Surplus</t>
  </si>
  <si>
    <t>Reserves: P&amp;L + General</t>
  </si>
  <si>
    <t>Share Premium</t>
  </si>
  <si>
    <t>Revaluation Reserve</t>
  </si>
  <si>
    <t>Capital subsidy</t>
  </si>
  <si>
    <t>Intangibles / Goodwill</t>
  </si>
  <si>
    <t>Net Worth</t>
  </si>
  <si>
    <t>Adjusted Net Worth</t>
  </si>
  <si>
    <t>Adjusted Net worth</t>
  </si>
  <si>
    <t>Liabilities:</t>
  </si>
  <si>
    <t>Non-Current Liabilities:</t>
  </si>
  <si>
    <t>Long Term Borrowings:</t>
  </si>
  <si>
    <t>Bank Debts - Secured</t>
  </si>
  <si>
    <t>Bank Debts - Unsecured</t>
  </si>
  <si>
    <t>Loan from Group Companies</t>
  </si>
  <si>
    <t>Loans from Promoters</t>
  </si>
  <si>
    <t>Loans from Relatives</t>
  </si>
  <si>
    <t>Loans from Others</t>
  </si>
  <si>
    <t>Preference Share &lt;12 Years</t>
  </si>
  <si>
    <t>Deferred Tax Liabilities (net)</t>
  </si>
  <si>
    <t>Long Term Provisions</t>
  </si>
  <si>
    <t>Employee Benefits</t>
  </si>
  <si>
    <t>Others</t>
  </si>
  <si>
    <t>Trade Payables(Long Term)</t>
  </si>
  <si>
    <t>Related Parties</t>
  </si>
  <si>
    <t>Others</t>
  </si>
  <si>
    <t>Other Non Current Liabilities</t>
  </si>
  <si>
    <t>Total Non-Current Liabilities:</t>
  </si>
  <si>
    <t>Current Liabilities:</t>
  </si>
  <si>
    <t>Short Term Borrowings:</t>
  </si>
  <si>
    <t>CC / Overdraft</t>
  </si>
  <si>
    <t>Other Short Term Loans from Banks</t>
  </si>
  <si>
    <t>Current Maturities of Long Term Borrowings</t>
  </si>
  <si>
    <t>Loan from Group Companies</t>
  </si>
  <si>
    <t>Loans from Promoters</t>
  </si>
  <si>
    <t>Loans from Relatives</t>
  </si>
  <si>
    <t>Others</t>
  </si>
  <si>
    <t>Trade Payables</t>
  </si>
  <si>
    <t>For Purchases/Expenses</t>
  </si>
  <si>
    <t>For Capex</t>
  </si>
  <si>
    <t>Related Parties</t>
  </si>
  <si>
    <t>Others</t>
  </si>
  <si>
    <t>Short Term Provision</t>
  </si>
  <si>
    <t>Other Current Liabilities</t>
  </si>
  <si>
    <t>Statutory Liability</t>
  </si>
  <si>
    <t>Princ default, Interest accrued &amp; due, Stat liability o/d</t>
  </si>
  <si>
    <t>Others</t>
  </si>
  <si>
    <t>Total Current Liabilities:</t>
  </si>
  <si>
    <t>Total Equity and Liabilities</t>
  </si>
  <si>
    <t>Total Equity and Liabilities</t>
  </si>
  <si>
    <t>Assets</t>
  </si>
  <si>
    <t>Assets</t>
  </si>
  <si>
    <t>Non-Current Assets:</t>
  </si>
  <si>
    <t>Fixed Assets:</t>
  </si>
  <si>
    <t>Tangible Assets</t>
  </si>
  <si>
    <t>Land and Building</t>
  </si>
  <si>
    <t>Machinery and Equipment</t>
  </si>
  <si>
    <t>Other</t>
  </si>
  <si>
    <t>Less: Accumulated Depreciation</t>
  </si>
  <si>
    <t>In-Tangible Assets</t>
  </si>
  <si>
    <t>Less: Accumulated Depreciation</t>
  </si>
  <si>
    <t>Capital Work in Progress</t>
  </si>
  <si>
    <t>In-Tangible Assets under Development</t>
  </si>
  <si>
    <t>Non-Current Investments:</t>
  </si>
  <si>
    <t>Liquid / Marketable Investments</t>
  </si>
  <si>
    <t>Deposits with Banks</t>
  </si>
  <si>
    <t>Subsidiary and Associate Investments</t>
  </si>
  <si>
    <t>Unquoted / Dead Investments</t>
  </si>
  <si>
    <t>Long-Term Loans and Advances:</t>
  </si>
  <si>
    <t>Related Parties</t>
  </si>
  <si>
    <t>Share Holders/Promoters</t>
  </si>
  <si>
    <t>Group Company</t>
  </si>
  <si>
    <t>Relatives</t>
  </si>
  <si>
    <t>Others</t>
  </si>
  <si>
    <t>Deferred Tax Asset</t>
  </si>
  <si>
    <t>Other Non-Current Assets</t>
  </si>
  <si>
    <t>Preliminary / Preoperative Expenses</t>
  </si>
  <si>
    <t>Other Intangible Assets</t>
  </si>
  <si>
    <t>Others</t>
  </si>
  <si>
    <t>Total Non-Current Assets</t>
  </si>
  <si>
    <t>Total Non-current Assets</t>
  </si>
  <si>
    <t>Current Assets:</t>
  </si>
  <si>
    <t>Current Investment</t>
  </si>
  <si>
    <t>Liquid / Marketable Investments</t>
  </si>
  <si>
    <t>With Lien</t>
  </si>
  <si>
    <t>Without Lien</t>
  </si>
  <si>
    <t>Deposits with Banks</t>
  </si>
  <si>
    <t>Subsidiary and Associate Investments</t>
  </si>
  <si>
    <t>Unquoted / Dead Investments</t>
  </si>
  <si>
    <t>Inventory</t>
  </si>
  <si>
    <t>Raw Material</t>
  </si>
  <si>
    <t>Work in process + Spares</t>
  </si>
  <si>
    <t>Finished Goods</t>
  </si>
  <si>
    <t>Obsolete and unmoving inventory</t>
  </si>
  <si>
    <t>Trade Receivables</t>
  </si>
  <si>
    <t xml:space="preserve"> &lt; 6 months</t>
  </si>
  <si>
    <t>&gt; 6 months</t>
  </si>
  <si>
    <t>Related Parties</t>
  </si>
  <si>
    <t>Less: Provision for Bad Debts</t>
  </si>
  <si>
    <t>Cash &amp; Cash Equivalents</t>
  </si>
  <si>
    <t>Short-Term Loans and Advances:</t>
  </si>
  <si>
    <t>Related Parties</t>
  </si>
  <si>
    <t>Share Holders/Promoters</t>
  </si>
  <si>
    <t>Group Company</t>
  </si>
  <si>
    <t>Relatives</t>
  </si>
  <si>
    <t>Others</t>
  </si>
  <si>
    <t>Other Current Assets</t>
  </si>
  <si>
    <t>Total Current Assets</t>
  </si>
  <si>
    <t>Total Non-current Assets</t>
  </si>
  <si>
    <t>Total Assets</t>
  </si>
  <si>
    <t>Total Assets</t>
  </si>
  <si>
    <t>Balance Sheet Check</t>
  </si>
  <si>
    <t>Ratio Analysis</t>
  </si>
  <si>
    <t>Particulars</t>
  </si>
  <si>
    <t>Balance Sheet</t>
  </si>
  <si>
    <t>Growth</t>
  </si>
  <si>
    <t>Revenue Growth</t>
  </si>
  <si>
    <t>EBITDA Growth</t>
  </si>
  <si>
    <t>PAT Growth</t>
  </si>
  <si>
    <t>Profitability Management</t>
  </si>
  <si>
    <t>EBITDA Margin (excluding Other Revenue)</t>
  </si>
  <si>
    <t>PAT Margin (excluding Other Revenue)</t>
  </si>
  <si>
    <t>Cash Profit Ratio (excluding Other Revenue)</t>
  </si>
  <si>
    <t>Return on Capital Employed</t>
  </si>
  <si>
    <t>Return on Equity</t>
  </si>
  <si>
    <t>Return on Assets</t>
  </si>
  <si>
    <t>Liquidity Management</t>
  </si>
  <si>
    <t>Current Ratio (Including Limits)</t>
  </si>
  <si>
    <t xml:space="preserve">Net Working Capital </t>
  </si>
  <si>
    <t>Working Capital Turnover</t>
  </si>
  <si>
    <t>Quick Ratio</t>
  </si>
  <si>
    <t>Operating Ratios</t>
  </si>
  <si>
    <t>Inventory Turnover Ratio</t>
  </si>
  <si>
    <t>Inventory Days</t>
  </si>
  <si>
    <t>Accounts Receivable Turnover Ratio</t>
  </si>
  <si>
    <t>Accounts Receivable Days / DSO</t>
  </si>
  <si>
    <t>Accounts Payables Turnover Ratio</t>
  </si>
  <si>
    <t>Accounts Payables Days / DPO</t>
  </si>
  <si>
    <t>Working Capital Cycle</t>
  </si>
  <si>
    <t>Fixed Assets Turnover</t>
  </si>
  <si>
    <t>Total Assets Turnover</t>
  </si>
  <si>
    <t>Debt Management</t>
  </si>
  <si>
    <t>Interest Coverage Ratio (ISCR)</t>
  </si>
  <si>
    <t>Debt Service Coverage Ratio (DSCR)</t>
  </si>
  <si>
    <t>Liabilities to Net Worth</t>
  </si>
  <si>
    <t>Total Debt / Net Cash Accruals (TDNCA = Total debt (short and long term, including off0balance 0sheet debt) / [PAT 0 Dividend + Depreciation])</t>
  </si>
  <si>
    <t>Debt to Equity Ratio</t>
  </si>
  <si>
    <t>Assets Coverage Ratio</t>
  </si>
  <si>
    <t>Financial Analysis</t>
  </si>
  <si>
    <t>Sl. No</t>
  </si>
  <si>
    <t>Particulars</t>
  </si>
  <si>
    <t>Growth</t>
  </si>
  <si>
    <t>Remarks</t>
  </si>
  <si>
    <t>Income Statement</t>
  </si>
  <si>
    <t>Net Sales</t>
  </si>
  <si>
    <t>Gross Profit</t>
  </si>
  <si>
    <t>EBITDA</t>
  </si>
  <si>
    <t>Depreciation</t>
  </si>
  <si>
    <t>PBT</t>
  </si>
  <si>
    <t>Tax</t>
  </si>
  <si>
    <t>PAT</t>
  </si>
  <si>
    <t>Equity and Liability</t>
  </si>
  <si>
    <t>Share Capital</t>
  </si>
  <si>
    <t>Networth</t>
  </si>
  <si>
    <t>Tangible Networth</t>
  </si>
  <si>
    <t>Long Term Liability</t>
  </si>
  <si>
    <t>Short Term Liability</t>
  </si>
  <si>
    <t>Assets</t>
  </si>
  <si>
    <t>Fixed Assets</t>
  </si>
  <si>
    <t>Investments</t>
  </si>
  <si>
    <t>Inventories</t>
  </si>
  <si>
    <t>Debtors</t>
  </si>
  <si>
    <t>Cash and Cash Equivalents</t>
  </si>
  <si>
    <t>Financial Ratios</t>
  </si>
  <si>
    <t>Sl.No.</t>
  </si>
  <si>
    <t>Particulars</t>
  </si>
  <si>
    <t>Remarks</t>
  </si>
  <si>
    <t>Own and associated means ratio</t>
  </si>
  <si>
    <t>Working capital</t>
  </si>
  <si>
    <t xml:space="preserve">Current ratio </t>
  </si>
  <si>
    <t>Quick ratio</t>
  </si>
  <si>
    <t>Debtor collection period</t>
  </si>
  <si>
    <t>Inventories turnover period</t>
  </si>
  <si>
    <t>Creditors payment period</t>
  </si>
  <si>
    <t>EBITDA Margin</t>
  </si>
  <si>
    <t>PAT Margin</t>
  </si>
  <si>
    <t>Debt to Equity</t>
  </si>
  <si>
    <t>Namaste Credit Financial Statement</t>
  </si>
  <si>
    <t>Name:</t>
  </si>
  <si>
    <t>Amount in</t>
  </si>
  <si>
    <t>Actuals</t>
  </si>
  <si>
    <t>Profit and Loss</t>
  </si>
  <si>
    <t>Particulars</t>
  </si>
  <si>
    <t>Source type:</t>
  </si>
  <si>
    <t>Audited</t>
  </si>
  <si>
    <t>Audited</t>
  </si>
  <si>
    <t>Audited</t>
  </si>
  <si>
    <t>Auditor</t>
  </si>
  <si>
    <t>MITTAL ANUJ KUMAR</t>
  </si>
  <si>
    <t>MITTAL ANUJ KUMAR</t>
  </si>
  <si>
    <t>MITTAL ANUJ KUMAR</t>
  </si>
  <si>
    <t>Auditor's Opinion</t>
  </si>
  <si>
    <t>No opinion / Unknown</t>
  </si>
  <si>
    <t>No opinion / Unknown</t>
  </si>
  <si>
    <t>No opinion / Unknown</t>
  </si>
  <si>
    <t>Revenue from Operations:</t>
  </si>
  <si>
    <t>Revenue</t>
  </si>
  <si>
    <t>Domestic Turnover:</t>
  </si>
  <si>
    <t>Sale of Goods Manufactured</t>
  </si>
  <si>
    <t>Sale of Goods Traded</t>
  </si>
  <si>
    <t>Sale or Supply of Services</t>
  </si>
  <si>
    <t>Export Turnover:</t>
  </si>
  <si>
    <t>Sale of Goods Manufactured</t>
  </si>
  <si>
    <t>Sale of Goods Traded</t>
  </si>
  <si>
    <t>Sale or Supply of Services</t>
  </si>
  <si>
    <t>Sale or Supply of Spares</t>
  </si>
  <si>
    <t>Other Operating Revenue</t>
  </si>
  <si>
    <t>Sales Return</t>
  </si>
  <si>
    <t>Total Revenue</t>
  </si>
  <si>
    <t>Expenses:</t>
  </si>
  <si>
    <t>COGS</t>
  </si>
  <si>
    <t>Raw Materials</t>
  </si>
  <si>
    <t>Opening Stock</t>
  </si>
  <si>
    <t>Purchases</t>
  </si>
  <si>
    <t>Closing Stock</t>
  </si>
  <si>
    <t>Work In Progress / Finished Goods:</t>
  </si>
  <si>
    <t>Opening Stock</t>
  </si>
  <si>
    <t>Closing Stock</t>
  </si>
  <si>
    <t>Spares:</t>
  </si>
  <si>
    <t>Opening Stock</t>
  </si>
  <si>
    <t>Purchases</t>
  </si>
  <si>
    <t>Closing Stock</t>
  </si>
  <si>
    <t>Manufacturing Expenses / Other Direct Expenses</t>
  </si>
  <si>
    <t>Wages and Salary to Direct Employees</t>
  </si>
  <si>
    <t>Power &amp; Fuel</t>
  </si>
  <si>
    <t>Rent</t>
  </si>
  <si>
    <t>Other</t>
  </si>
  <si>
    <t>Gross Profit</t>
  </si>
  <si>
    <t>Gross profit</t>
  </si>
  <si>
    <t>Adminsitrative Expenses</t>
  </si>
  <si>
    <t>Salary &amp; Employee Benefits</t>
  </si>
  <si>
    <t>Selling and Distribution Expense</t>
  </si>
  <si>
    <t>Others</t>
  </si>
  <si>
    <t>Payment to Management:</t>
  </si>
  <si>
    <t>Salary to Directors / Partners</t>
  </si>
  <si>
    <t>Interest to Directors / Partners</t>
  </si>
  <si>
    <t>Other Expenses:</t>
  </si>
  <si>
    <t>Bank Charges</t>
  </si>
  <si>
    <t>Others</t>
  </si>
  <si>
    <t>EBITDA</t>
  </si>
  <si>
    <t>Depreciation &amp; Amortisation</t>
  </si>
  <si>
    <t>Bad Debts</t>
  </si>
  <si>
    <t>Provision for Bad Debts</t>
  </si>
  <si>
    <t>Bad Debts W/O</t>
  </si>
  <si>
    <t>Other Non-Cash Expenses</t>
  </si>
  <si>
    <t>Non-Cash Expenses Incurred</t>
  </si>
  <si>
    <t>Non-Cash Expenses W/o</t>
  </si>
  <si>
    <t>Preliminary / Pre-operative expenses</t>
  </si>
  <si>
    <t>EBIT</t>
  </si>
  <si>
    <t>Interest Expense:</t>
  </si>
  <si>
    <t>Interest on Loans from Banks</t>
  </si>
  <si>
    <t>Interest on Loans from Relatives</t>
  </si>
  <si>
    <t>Interest on Loans from Others</t>
  </si>
  <si>
    <t>Interest on CC/OD</t>
  </si>
  <si>
    <t>Other Interest Charges</t>
  </si>
  <si>
    <t>Other Non-Operating Revenue:</t>
  </si>
  <si>
    <t>Interest Income</t>
  </si>
  <si>
    <t>Dividend Received</t>
  </si>
  <si>
    <t>Profit / Loss from Sale of Assets</t>
  </si>
  <si>
    <t>Profit / Loss from Sale of Investments</t>
  </si>
  <si>
    <t>Forex Income</t>
  </si>
  <si>
    <t>Other Income of Director / Partner / Propreitor</t>
  </si>
  <si>
    <t>Others</t>
  </si>
  <si>
    <t>Profit/(Loss) before exceptional items and Tax</t>
  </si>
  <si>
    <t>Exceptional Items Gains/(Losses)</t>
  </si>
  <si>
    <t>PBT</t>
  </si>
  <si>
    <t>Provision For Tax</t>
  </si>
  <si>
    <t>Income Tax</t>
  </si>
  <si>
    <t>Deferred Tax (Assets) / Liability</t>
  </si>
  <si>
    <t>Tax Rate</t>
  </si>
  <si>
    <t>ITR Filed On</t>
  </si>
  <si>
    <t>Difference in Months</t>
  </si>
  <si>
    <t>PAT</t>
  </si>
  <si>
    <t>Minority Interest (+/-)</t>
  </si>
  <si>
    <t>Net PAT</t>
  </si>
  <si>
    <t>Dividend/Withdrawal</t>
  </si>
  <si>
    <t>Dividend on Equity / Preference Shares</t>
  </si>
  <si>
    <t>Patner's Withdrawal / Interest</t>
  </si>
  <si>
    <t>Retained Profit</t>
  </si>
  <si>
    <t>Cash Profit</t>
  </si>
  <si>
    <t>Balance Sheet</t>
  </si>
  <si>
    <t>Particulars</t>
  </si>
  <si>
    <t>Balance Sheet</t>
  </si>
  <si>
    <t>Equity and Liabilities</t>
  </si>
  <si>
    <t>Equity:</t>
  </si>
  <si>
    <t>Share Capital</t>
  </si>
  <si>
    <t>Equity Capital Fund</t>
  </si>
  <si>
    <t>Partner's/Propreitor's Capital Account</t>
  </si>
  <si>
    <t>Preference Share &gt;12 Years</t>
  </si>
  <si>
    <t>Quasi Capital</t>
  </si>
  <si>
    <t>Minority Interest</t>
  </si>
  <si>
    <t>Reserves &amp; Surplus</t>
  </si>
  <si>
    <t>Reserves: P&amp;L + General</t>
  </si>
  <si>
    <t>Share Premium</t>
  </si>
  <si>
    <t>Revaluation Reserve</t>
  </si>
  <si>
    <t>Capital subsidy</t>
  </si>
  <si>
    <t>Intangibles / Goodwill</t>
  </si>
  <si>
    <t>Net Worth</t>
  </si>
  <si>
    <t>Adjusted Net Worth</t>
  </si>
  <si>
    <t>Adjusted Net worth</t>
  </si>
  <si>
    <t>Liabilities:</t>
  </si>
  <si>
    <t>Non-Current Liabilities:</t>
  </si>
  <si>
    <t>Long Term Borrowings:</t>
  </si>
  <si>
    <t>Bank Debts - Secured</t>
  </si>
  <si>
    <t>Bank Debts - Unsecured</t>
  </si>
  <si>
    <t>Loan from Group Companies</t>
  </si>
  <si>
    <t>Loans from Promoters</t>
  </si>
  <si>
    <t>Loans from Relatives</t>
  </si>
  <si>
    <t>Loans from Others</t>
  </si>
  <si>
    <t>Preference Share &lt;12 Years</t>
  </si>
  <si>
    <t>Deferred Tax Liabilities (net)</t>
  </si>
  <si>
    <t>Long Term Provisions</t>
  </si>
  <si>
    <t>Employee Benefits</t>
  </si>
  <si>
    <t>Others</t>
  </si>
  <si>
    <t>Trade Payables(Long Term)</t>
  </si>
  <si>
    <t>Related Parties</t>
  </si>
  <si>
    <t>Others</t>
  </si>
  <si>
    <t>Other Non Current Liabilities</t>
  </si>
  <si>
    <t>Total Non-Current Liabilities:</t>
  </si>
  <si>
    <t>Current Liabilities:</t>
  </si>
  <si>
    <t>Short Term Borrowings:</t>
  </si>
  <si>
    <t>CC / Overdraft</t>
  </si>
  <si>
    <t>Other Short Term Loans from Banks</t>
  </si>
  <si>
    <t>Current Maturities of Long Term Borrowings</t>
  </si>
  <si>
    <t>Loan from Group Companies</t>
  </si>
  <si>
    <t>Loans from Promoters</t>
  </si>
  <si>
    <t>Loans from Relatives</t>
  </si>
  <si>
    <t>Others</t>
  </si>
  <si>
    <t>Trade Payables</t>
  </si>
  <si>
    <t>For Purchases/Expenses</t>
  </si>
  <si>
    <t>For Capex</t>
  </si>
  <si>
    <t>Related Parties</t>
  </si>
  <si>
    <t>Others</t>
  </si>
  <si>
    <t>Short Term Provision</t>
  </si>
  <si>
    <t>Other Current Liabilities</t>
  </si>
  <si>
    <t>Statutory Liability</t>
  </si>
  <si>
    <t>Princ default, Interest accrued &amp; due, Stat liability o/d</t>
  </si>
  <si>
    <t>Others</t>
  </si>
  <si>
    <t>Total Current Liabilities:</t>
  </si>
  <si>
    <t>Total Equity and Liabilities</t>
  </si>
  <si>
    <t>Total Equity and Liabilities</t>
  </si>
  <si>
    <t>Assets</t>
  </si>
  <si>
    <t>Assets</t>
  </si>
  <si>
    <t>Non-Current Assets:</t>
  </si>
  <si>
    <t>Fixed Assets:</t>
  </si>
  <si>
    <t>Tangible Assets</t>
  </si>
  <si>
    <t>Land and Building</t>
  </si>
  <si>
    <t>Machinery and Equipment</t>
  </si>
  <si>
    <t>Other</t>
  </si>
  <si>
    <t>Less: Accumulated Depreciation</t>
  </si>
  <si>
    <t>In-Tangible Assets</t>
  </si>
  <si>
    <t>Less: Accumulated Depreciation</t>
  </si>
  <si>
    <t>Capital Work in Progress</t>
  </si>
  <si>
    <t>In-Tangible Assets under Development</t>
  </si>
  <si>
    <t>Non-Current Investments:</t>
  </si>
  <si>
    <t>Liquid / Marketable Investments</t>
  </si>
  <si>
    <t>Deposits with Banks</t>
  </si>
  <si>
    <t>Subsidiary and Associate Investments</t>
  </si>
  <si>
    <t>Unquoted / Dead Investments</t>
  </si>
  <si>
    <t>Long-Term Loans and Advances:</t>
  </si>
  <si>
    <t>Related Parties</t>
  </si>
  <si>
    <t>Share Holders/Promoters</t>
  </si>
  <si>
    <t>Group Company</t>
  </si>
  <si>
    <t>Relatives</t>
  </si>
  <si>
    <t>Others</t>
  </si>
  <si>
    <t>Deferred Tax Asset</t>
  </si>
  <si>
    <t>Other Non-Current Assets</t>
  </si>
  <si>
    <t>Preliminary / Preoperative Expenses</t>
  </si>
  <si>
    <t>Other Intangible Assets</t>
  </si>
  <si>
    <t>Others</t>
  </si>
  <si>
    <t>Total Non-Current Assets</t>
  </si>
  <si>
    <t>Total Non-current Assets</t>
  </si>
  <si>
    <t>Current Assets:</t>
  </si>
  <si>
    <t>Current Investment</t>
  </si>
  <si>
    <t>Liquid / Marketable Investments</t>
  </si>
  <si>
    <t>With Lien</t>
  </si>
  <si>
    <t>Without Lien</t>
  </si>
  <si>
    <t>Deposits with Banks</t>
  </si>
  <si>
    <t>Subsidiary and Associate Investments</t>
  </si>
  <si>
    <t>Unquoted / Dead Investments</t>
  </si>
  <si>
    <t>Inventory</t>
  </si>
  <si>
    <t>Raw Material</t>
  </si>
  <si>
    <t>Work in process + Spares</t>
  </si>
  <si>
    <t>Finished Goods</t>
  </si>
  <si>
    <t>Obsolete and unmoving inventory</t>
  </si>
  <si>
    <t>Trade Receivables</t>
  </si>
  <si>
    <t xml:space="preserve"> &lt; 6 months</t>
  </si>
  <si>
    <t>&gt; 6 months</t>
  </si>
  <si>
    <t>Related Parties</t>
  </si>
  <si>
    <t>Less: Provision for Bad Debts</t>
  </si>
  <si>
    <t>Cash &amp; Cash Equivalents</t>
  </si>
  <si>
    <t>Short-Term Loans and Advances:</t>
  </si>
  <si>
    <t>Related Parties</t>
  </si>
  <si>
    <t>Share Holders/Promoters</t>
  </si>
  <si>
    <t>Group Company</t>
  </si>
  <si>
    <t>Relatives</t>
  </si>
  <si>
    <t>Others</t>
  </si>
  <si>
    <t>Other Current Assets</t>
  </si>
  <si>
    <t>Total Current Assets</t>
  </si>
  <si>
    <t>Total Non-current Assets</t>
  </si>
  <si>
    <t>Total Assets</t>
  </si>
  <si>
    <t>Total Assets</t>
  </si>
  <si>
    <t>Balance Sheet Check</t>
  </si>
  <si>
    <t>Ratio Analysis</t>
  </si>
  <si>
    <t>Particulars</t>
  </si>
  <si>
    <t>Balance Sheet</t>
  </si>
  <si>
    <t>Growth</t>
  </si>
  <si>
    <t>Revenue Growth</t>
  </si>
  <si>
    <t>EBITDA Growth</t>
  </si>
  <si>
    <t>PAT Growth</t>
  </si>
  <si>
    <t>Profitability Management</t>
  </si>
  <si>
    <t>EBITDA Margin (excluding Other Revenue)</t>
  </si>
  <si>
    <t>PAT Margin (excluding Other Revenue)</t>
  </si>
  <si>
    <t>Cash Profit Ratio (excluding Other Revenue)</t>
  </si>
  <si>
    <t>Return on Capital Employed</t>
  </si>
  <si>
    <t>Return on Equity</t>
  </si>
  <si>
    <t>Return on Assets</t>
  </si>
  <si>
    <t>Liquidity Management</t>
  </si>
  <si>
    <t>Current Ratio (Including Limits)</t>
  </si>
  <si>
    <t xml:space="preserve">Net Working Capital </t>
  </si>
  <si>
    <t>Working Capital Turnover</t>
  </si>
  <si>
    <t>Quick Ratio</t>
  </si>
  <si>
    <t>Operating Ratios</t>
  </si>
  <si>
    <t>Inventory Turnover Ratio</t>
  </si>
  <si>
    <t>Inventory Days</t>
  </si>
  <si>
    <t>Accounts Receivable Turnover Ratio</t>
  </si>
  <si>
    <t>Accounts Receivable Days / DSO</t>
  </si>
  <si>
    <t>Accounts Payables Turnover Ratio</t>
  </si>
  <si>
    <t>Accounts Payables Days / DPO</t>
  </si>
  <si>
    <t>Working Capital Cycle</t>
  </si>
  <si>
    <t>Fixed Assets Turnover</t>
  </si>
  <si>
    <t>Total Assets Turnover</t>
  </si>
  <si>
    <t>Debt Management</t>
  </si>
  <si>
    <t>Interest Coverage Ratio (ISCR)</t>
  </si>
  <si>
    <t>Debt Service Coverage Ratio (DSCR)</t>
  </si>
  <si>
    <t>Liabilities to Net Worth</t>
  </si>
  <si>
    <t>Total Debt / Net Cash Accruals (TDNCA = Total debt (short and long term, including off-balance -sheet debt) / [PAT - Dividend + Depreciation])</t>
  </si>
  <si>
    <t>Debt to Equity Ratio</t>
  </si>
  <si>
    <t>Assets Coverage Ratio</t>
  </si>
  <si>
    <t>Namaste Credit Financial Statement</t>
  </si>
  <si>
    <t>Name:</t>
  </si>
  <si>
    <t>Amount in</t>
  </si>
  <si>
    <t>Actuals</t>
  </si>
  <si>
    <t>Profit and Loss</t>
  </si>
  <si>
    <t>Particulars</t>
  </si>
  <si>
    <t>Source type:</t>
  </si>
  <si>
    <t>Audited</t>
  </si>
  <si>
    <t>Audited</t>
  </si>
  <si>
    <t>Audited</t>
  </si>
  <si>
    <t>Audited</t>
  </si>
  <si>
    <t>Audited</t>
  </si>
  <si>
    <t>Auditor</t>
  </si>
  <si>
    <t>Auditor's Opinion</t>
  </si>
  <si>
    <t>Revenue from Operations:</t>
  </si>
  <si>
    <t>Revenue</t>
  </si>
  <si>
    <t>Domestic Turnover:</t>
  </si>
  <si>
    <t>Sale of Goods Manufactured</t>
  </si>
  <si>
    <t>Sale of Goods Traded</t>
  </si>
  <si>
    <t>Sale or Supply of Services</t>
  </si>
  <si>
    <t>Export Turnover:</t>
  </si>
  <si>
    <t>Sale of Goods Manufactured</t>
  </si>
  <si>
    <t>Sale of Goods Traded</t>
  </si>
  <si>
    <t>Sale or Supply of Services</t>
  </si>
  <si>
    <t>Sale or Supply of Spares</t>
  </si>
  <si>
    <t>Other Operating Revenue</t>
  </si>
  <si>
    <t>Sales Return</t>
  </si>
  <si>
    <t>Total Revenue</t>
  </si>
  <si>
    <t>Expenses:</t>
  </si>
  <si>
    <t>COGS</t>
  </si>
  <si>
    <t>Raw Materials</t>
  </si>
  <si>
    <t>Opening Stock</t>
  </si>
  <si>
    <t>Purchases</t>
  </si>
  <si>
    <t>Closing Stock</t>
  </si>
  <si>
    <t>Work In Progress / Finished Goods:</t>
  </si>
  <si>
    <t>Opening Stock</t>
  </si>
  <si>
    <t>Closing Stock</t>
  </si>
  <si>
    <t>Spares:</t>
  </si>
  <si>
    <t>Opening Stock</t>
  </si>
  <si>
    <t>Purchases</t>
  </si>
  <si>
    <t>Closing Stock</t>
  </si>
  <si>
    <t>Manufacturing Expenses / Other Direct Expenses</t>
  </si>
  <si>
    <t>Wages and Salary to Direct Employees</t>
  </si>
  <si>
    <t>Power &amp; Fuel</t>
  </si>
  <si>
    <t>Rent</t>
  </si>
  <si>
    <t>Other</t>
  </si>
  <si>
    <t>Gross Profit</t>
  </si>
  <si>
    <t>Gross profit</t>
  </si>
  <si>
    <t>Adminsitrative Expenses</t>
  </si>
  <si>
    <t>Salary &amp; Employee Benefits</t>
  </si>
  <si>
    <t>Selling and Distribution Expense</t>
  </si>
  <si>
    <t>Others</t>
  </si>
  <si>
    <t>Payment to Management:</t>
  </si>
  <si>
    <t>Salary to Directors / Partners</t>
  </si>
  <si>
    <t>Interest to Directors / Partners</t>
  </si>
  <si>
    <t>Other Expenses:</t>
  </si>
  <si>
    <t>Bank Charges</t>
  </si>
  <si>
    <t>Others</t>
  </si>
  <si>
    <t>EBITDA</t>
  </si>
  <si>
    <t>Depreciation &amp; Amortisation</t>
  </si>
  <si>
    <t>Bad Debts</t>
  </si>
  <si>
    <t>Provision for Bad Debts</t>
  </si>
  <si>
    <t>Bad Debts W/O</t>
  </si>
  <si>
    <t>Other Non-Cash Expenses</t>
  </si>
  <si>
    <t>Non-Cash Expenses Incurred</t>
  </si>
  <si>
    <t>Non-Cash Expenses W/o</t>
  </si>
  <si>
    <t>Preliminary / Pre-operative expenses</t>
  </si>
  <si>
    <t>EBIT</t>
  </si>
  <si>
    <t>Interest Expense:</t>
  </si>
  <si>
    <t>Interest on Loans from Banks</t>
  </si>
  <si>
    <t>Interest on Loans from Relatives</t>
  </si>
  <si>
    <t>Interest on Loans from Others</t>
  </si>
  <si>
    <t>Interest on CC/OD</t>
  </si>
  <si>
    <t>Other Interest Charges</t>
  </si>
  <si>
    <t>Other Non-Operating Revenue:</t>
  </si>
  <si>
    <t>Interest Income</t>
  </si>
  <si>
    <t>Dividend Received</t>
  </si>
  <si>
    <t>Profit / Loss from Sale of Assets</t>
  </si>
  <si>
    <t>Profit / Loss from Sale of Investments</t>
  </si>
  <si>
    <t>Forex Income</t>
  </si>
  <si>
    <t>Other Income of Director / Partner / Propreitor</t>
  </si>
  <si>
    <t>Others</t>
  </si>
  <si>
    <t>Profit/(Loss) before exceptional items and Tax</t>
  </si>
  <si>
    <t>Exceptional Items Gains/(Losses)</t>
  </si>
  <si>
    <t>PBT</t>
  </si>
  <si>
    <t>Provision For Tax</t>
  </si>
  <si>
    <t>Income Tax</t>
  </si>
  <si>
    <t>Deferred Tax (Assets) / Liability</t>
  </si>
  <si>
    <t>Tax Rate</t>
  </si>
  <si>
    <t>ITR Filed On</t>
  </si>
  <si>
    <t>Difference in Months</t>
  </si>
  <si>
    <t>PAT</t>
  </si>
  <si>
    <t>Minority Interest (+/-)</t>
  </si>
  <si>
    <t>Net PAT</t>
  </si>
  <si>
    <t>Dividend/Withdrawal</t>
  </si>
  <si>
    <t>Dividend on Equity / Preference Shares</t>
  </si>
  <si>
    <t>Patner's Withdrawal / Interest</t>
  </si>
  <si>
    <t>Retained Profit</t>
  </si>
  <si>
    <t>Cash Profit</t>
  </si>
  <si>
    <t>Balance Sheet</t>
  </si>
  <si>
    <t>Particulars</t>
  </si>
  <si>
    <t>Balance Sheet</t>
  </si>
  <si>
    <t>Equity and Liabilities</t>
  </si>
  <si>
    <t>Equity:</t>
  </si>
  <si>
    <t>Share Capital</t>
  </si>
  <si>
    <t>Equity Capital Fund</t>
  </si>
  <si>
    <t>Partner's/Propreitor's Capital Account</t>
  </si>
  <si>
    <t>Preference Share &gt;12 Years</t>
  </si>
  <si>
    <t>Quasi Capital</t>
  </si>
  <si>
    <t>Minority Interest</t>
  </si>
  <si>
    <t>Reserves &amp; Surplus</t>
  </si>
  <si>
    <t>Reserves: P&amp;L + General</t>
  </si>
  <si>
    <t>Share Premium</t>
  </si>
  <si>
    <t>Revaluation Reserve</t>
  </si>
  <si>
    <t>Capital subsidy</t>
  </si>
  <si>
    <t>Intangibles / Goodwill</t>
  </si>
  <si>
    <t>Net Worth</t>
  </si>
  <si>
    <t>Adjusted Net Worth</t>
  </si>
  <si>
    <t>Adjusted Net worth</t>
  </si>
  <si>
    <t>Liabilities:</t>
  </si>
  <si>
    <t>Non-Current Liabilities:</t>
  </si>
  <si>
    <t>Long Term Borrowings:</t>
  </si>
  <si>
    <t>Bank Debts - Secured</t>
  </si>
  <si>
    <t>Bank Debts - Unsecured</t>
  </si>
  <si>
    <t>Loan from Group Companies</t>
  </si>
  <si>
    <t>Loans from Promoters</t>
  </si>
  <si>
    <t>Loans from Relatives</t>
  </si>
  <si>
    <t>Loans from Others</t>
  </si>
  <si>
    <t>Preference Share &lt;12 Years</t>
  </si>
  <si>
    <t>Deferred Tax Liabilities (net)</t>
  </si>
  <si>
    <t>Long Term Provisions</t>
  </si>
  <si>
    <t>Employee Benefits</t>
  </si>
  <si>
    <t>Others</t>
  </si>
  <si>
    <t>Trade Payables(Long Term)</t>
  </si>
  <si>
    <t>Related Parties</t>
  </si>
  <si>
    <t>Others</t>
  </si>
  <si>
    <t>Other Non Current Liabilities</t>
  </si>
  <si>
    <t>Total Non-Current Liabilities:</t>
  </si>
  <si>
    <t>Current Liabilities:</t>
  </si>
  <si>
    <t>Short Term Borrowings:</t>
  </si>
  <si>
    <t>CC / Overdraft</t>
  </si>
  <si>
    <t>Other Short Term Loans from Banks</t>
  </si>
  <si>
    <t>Current Maturities of Long Term Borrowings</t>
  </si>
  <si>
    <t>Loan from Group Companies</t>
  </si>
  <si>
    <t>Loans from Promoters</t>
  </si>
  <si>
    <t>Loans from Relatives</t>
  </si>
  <si>
    <t>Others</t>
  </si>
  <si>
    <t>Trade Payables</t>
  </si>
  <si>
    <t>For Purchases/Expenses</t>
  </si>
  <si>
    <t>For Capex</t>
  </si>
  <si>
    <t>Related Parties</t>
  </si>
  <si>
    <t>Others</t>
  </si>
  <si>
    <t>Short Term Provision</t>
  </si>
  <si>
    <t>Other Current Liabilities</t>
  </si>
  <si>
    <t>Statutory Liability</t>
  </si>
  <si>
    <t>Princ default, Interest accrued &amp; due, Stat liability o/d</t>
  </si>
  <si>
    <t>Others</t>
  </si>
  <si>
    <t>Total Current Liabilities:</t>
  </si>
  <si>
    <t>Total Equity and Liabilities</t>
  </si>
  <si>
    <t>Total Equity and Liabilities</t>
  </si>
  <si>
    <t>Assets</t>
  </si>
  <si>
    <t>Assets</t>
  </si>
  <si>
    <t>Non-Current Assets:</t>
  </si>
  <si>
    <t>Fixed Assets:</t>
  </si>
  <si>
    <t>Tangible Assets</t>
  </si>
  <si>
    <t>Land and Building</t>
  </si>
  <si>
    <t>Machinery and Equipment</t>
  </si>
  <si>
    <t>Other</t>
  </si>
  <si>
    <t>Less: Accumulated Depreciation</t>
  </si>
  <si>
    <t>In-Tangible Assets</t>
  </si>
  <si>
    <t>Less: Accumulated Depreciation</t>
  </si>
  <si>
    <t>Capital Work in Progress</t>
  </si>
  <si>
    <t>In-Tangible Assets under Development</t>
  </si>
  <si>
    <t>Non-Current Investments:</t>
  </si>
  <si>
    <t>Liquid / Marketable Investments</t>
  </si>
  <si>
    <t>Deposits with Banks</t>
  </si>
  <si>
    <t>Subsidiary and Associate Investments</t>
  </si>
  <si>
    <t>Unquoted / Dead Investments</t>
  </si>
  <si>
    <t>Long-Term Loans and Advances:</t>
  </si>
  <si>
    <t>Related Parties</t>
  </si>
  <si>
    <t>Share Holders/Promoters</t>
  </si>
  <si>
    <t>Group Company</t>
  </si>
  <si>
    <t>Relatives</t>
  </si>
  <si>
    <t>Others</t>
  </si>
  <si>
    <t>Deferred Tax Asset</t>
  </si>
  <si>
    <t>Other Non-Current Assets</t>
  </si>
  <si>
    <t>Preliminary / Preoperative Expenses</t>
  </si>
  <si>
    <t>Other Intangible Assets</t>
  </si>
  <si>
    <t>Others</t>
  </si>
  <si>
    <t>Total Non-Current Assets</t>
  </si>
  <si>
    <t>Total Non-current Assets</t>
  </si>
  <si>
    <t>Current Assets:</t>
  </si>
  <si>
    <t>Current Investment</t>
  </si>
  <si>
    <t>Liquid / Marketable Investments</t>
  </si>
  <si>
    <t>With Lien</t>
  </si>
  <si>
    <t>Without Lien</t>
  </si>
  <si>
    <t>Deposits with Banks</t>
  </si>
  <si>
    <t>Subsidiary and Associate Investments</t>
  </si>
  <si>
    <t>Unquoted / Dead Investments</t>
  </si>
  <si>
    <t>Inventory</t>
  </si>
  <si>
    <t>Raw Material</t>
  </si>
  <si>
    <t>Work in process + Spares</t>
  </si>
  <si>
    <t>Finished Goods</t>
  </si>
  <si>
    <t>Obsolete and unmoving inventory</t>
  </si>
  <si>
    <t>Trade Receivables</t>
  </si>
  <si>
    <t xml:space="preserve"> &lt; 6 months</t>
  </si>
  <si>
    <t>&gt; 6 months</t>
  </si>
  <si>
    <t>Related Parties</t>
  </si>
  <si>
    <t>Less: Provision for Bad Debts</t>
  </si>
  <si>
    <t>Cash &amp; Cash Equivalents</t>
  </si>
  <si>
    <t>Short-Term Loans and Advances:</t>
  </si>
  <si>
    <t>Related Parties</t>
  </si>
  <si>
    <t>Share Holders/Promoters</t>
  </si>
  <si>
    <t>Group Company</t>
  </si>
  <si>
    <t>Relatives</t>
  </si>
  <si>
    <t>Others</t>
  </si>
  <si>
    <t>Other Current Assets</t>
  </si>
  <si>
    <t>Total Current Assets</t>
  </si>
  <si>
    <t>Total Non-current Assets</t>
  </si>
  <si>
    <t>Total Assets</t>
  </si>
  <si>
    <t>Total Assets</t>
  </si>
  <si>
    <t>Balance Sheet Check</t>
  </si>
  <si>
    <t>Ratio Analysis</t>
  </si>
  <si>
    <t>Particulars</t>
  </si>
  <si>
    <t>Balance Sheet</t>
  </si>
  <si>
    <t>Growth</t>
  </si>
  <si>
    <t>Revenue Growth</t>
  </si>
  <si>
    <t>EBITDA Growth</t>
  </si>
  <si>
    <t>PAT Growth</t>
  </si>
  <si>
    <t>Profitability Management</t>
  </si>
  <si>
    <t>EBITDA Margin (excluding Other Revenue)</t>
  </si>
  <si>
    <t>PAT Margin (excluding Other Revenue)</t>
  </si>
  <si>
    <t>Cash Profit Ratio (excluding Other Revenue)</t>
  </si>
  <si>
    <t>Return on Capital Employed</t>
  </si>
  <si>
    <t>Return on Equity</t>
  </si>
  <si>
    <t>Return on Assets</t>
  </si>
  <si>
    <t>Liquidity Management</t>
  </si>
  <si>
    <t>Current Ratio (Including Limits)</t>
  </si>
  <si>
    <t xml:space="preserve">Net Working Capital </t>
  </si>
  <si>
    <t>Working Capital Turnover</t>
  </si>
  <si>
    <t>Quick Ratio</t>
  </si>
  <si>
    <t>Operating Ratios</t>
  </si>
  <si>
    <t>Inventory Turnover Ratio</t>
  </si>
  <si>
    <t>Inventory Days</t>
  </si>
  <si>
    <t>Accounts Receivable Turnover Ratio</t>
  </si>
  <si>
    <t>Accounts Receivable Days / DSO</t>
  </si>
  <si>
    <t>Accounts Payables Turnover Ratio</t>
  </si>
  <si>
    <t>Accounts Payables Days / DPO</t>
  </si>
  <si>
    <t>Working Capital Cycle</t>
  </si>
  <si>
    <t>Fixed Assets Turnover</t>
  </si>
  <si>
    <t>Total Assets Turnover</t>
  </si>
  <si>
    <t>Debt Management</t>
  </si>
  <si>
    <t>Interest Coverage Ratio (ISCR)</t>
  </si>
  <si>
    <t>Debt Service Coverage Ratio (DSCR)</t>
  </si>
  <si>
    <t>Liabilities to Net Worth</t>
  </si>
  <si>
    <t>Total Debt / Net Cash Accruals (TDNCA = Total debt (short and long term, including off-balance -sheet debt) / [PAT - Dividend + Depreciation])</t>
  </si>
  <si>
    <t>Debt to Equity Ratio</t>
  </si>
  <si>
    <t>Assets Coverage Ratio</t>
  </si>
  <si>
    <t>Namaste Credit Financial Statement</t>
  </si>
  <si>
    <t>Name:</t>
  </si>
  <si>
    <t>Amount in</t>
  </si>
  <si>
    <t>Actuals</t>
  </si>
  <si>
    <t>Profit and Loss</t>
  </si>
  <si>
    <t>Particulars</t>
  </si>
  <si>
    <t>Source type:</t>
  </si>
  <si>
    <t>Audited</t>
  </si>
  <si>
    <t>Audited</t>
  </si>
  <si>
    <t>Audited</t>
  </si>
  <si>
    <t>Audited</t>
  </si>
  <si>
    <t>Audited</t>
  </si>
  <si>
    <t>Auditor</t>
  </si>
  <si>
    <t>Auditor's Opinion</t>
  </si>
  <si>
    <t>Revenue from Operations:</t>
  </si>
  <si>
    <t>Revenue</t>
  </si>
  <si>
    <t>Domestic Turnover:</t>
  </si>
  <si>
    <t>Sale of Goods Manufactured</t>
  </si>
  <si>
    <t>Sale of Goods Traded</t>
  </si>
  <si>
    <t>Sale or Supply of Services</t>
  </si>
  <si>
    <t>Export Turnover:</t>
  </si>
  <si>
    <t>Sale of Goods Manufactured</t>
  </si>
  <si>
    <t>Sale of Goods Traded</t>
  </si>
  <si>
    <t>Sale or Supply of Services</t>
  </si>
  <si>
    <t>Sale or Supply of Spares</t>
  </si>
  <si>
    <t>Other Operating Revenue</t>
  </si>
  <si>
    <t>Sales Return</t>
  </si>
  <si>
    <t>Total Revenue</t>
  </si>
  <si>
    <t>Expenses:</t>
  </si>
  <si>
    <t>COGS</t>
  </si>
  <si>
    <t>Raw Materials</t>
  </si>
  <si>
    <t>Opening Stock</t>
  </si>
  <si>
    <t>Purchases</t>
  </si>
  <si>
    <t>Closing Stock</t>
  </si>
  <si>
    <t>Work In Progress / Finished Goods:</t>
  </si>
  <si>
    <t>Opening Stock</t>
  </si>
  <si>
    <t>Closing Stock</t>
  </si>
  <si>
    <t>Spares:</t>
  </si>
  <si>
    <t>Opening Stock</t>
  </si>
  <si>
    <t>Purchases</t>
  </si>
  <si>
    <t>Closing Stock</t>
  </si>
  <si>
    <t>Manufacturing Expenses / Other Direct Expenses</t>
  </si>
  <si>
    <t>Wages and Salary to Direct Employees</t>
  </si>
  <si>
    <t>Power &amp; Fuel</t>
  </si>
  <si>
    <t>Rent</t>
  </si>
  <si>
    <t>Other</t>
  </si>
  <si>
    <t>Gross Profit</t>
  </si>
  <si>
    <t>Gross profit</t>
  </si>
  <si>
    <t>Adminsitrative Expenses</t>
  </si>
  <si>
    <t>Salary &amp; Employee Benefits</t>
  </si>
  <si>
    <t>Selling and Distribution Expense</t>
  </si>
  <si>
    <t>Others</t>
  </si>
  <si>
    <t>Payment to Management:</t>
  </si>
  <si>
    <t>Salary to Directors / Partners</t>
  </si>
  <si>
    <t>Interest to Directors / Partners</t>
  </si>
  <si>
    <t>Other Expenses:</t>
  </si>
  <si>
    <t>Bank Charges</t>
  </si>
  <si>
    <t>Others</t>
  </si>
  <si>
    <t>EBITDA</t>
  </si>
  <si>
    <t>Depreciation &amp; Amortisation</t>
  </si>
  <si>
    <t>Bad Debts</t>
  </si>
  <si>
    <t>Provision for Bad Debts</t>
  </si>
  <si>
    <t>Bad Debts W/O</t>
  </si>
  <si>
    <t>Other Non-Cash Expenses</t>
  </si>
  <si>
    <t>Non-Cash Expenses Incurred</t>
  </si>
  <si>
    <t>Non-Cash Expenses W/o</t>
  </si>
  <si>
    <t>Preliminary / Pre-operative expenses</t>
  </si>
  <si>
    <t>EBIT</t>
  </si>
  <si>
    <t>Interest Expense:</t>
  </si>
  <si>
    <t>Interest on Loans from Banks</t>
  </si>
  <si>
    <t>Interest on Loans from Relatives</t>
  </si>
  <si>
    <t>Interest on Loans from Others</t>
  </si>
  <si>
    <t>Interest on CC/OD</t>
  </si>
  <si>
    <t>Other Interest Charges</t>
  </si>
  <si>
    <t>Other Non-Operating Revenue:</t>
  </si>
  <si>
    <t>Interest Income</t>
  </si>
  <si>
    <t>Dividend Received</t>
  </si>
  <si>
    <t>Profit / Loss from Sale of Assets</t>
  </si>
  <si>
    <t>Profit / Loss from Sale of Investments</t>
  </si>
  <si>
    <t>Forex Income</t>
  </si>
  <si>
    <t>Other Income of Director / Partner / Propreitor</t>
  </si>
  <si>
    <t>Others</t>
  </si>
  <si>
    <t>Profit/(Loss) before exceptional items and Tax</t>
  </si>
  <si>
    <t>Exceptional Items Gains/(Losses)</t>
  </si>
  <si>
    <t>PBT</t>
  </si>
  <si>
    <t>Provision For Tax</t>
  </si>
  <si>
    <t>Income Tax</t>
  </si>
  <si>
    <t>Deferred Tax (Assets) / Liability</t>
  </si>
  <si>
    <t>Tax Rate</t>
  </si>
  <si>
    <t>ITR Filed On</t>
  </si>
  <si>
    <t>Difference in Months</t>
  </si>
  <si>
    <t>PAT</t>
  </si>
  <si>
    <t>Minority Interest (+/-)</t>
  </si>
  <si>
    <t>Net PAT</t>
  </si>
  <si>
    <t>Dividend/Withdrawal</t>
  </si>
  <si>
    <t>Dividend on Equity / Preference Shares</t>
  </si>
  <si>
    <t>Patner's Withdrawal / Interest</t>
  </si>
  <si>
    <t>Retained Profit</t>
  </si>
  <si>
    <t>Cash Profit</t>
  </si>
  <si>
    <t>Balance Sheet</t>
  </si>
  <si>
    <t>Particulars</t>
  </si>
  <si>
    <t>Balance Sheet</t>
  </si>
  <si>
    <t>Equity and Liabilities</t>
  </si>
  <si>
    <t>Equity:</t>
  </si>
  <si>
    <t>Share Capital</t>
  </si>
  <si>
    <t>Equity Capital Fund</t>
  </si>
  <si>
    <t>Partner's/Propreitor's Capital Account</t>
  </si>
  <si>
    <t>Preference Share &gt;12 Years</t>
  </si>
  <si>
    <t>Quasi Capital</t>
  </si>
  <si>
    <t>Minority Interest</t>
  </si>
  <si>
    <t>Reserves &amp; Surplus</t>
  </si>
  <si>
    <t>Reserves: P&amp;L + General</t>
  </si>
  <si>
    <t>Share Premium</t>
  </si>
  <si>
    <t>Revaluation Reserve</t>
  </si>
  <si>
    <t>Capital subsidy</t>
  </si>
  <si>
    <t>Intangibles / Goodwill</t>
  </si>
  <si>
    <t>Net Worth</t>
  </si>
  <si>
    <t>Adjusted Net Worth</t>
  </si>
  <si>
    <t>Adjusted Net worth</t>
  </si>
  <si>
    <t>Liabilities:</t>
  </si>
  <si>
    <t>Non-Current Liabilities:</t>
  </si>
  <si>
    <t>Long Term Borrowings:</t>
  </si>
  <si>
    <t>Bank Debts - Secured</t>
  </si>
  <si>
    <t>Bank Debts - Unsecured</t>
  </si>
  <si>
    <t>Loan from Group Companies</t>
  </si>
  <si>
    <t>Loans from Promoters</t>
  </si>
  <si>
    <t>Loans from Relatives</t>
  </si>
  <si>
    <t>Loans from Others</t>
  </si>
  <si>
    <t>Preference Share &lt;12 Years</t>
  </si>
  <si>
    <t>Deferred Tax Liabilities (net)</t>
  </si>
  <si>
    <t>Long Term Provisions</t>
  </si>
  <si>
    <t>Employee Benefits</t>
  </si>
  <si>
    <t>Others</t>
  </si>
  <si>
    <t>Trade Payables(Long Term)</t>
  </si>
  <si>
    <t>Related Parties</t>
  </si>
  <si>
    <t>Others</t>
  </si>
  <si>
    <t>Other Non Current Liabilities</t>
  </si>
  <si>
    <t>Total Non-Current Liabilities:</t>
  </si>
  <si>
    <t>Current Liabilities:</t>
  </si>
  <si>
    <t>Short Term Borrowings:</t>
  </si>
  <si>
    <t>CC / Overdraft</t>
  </si>
  <si>
    <t>Other Short Term Loans from Banks</t>
  </si>
  <si>
    <t>Current Maturities of Long Term Borrowings</t>
  </si>
  <si>
    <t>Loan from Group Companies</t>
  </si>
  <si>
    <t>Loans from Promoters</t>
  </si>
  <si>
    <t>Loans from Relatives</t>
  </si>
  <si>
    <t>Others</t>
  </si>
  <si>
    <t>Trade Payables</t>
  </si>
  <si>
    <t>For Purchases/Expenses</t>
  </si>
  <si>
    <t>For Capex</t>
  </si>
  <si>
    <t>Related Parties</t>
  </si>
  <si>
    <t>Others</t>
  </si>
  <si>
    <t>Short Term Provision</t>
  </si>
  <si>
    <t>Other Current Liabilities</t>
  </si>
  <si>
    <t>Statutory Liability</t>
  </si>
  <si>
    <t>Princ default, Interest accrued &amp; due, Stat liability o/d</t>
  </si>
  <si>
    <t>Others</t>
  </si>
  <si>
    <t>Total Current Liabilities:</t>
  </si>
  <si>
    <t>Total Equity and Liabilities</t>
  </si>
  <si>
    <t>Total Equity and Liabilities</t>
  </si>
  <si>
    <t>Assets</t>
  </si>
  <si>
    <t>Assets</t>
  </si>
  <si>
    <t>Non-Current Assets:</t>
  </si>
  <si>
    <t>Fixed Assets:</t>
  </si>
  <si>
    <t>Tangible Assets</t>
  </si>
  <si>
    <t>Land and Building</t>
  </si>
  <si>
    <t>Machinery and Equipment</t>
  </si>
  <si>
    <t>Other</t>
  </si>
  <si>
    <t>Less: Accumulated Depreciation</t>
  </si>
  <si>
    <t>In-Tangible Assets</t>
  </si>
  <si>
    <t>Less: Accumulated Depreciation</t>
  </si>
  <si>
    <t>Capital Work in Progress</t>
  </si>
  <si>
    <t>In-Tangible Assets under Development</t>
  </si>
  <si>
    <t>Non-Current Investments:</t>
  </si>
  <si>
    <t>Liquid / Marketable Investments</t>
  </si>
  <si>
    <t>Deposits with Banks</t>
  </si>
  <si>
    <t>Subsidiary and Associate Investments</t>
  </si>
  <si>
    <t>Unquoted / Dead Investments</t>
  </si>
  <si>
    <t>Long-Term Loans and Advances:</t>
  </si>
  <si>
    <t>Related Parties</t>
  </si>
  <si>
    <t>Share Holders/Promoters</t>
  </si>
  <si>
    <t>Group Company</t>
  </si>
  <si>
    <t>Relatives</t>
  </si>
  <si>
    <t>Others</t>
  </si>
  <si>
    <t>Deferred Tax Asset</t>
  </si>
  <si>
    <t>Other Non-Current Assets</t>
  </si>
  <si>
    <t>Preliminary / Preoperative Expenses</t>
  </si>
  <si>
    <t>Other Intangible Assets</t>
  </si>
  <si>
    <t>Others</t>
  </si>
  <si>
    <t>Total Non-Current Assets</t>
  </si>
  <si>
    <t>Total Non-current Assets</t>
  </si>
  <si>
    <t>Current Assets:</t>
  </si>
  <si>
    <t>Current Investment</t>
  </si>
  <si>
    <t>Liquid / Marketable Investments</t>
  </si>
  <si>
    <t>With Lien</t>
  </si>
  <si>
    <t>Without Lien</t>
  </si>
  <si>
    <t>Deposits with Banks</t>
  </si>
  <si>
    <t>Subsidiary and Associate Investments</t>
  </si>
  <si>
    <t>Unquoted / Dead Investments</t>
  </si>
  <si>
    <t>Inventory</t>
  </si>
  <si>
    <t>Raw Material</t>
  </si>
  <si>
    <t>Work in process + Spares</t>
  </si>
  <si>
    <t>Finished Goods</t>
  </si>
  <si>
    <t>Obsolete and unmoving inventory</t>
  </si>
  <si>
    <t>Trade Receivables</t>
  </si>
  <si>
    <t xml:space="preserve"> &lt; 6 months</t>
  </si>
  <si>
    <t>&gt; 6 months</t>
  </si>
  <si>
    <t>Related Parties</t>
  </si>
  <si>
    <t>Less: Provision for Bad Debts</t>
  </si>
  <si>
    <t>Cash &amp; Cash Equivalents</t>
  </si>
  <si>
    <t>Short-Term Loans and Advances:</t>
  </si>
  <si>
    <t>Related Parties</t>
  </si>
  <si>
    <t>Share Holders/Promoters</t>
  </si>
  <si>
    <t>Group Company</t>
  </si>
  <si>
    <t>Relatives</t>
  </si>
  <si>
    <t>Others</t>
  </si>
  <si>
    <t>Other Current Assets</t>
  </si>
  <si>
    <t>Total Current Assets</t>
  </si>
  <si>
    <t>Total Non-current Assets</t>
  </si>
  <si>
    <t>Total Assets</t>
  </si>
  <si>
    <t>Total Assets</t>
  </si>
  <si>
    <t>Balance Sheet Check</t>
  </si>
  <si>
    <t>Ratio Analysis</t>
  </si>
  <si>
    <t>Particulars</t>
  </si>
  <si>
    <t>Balance Sheet</t>
  </si>
  <si>
    <t>Growth</t>
  </si>
  <si>
    <t>Revenue Growth</t>
  </si>
  <si>
    <t>EBITDA Growth</t>
  </si>
  <si>
    <t>PAT Growth</t>
  </si>
  <si>
    <t>Profitability Management</t>
  </si>
  <si>
    <t>EBITDA Margin (excluding Other Revenue)</t>
  </si>
  <si>
    <t>PAT Margin (excluding Other Revenue)</t>
  </si>
  <si>
    <t>Cash Profit Ratio (excluding Other Revenue)</t>
  </si>
  <si>
    <t>Return on Capital Employed</t>
  </si>
  <si>
    <t>Return on Equity</t>
  </si>
  <si>
    <t>Return on Assets</t>
  </si>
  <si>
    <t>Liquidity Management</t>
  </si>
  <si>
    <t>Current Ratio (Including Limits)</t>
  </si>
  <si>
    <t xml:space="preserve">Net Working Capital </t>
  </si>
  <si>
    <t>Working Capital Turnover</t>
  </si>
  <si>
    <t>Quick Ratio</t>
  </si>
  <si>
    <t>Operating Ratios</t>
  </si>
  <si>
    <t>Inventory Turnover Ratio</t>
  </si>
  <si>
    <t>Inventory Days</t>
  </si>
  <si>
    <t>Accounts Receivable Turnover Ratio</t>
  </si>
  <si>
    <t>Accounts Receivable Days / DSO</t>
  </si>
  <si>
    <t>Accounts Payables Turnover Ratio</t>
  </si>
  <si>
    <t>Accounts Payables Days / DPO</t>
  </si>
  <si>
    <t>Working Capital Cycle</t>
  </si>
  <si>
    <t>Fixed Assets Turnover</t>
  </si>
  <si>
    <t>Total Assets Turnover</t>
  </si>
  <si>
    <t>Debt Management</t>
  </si>
  <si>
    <t>Interest Coverage Ratio (ISCR)</t>
  </si>
  <si>
    <t>Debt Service Coverage Ratio (DSCR)</t>
  </si>
  <si>
    <t>Liabilities to Net Worth</t>
  </si>
  <si>
    <t>Total Debt / Net Cash Accruals (TDNCA = Total debt (short and long term, including off-balance -sheet debt) / [PAT - Dividend + Depreciation])</t>
  </si>
  <si>
    <t>Debt to Equity Ratio</t>
  </si>
  <si>
    <t>Assets Coverage Ratio</t>
  </si>
  <si>
    <t>Namaste Credit Financial Statement</t>
  </si>
  <si>
    <t>Name:</t>
  </si>
  <si>
    <t>Amount in</t>
  </si>
  <si>
    <t>Actuals</t>
  </si>
  <si>
    <t>Profit and Loss</t>
  </si>
  <si>
    <t>Particulars</t>
  </si>
  <si>
    <t>Source type:</t>
  </si>
  <si>
    <t>Auditor</t>
  </si>
  <si>
    <t>Auditor's Opinion</t>
  </si>
  <si>
    <t>Revenue from Operations:</t>
  </si>
  <si>
    <t>Revenue</t>
  </si>
  <si>
    <t>Domestic Turnover:</t>
  </si>
  <si>
    <t>Sale of Goods Manufactured</t>
  </si>
  <si>
    <t>Sale of Goods Traded</t>
  </si>
  <si>
    <t>Sale or Supply of Services</t>
  </si>
  <si>
    <t>Export Turnover:</t>
  </si>
  <si>
    <t>Sale of Goods Manufactured</t>
  </si>
  <si>
    <t>Sale of Goods Traded</t>
  </si>
  <si>
    <t>Sale or Supply of Services</t>
  </si>
  <si>
    <t>Sale or Supply of Spares</t>
  </si>
  <si>
    <t>Other Operating Revenue</t>
  </si>
  <si>
    <t>Sales Return</t>
  </si>
  <si>
    <t>Total Revenue</t>
  </si>
  <si>
    <t>Expenses:</t>
  </si>
  <si>
    <t>COGS</t>
  </si>
  <si>
    <t>Raw Materials</t>
  </si>
  <si>
    <t>Opening Stock</t>
  </si>
  <si>
    <t>Purchases</t>
  </si>
  <si>
    <t>Closing Stock</t>
  </si>
  <si>
    <t>Work In Progress / Finished Goods:</t>
  </si>
  <si>
    <t>Opening Stock</t>
  </si>
  <si>
    <t>Closing Stock</t>
  </si>
  <si>
    <t>Spares:</t>
  </si>
  <si>
    <t>Opening Stock</t>
  </si>
  <si>
    <t>Purchases</t>
  </si>
  <si>
    <t>Closing Stock</t>
  </si>
  <si>
    <t>Manufacturing Expenses / Other Direct Expenses</t>
  </si>
  <si>
    <t>Wages and Salary to Direct Employees</t>
  </si>
  <si>
    <t>Power &amp; Fuel</t>
  </si>
  <si>
    <t>Rent</t>
  </si>
  <si>
    <t>Other</t>
  </si>
  <si>
    <t>Gross Profit</t>
  </si>
  <si>
    <t>Gross profit</t>
  </si>
  <si>
    <t>Adminsitrative Expenses</t>
  </si>
  <si>
    <t>Salary &amp; Employee Benefits</t>
  </si>
  <si>
    <t>Selling and Distribution Expense</t>
  </si>
  <si>
    <t>Others</t>
  </si>
  <si>
    <t>Payment to Management:</t>
  </si>
  <si>
    <t>Salary to Directors / Partners</t>
  </si>
  <si>
    <t>Interest to Directors / Partners</t>
  </si>
  <si>
    <t>Other Expenses:</t>
  </si>
  <si>
    <t>Bank Charges</t>
  </si>
  <si>
    <t>Others</t>
  </si>
  <si>
    <t>EBITDA</t>
  </si>
  <si>
    <t>Depreciation &amp; Amortisation</t>
  </si>
  <si>
    <t>Bad Debts</t>
  </si>
  <si>
    <t>Provision for Bad Debts</t>
  </si>
  <si>
    <t>Bad Debts W/O</t>
  </si>
  <si>
    <t>Other Non-Cash Expenses</t>
  </si>
  <si>
    <t>Non-Cash Expenses Incurred</t>
  </si>
  <si>
    <t>Non-Cash Expenses W/o</t>
  </si>
  <si>
    <t>Preliminary / Pre-operative expenses</t>
  </si>
  <si>
    <t>EBIT</t>
  </si>
  <si>
    <t>Interest Expense:</t>
  </si>
  <si>
    <t>Interest on Loans from Banks</t>
  </si>
  <si>
    <t>Interest on Loans from Relatives</t>
  </si>
  <si>
    <t>Interest on Loans from Others</t>
  </si>
  <si>
    <t>Interest on CC/OD</t>
  </si>
  <si>
    <t>Other Interest Charges</t>
  </si>
  <si>
    <t>Other Non-Operating Revenue:</t>
  </si>
  <si>
    <t>Interest Income</t>
  </si>
  <si>
    <t>Dividend Received</t>
  </si>
  <si>
    <t>Profit / Loss from Sale of Assets</t>
  </si>
  <si>
    <t>Profit / Loss from Sale of Investments</t>
  </si>
  <si>
    <t>Forex Income</t>
  </si>
  <si>
    <t>Other Income of Director / Partner / Propreitor</t>
  </si>
  <si>
    <t>Others</t>
  </si>
  <si>
    <t>Profit/(Loss) before exceptional items and Tax</t>
  </si>
  <si>
    <t>Exceptional Items Gains/(Losses)</t>
  </si>
  <si>
    <t>PBT</t>
  </si>
  <si>
    <t>Provision For Tax</t>
  </si>
  <si>
    <t>Income Tax</t>
  </si>
  <si>
    <t>Deferred Tax (Assets) / Liability</t>
  </si>
  <si>
    <t>Tax Rate</t>
  </si>
  <si>
    <t>ITR Filed On</t>
  </si>
  <si>
    <t>Difference in Months</t>
  </si>
  <si>
    <t>PAT</t>
  </si>
  <si>
    <t>Minority Interest (+/-)</t>
  </si>
  <si>
    <t>Net PAT</t>
  </si>
  <si>
    <t>Dividend/Withdrawal</t>
  </si>
  <si>
    <t>Dividend on Equity / Preference Shares</t>
  </si>
  <si>
    <t>Patner's Withdrawal / Interest</t>
  </si>
  <si>
    <t>Retained Profit</t>
  </si>
  <si>
    <t>Cash Profit</t>
  </si>
  <si>
    <t>Balance Sheet</t>
  </si>
  <si>
    <t>Particulars</t>
  </si>
  <si>
    <t>Balance Sheet</t>
  </si>
  <si>
    <t>Equity and Liabilities</t>
  </si>
  <si>
    <t>Equity:</t>
  </si>
  <si>
    <t>Share Capital</t>
  </si>
  <si>
    <t>Equity Capital Fund</t>
  </si>
  <si>
    <t>Partner's/Propreitor's Capital Account</t>
  </si>
  <si>
    <t>Preference Share &gt;12 Years</t>
  </si>
  <si>
    <t>Quasi Capital</t>
  </si>
  <si>
    <t>Minority Interest</t>
  </si>
  <si>
    <t>Reserves &amp; Surplus</t>
  </si>
  <si>
    <t>Reserves: P&amp;L + General</t>
  </si>
  <si>
    <t>Share Premium</t>
  </si>
  <si>
    <t>Revaluation Reserve</t>
  </si>
  <si>
    <t>Capital subsidy</t>
  </si>
  <si>
    <t>Intangibles / Goodwill</t>
  </si>
  <si>
    <t>Net Worth</t>
  </si>
  <si>
    <t>Adjusted Net Worth</t>
  </si>
  <si>
    <t>Adjusted Net worth</t>
  </si>
  <si>
    <t>Liabilities:</t>
  </si>
  <si>
    <t>Non-Current Liabilities:</t>
  </si>
  <si>
    <t>Long Term Borrowings:</t>
  </si>
  <si>
    <t>Bank Debts - Secured</t>
  </si>
  <si>
    <t>Bank Debts - Unsecured</t>
  </si>
  <si>
    <t>Loan from Group Companies</t>
  </si>
  <si>
    <t>Loans from Promoters</t>
  </si>
  <si>
    <t>Loans from Relatives</t>
  </si>
  <si>
    <t>Loans from Others</t>
  </si>
  <si>
    <t>Preference Share &lt;12 Years</t>
  </si>
  <si>
    <t>Deferred Tax Liabilities (net)</t>
  </si>
  <si>
    <t>Long Term Provisions</t>
  </si>
  <si>
    <t>Employee Benefits</t>
  </si>
  <si>
    <t>Others</t>
  </si>
  <si>
    <t>Trade Payables(Long Term)</t>
  </si>
  <si>
    <t>Related Parties</t>
  </si>
  <si>
    <t>Others</t>
  </si>
  <si>
    <t>Other Non Current Liabilities</t>
  </si>
  <si>
    <t>Total Non-Current Liabilities:</t>
  </si>
  <si>
    <t>Current Liabilities:</t>
  </si>
  <si>
    <t>Short Term Borrowings:</t>
  </si>
  <si>
    <t>CC / Overdraft</t>
  </si>
  <si>
    <t>Other Short Term Loans from Banks</t>
  </si>
  <si>
    <t>Current Maturities of Long Term Borrowings</t>
  </si>
  <si>
    <t>Loan from Group Companies</t>
  </si>
  <si>
    <t>Loans from Promoters</t>
  </si>
  <si>
    <t>Loans from Relatives</t>
  </si>
  <si>
    <t>Others</t>
  </si>
  <si>
    <t>Trade Payables</t>
  </si>
  <si>
    <t>For Purchases/Expenses</t>
  </si>
  <si>
    <t>For Capex</t>
  </si>
  <si>
    <t>Related Parties</t>
  </si>
  <si>
    <t>Others</t>
  </si>
  <si>
    <t>Short Term Provision</t>
  </si>
  <si>
    <t>Other Current Liabilities</t>
  </si>
  <si>
    <t>Statutory Liability</t>
  </si>
  <si>
    <t>Princ default, Interest accrued &amp; due, Stat liability o/d</t>
  </si>
  <si>
    <t>Others</t>
  </si>
  <si>
    <t>Total Current Liabilities:</t>
  </si>
  <si>
    <t>Total Equity and Liabilities</t>
  </si>
  <si>
    <t>Total Equity and Liabilities</t>
  </si>
  <si>
    <t>Assets</t>
  </si>
  <si>
    <t>Assets</t>
  </si>
  <si>
    <t>Non-Current Assets:</t>
  </si>
  <si>
    <t>Fixed Assets:</t>
  </si>
  <si>
    <t>Tangible Assets</t>
  </si>
  <si>
    <t>Land and Building</t>
  </si>
  <si>
    <t>Machinery and Equipment</t>
  </si>
  <si>
    <t>Other</t>
  </si>
  <si>
    <t>Less: Accumulated Depreciation</t>
  </si>
  <si>
    <t>In-Tangible Assets</t>
  </si>
  <si>
    <t>Less: Accumulated Depreciation</t>
  </si>
  <si>
    <t>Capital Work in Progress</t>
  </si>
  <si>
    <t>In-Tangible Assets under Development</t>
  </si>
  <si>
    <t>Non-Current Investments:</t>
  </si>
  <si>
    <t>Liquid / Marketable Investments</t>
  </si>
  <si>
    <t>Deposits with Banks</t>
  </si>
  <si>
    <t>Subsidiary and Associate Investments</t>
  </si>
  <si>
    <t>Unquoted / Dead Investments</t>
  </si>
  <si>
    <t>Long-Term Loans and Advances:</t>
  </si>
  <si>
    <t>Related Parties</t>
  </si>
  <si>
    <t>Share Holders/Promoters</t>
  </si>
  <si>
    <t>Group Company</t>
  </si>
  <si>
    <t>Relatives</t>
  </si>
  <si>
    <t>Others</t>
  </si>
  <si>
    <t>Deferred Tax Asset</t>
  </si>
  <si>
    <t>Other Non-Current Assets</t>
  </si>
  <si>
    <t>Preliminary / Preoperative Expenses</t>
  </si>
  <si>
    <t>Other Intangible Assets</t>
  </si>
  <si>
    <t>Others</t>
  </si>
  <si>
    <t>Total Non-Current Assets</t>
  </si>
  <si>
    <t>Total Non-current Assets</t>
  </si>
  <si>
    <t>Current Assets:</t>
  </si>
  <si>
    <t>Current Investment</t>
  </si>
  <si>
    <t>Liquid / Marketable Investments</t>
  </si>
  <si>
    <t>With Lien</t>
  </si>
  <si>
    <t>Without Lien</t>
  </si>
  <si>
    <t>Deposits with Banks</t>
  </si>
  <si>
    <t>Subsidiary and Associate Investments</t>
  </si>
  <si>
    <t>Unquoted / Dead Investments</t>
  </si>
  <si>
    <t>Inventory</t>
  </si>
  <si>
    <t>Raw Material</t>
  </si>
  <si>
    <t>Work in process + Spares</t>
  </si>
  <si>
    <t>Finished Goods</t>
  </si>
  <si>
    <t>Obsolete and unmoving inventory</t>
  </si>
  <si>
    <t>Trade Receivables</t>
  </si>
  <si>
    <t xml:space="preserve"> &lt; 6 months</t>
  </si>
  <si>
    <t>&gt; 6 months</t>
  </si>
  <si>
    <t>Related Parties</t>
  </si>
  <si>
    <t>Less: Provision for Bad Debts</t>
  </si>
  <si>
    <t>Cash &amp; Cash Equivalents</t>
  </si>
  <si>
    <t>Short-Term Loans and Advances:</t>
  </si>
  <si>
    <t>Related Parties</t>
  </si>
  <si>
    <t>Share Holders/Promoters</t>
  </si>
  <si>
    <t>Group Company</t>
  </si>
  <si>
    <t>Relatives</t>
  </si>
  <si>
    <t>Others</t>
  </si>
  <si>
    <t>Other Current Assets</t>
  </si>
  <si>
    <t>Total Current Assets</t>
  </si>
  <si>
    <t>Total Non-current Assets</t>
  </si>
  <si>
    <t>Total Assets</t>
  </si>
  <si>
    <t>Total Assets</t>
  </si>
  <si>
    <t>Balance Sheet Check</t>
  </si>
  <si>
    <t>Ratio Analysis</t>
  </si>
  <si>
    <t>Particulars</t>
  </si>
  <si>
    <t>Balance Sheet</t>
  </si>
  <si>
    <t>Growth</t>
  </si>
  <si>
    <t>Revenue Growth</t>
  </si>
  <si>
    <t>EBITDA Growth</t>
  </si>
  <si>
    <t>PAT Growth</t>
  </si>
  <si>
    <t>Profitability Management</t>
  </si>
  <si>
    <t>EBITDA Margin (excluding Other Revenue)</t>
  </si>
  <si>
    <t>PAT Margin (excluding Other Revenue)</t>
  </si>
  <si>
    <t>Cash Profit Ratio (excluding Other Revenue)</t>
  </si>
  <si>
    <t>Return on Capital Employed</t>
  </si>
  <si>
    <t>Return on Equity</t>
  </si>
  <si>
    <t>Return on Assets</t>
  </si>
  <si>
    <t>Liquidity Management</t>
  </si>
  <si>
    <t>Current Ratio (Including Limits)</t>
  </si>
  <si>
    <t xml:space="preserve">Net Working Capital </t>
  </si>
  <si>
    <t>Working Capital Turnover</t>
  </si>
  <si>
    <t>Quick Ratio</t>
  </si>
  <si>
    <t>Operating Ratios</t>
  </si>
  <si>
    <t>Inventory Turnover Ratio</t>
  </si>
  <si>
    <t>Inventory Days</t>
  </si>
  <si>
    <t>Accounts Receivable Turnover Ratio</t>
  </si>
  <si>
    <t>Accounts Receivable Days / DSO</t>
  </si>
  <si>
    <t>Accounts Payables Turnover Ratio</t>
  </si>
  <si>
    <t>Accounts Payables Days / DPO</t>
  </si>
  <si>
    <t>Working Capital Cycle</t>
  </si>
  <si>
    <t>Fixed Assets Turnover</t>
  </si>
  <si>
    <t>Total Assets Turnover</t>
  </si>
  <si>
    <t>Debt Management</t>
  </si>
  <si>
    <t>Interest Coverage Ratio (ISCR)</t>
  </si>
  <si>
    <t>Debt Service Coverage Ratio (DSCR)</t>
  </si>
  <si>
    <t>Liabilities to Net Worth</t>
  </si>
  <si>
    <t>Total Debt / Net Cash Accruals (TDNCA = Total debt (short and long term, including off-balance -sheet debt) / [PAT - Dividend + Depreciation])</t>
  </si>
  <si>
    <t>Debt to Equity Ratio</t>
  </si>
  <si>
    <t>Assets Coverage Ratio</t>
  </si>
  <si>
    <t>Cash Flow</t>
  </si>
  <si>
    <t>Particulars</t>
  </si>
  <si>
    <t>Cash Flow from Operating Activities:</t>
  </si>
  <si>
    <t>EBIT</t>
  </si>
  <si>
    <t>Adjustments for:</t>
  </si>
  <si>
    <t>Depreciation &amp; Amortisation</t>
  </si>
  <si>
    <t>Non-Cash Expenses</t>
  </si>
  <si>
    <t>Profit / (Loss) from Sale of Assets</t>
  </si>
  <si>
    <t>Profit / (Loss) from Sale of Investments</t>
  </si>
  <si>
    <t>Profit / (Loss) from Forex Income</t>
  </si>
  <si>
    <t>Operating Profit / (Loss) before Working Capital changes</t>
  </si>
  <si>
    <t>(Increase) / Decrease in Inventories</t>
  </si>
  <si>
    <t>(Increase) / Decrease in Trade Receivables</t>
  </si>
  <si>
    <t>(Incease) / Decrease in Loans &amp; Advances (Long term)</t>
  </si>
  <si>
    <t>Related Parties</t>
  </si>
  <si>
    <t>Others</t>
  </si>
  <si>
    <t>(Incease) / Decrease in Loans &amp; Advances (Short term)</t>
  </si>
  <si>
    <t>Related Parties</t>
  </si>
  <si>
    <t>Others</t>
  </si>
  <si>
    <t>(Increase) / Decrease in Other Non-Current Assets</t>
  </si>
  <si>
    <t>(Increase) / Decrease in Other Current Assets</t>
  </si>
  <si>
    <t>Increase / (Decrease) in Trade Payables</t>
  </si>
  <si>
    <t>Increase / (Decrease) in Provisions (Long term)</t>
  </si>
  <si>
    <t>Increase / (Decrease) in Provisions (Short term)</t>
  </si>
  <si>
    <t>Increase / (Decrease) in Other Non Current Liabilities</t>
  </si>
  <si>
    <t>Increase / (Decrease) in Other Current Liabilities</t>
  </si>
  <si>
    <t>Cash generated from / (used in) Operations</t>
  </si>
  <si>
    <t>Other Revenue</t>
  </si>
  <si>
    <t>Exceptional Items</t>
  </si>
  <si>
    <t>Income Tax Paid</t>
  </si>
  <si>
    <t>Defered Tax</t>
  </si>
  <si>
    <t>Net Cash Flow from / (used in) Operating Activities (A)</t>
  </si>
  <si>
    <t>Cash Flow from Investing Activities</t>
  </si>
  <si>
    <t>(Purchase) / Sale of Fixed Assets:</t>
  </si>
  <si>
    <t>(Purchase) / Sale of Tangible Assets</t>
  </si>
  <si>
    <t>(Increase) / Decrease in In-Tangible Assets</t>
  </si>
  <si>
    <t>Decrease / (Increase) in Capital Work in Progress</t>
  </si>
  <si>
    <t>(Increase) / Decrease in In-Tangible Assets under Development</t>
  </si>
  <si>
    <t>(Purchase) / Sale of Non Current Investments:</t>
  </si>
  <si>
    <t>Liquid / Marketable Investments</t>
  </si>
  <si>
    <t>Deposits with Banks</t>
  </si>
  <si>
    <t>Subsidiary and Associate Investments</t>
  </si>
  <si>
    <t>Unquoted / Dead Investments</t>
  </si>
  <si>
    <t>(Purchase) / Sale of Current Investments:</t>
  </si>
  <si>
    <t>Liquid / Marketable Investments</t>
  </si>
  <si>
    <t>Deposits with Banks</t>
  </si>
  <si>
    <t>Subsidiary and Associate Investments</t>
  </si>
  <si>
    <t>Unquoted / Dead Investments</t>
  </si>
  <si>
    <t>Interest Income</t>
  </si>
  <si>
    <t>Dividend Received</t>
  </si>
  <si>
    <t>Net Cash Flow from /(used in) Investing Activities (B)</t>
  </si>
  <si>
    <t>Cash Flow from Financing Activities:</t>
  </si>
  <si>
    <t>Proceeds / (Repayment) of Long Term Borrowings:</t>
  </si>
  <si>
    <t>Bank Debts - Secured</t>
  </si>
  <si>
    <t>Bank Debts - Unsecured</t>
  </si>
  <si>
    <t>Loan from Group Companies</t>
  </si>
  <si>
    <t>Loans from Promoters</t>
  </si>
  <si>
    <t>Loans from Relatives</t>
  </si>
  <si>
    <t>Loans from Others</t>
  </si>
  <si>
    <t>Preference Share &lt;12 Years</t>
  </si>
  <si>
    <t>Proceeds / (Repayment) of Short Term Borrowings:</t>
  </si>
  <si>
    <t>CC / Overdraft</t>
  </si>
  <si>
    <t>Other Short Term Loans from Banks</t>
  </si>
  <si>
    <t>Loan from Group Companies</t>
  </si>
  <si>
    <t>Proceeds / (Repayment) of Current Maturities of Long Term Borrowings</t>
  </si>
  <si>
    <t>Loan from Others</t>
  </si>
  <si>
    <t>Loans from Promoters</t>
  </si>
  <si>
    <t>Loans from Relatives</t>
  </si>
  <si>
    <t>Increase / (Decrease) in Net Worth:</t>
  </si>
  <si>
    <t>Share Capital</t>
  </si>
  <si>
    <t>Reserves &amp; Surplus</t>
  </si>
  <si>
    <t>Interest Paid</t>
  </si>
  <si>
    <t>Interest on Loans from Banks</t>
  </si>
  <si>
    <t>Interest on Loans from Relatives</t>
  </si>
  <si>
    <t>Interest on Loans from Others</t>
  </si>
  <si>
    <t>Interest on CC/OD</t>
  </si>
  <si>
    <t>Other Interest Charges</t>
  </si>
  <si>
    <t>Net Cash Flow from / (used in) Financing Activities (C)</t>
  </si>
  <si>
    <t>Net Increase / (Decrease) in Cash and Cash Equivalents (A+B+C)</t>
  </si>
  <si>
    <t>Cash and Cash Equivalents at the beginning of the year</t>
  </si>
  <si>
    <t>Cash and Cash Equivalents at the end of the year</t>
  </si>
  <si>
    <t>Cash Flow Check</t>
  </si>
  <si>
    <t>Consolidated Banking</t>
  </si>
  <si>
    <t>Input (Absolute amount/ Lacs)</t>
  </si>
  <si>
    <t>Absolute</t>
  </si>
  <si>
    <t>Particular</t>
  </si>
  <si>
    <t>Value Summation</t>
  </si>
  <si>
    <t>Count</t>
  </si>
  <si>
    <t>Inward Returns (Count)</t>
  </si>
  <si>
    <t>Outward Returns (Count)</t>
  </si>
  <si>
    <t>Balance at Specific Date In Month (Summation of 2 CA/SB banking)</t>
  </si>
  <si>
    <t>Average Bank Balance</t>
  </si>
  <si>
    <t>Months</t>
  </si>
  <si>
    <t>Debits</t>
  </si>
  <si>
    <t>Credits</t>
  </si>
  <si>
    <t>Debits</t>
  </si>
  <si>
    <t>Credits</t>
  </si>
  <si>
    <t>1st</t>
  </si>
  <si>
    <t>5th</t>
  </si>
  <si>
    <t>10th</t>
  </si>
  <si>
    <t>15th</t>
  </si>
  <si>
    <t>20th</t>
  </si>
  <si>
    <t>25th</t>
  </si>
  <si>
    <t>6 Months ABB</t>
  </si>
  <si>
    <t>Total</t>
  </si>
  <si>
    <t>Average</t>
  </si>
  <si>
    <t>12M Average Balance</t>
  </si>
  <si>
    <t>6M Average Balance</t>
  </si>
  <si>
    <t>Average</t>
  </si>
  <si>
    <t>Banking -1</t>
  </si>
  <si>
    <t>Name of the Account Holder:</t>
  </si>
  <si>
    <t>A/c No.</t>
  </si>
  <si>
    <t>Period</t>
  </si>
  <si>
    <t>Particular</t>
  </si>
  <si>
    <t>Value Summation</t>
  </si>
  <si>
    <t>Count</t>
  </si>
  <si>
    <t>Inward Returns (Count)</t>
  </si>
  <si>
    <t>Outward Returns (Count)</t>
  </si>
  <si>
    <t>Minimum Balance Charges (Y/N)</t>
  </si>
  <si>
    <t>Balance at Specific Date In Month</t>
  </si>
  <si>
    <t>Average Bank Balance</t>
  </si>
  <si>
    <t>Months</t>
  </si>
  <si>
    <t>Debits</t>
  </si>
  <si>
    <t>Credits</t>
  </si>
  <si>
    <t>Debits</t>
  </si>
  <si>
    <t>Credits</t>
  </si>
  <si>
    <t>1st</t>
  </si>
  <si>
    <t>5th</t>
  </si>
  <si>
    <t>10th</t>
  </si>
  <si>
    <t>15th</t>
  </si>
  <si>
    <t>20th</t>
  </si>
  <si>
    <t>25th</t>
  </si>
  <si>
    <t>6 Months ABB</t>
  </si>
  <si>
    <t>Total</t>
  </si>
  <si>
    <t>Average</t>
  </si>
  <si>
    <t>Banking -2</t>
  </si>
  <si>
    <t>Name of the Account Holder:</t>
  </si>
  <si>
    <t>A/c No.</t>
  </si>
  <si>
    <t>Period</t>
  </si>
  <si>
    <t>Particular</t>
  </si>
  <si>
    <t>Value Summation</t>
  </si>
  <si>
    <t>Count</t>
  </si>
  <si>
    <t>Inward Returns (Count)</t>
  </si>
  <si>
    <t>Outward Returns (Count)</t>
  </si>
  <si>
    <t>Minimum Balance Charges (Y/N)</t>
  </si>
  <si>
    <t>Balance at Specific Date In Month</t>
  </si>
  <si>
    <t>Months</t>
  </si>
  <si>
    <t>Debits</t>
  </si>
  <si>
    <t>Credits</t>
  </si>
  <si>
    <t>Debits</t>
  </si>
  <si>
    <t>Credits</t>
  </si>
  <si>
    <t>1st</t>
  </si>
  <si>
    <t>5th</t>
  </si>
  <si>
    <t>10th</t>
  </si>
  <si>
    <t>15th</t>
  </si>
  <si>
    <t>20th</t>
  </si>
  <si>
    <t>25th</t>
  </si>
  <si>
    <t>Average Bank balance</t>
  </si>
  <si>
    <t>6 Months ABB</t>
  </si>
  <si>
    <t>Total</t>
  </si>
  <si>
    <t>Average</t>
  </si>
  <si>
    <t>Banking -3</t>
  </si>
  <si>
    <t>Name of the Account Holder:</t>
  </si>
  <si>
    <t>A/c No.</t>
  </si>
  <si>
    <t>Period</t>
  </si>
  <si>
    <t>Particular</t>
  </si>
  <si>
    <t>Value Summation</t>
  </si>
  <si>
    <t>Count</t>
  </si>
  <si>
    <t>Inward Returns (Count)</t>
  </si>
  <si>
    <t>Outward Returns (Count)</t>
  </si>
  <si>
    <t>Minimum Balance Charges (Y/N)</t>
  </si>
  <si>
    <t>Balance at Specific Date In Month</t>
  </si>
  <si>
    <t>Months</t>
  </si>
  <si>
    <t>Debits</t>
  </si>
  <si>
    <t>Credits</t>
  </si>
  <si>
    <t>Debits</t>
  </si>
  <si>
    <t>Credits</t>
  </si>
  <si>
    <t>1st</t>
  </si>
  <si>
    <t>5th</t>
  </si>
  <si>
    <t>10th</t>
  </si>
  <si>
    <t>15th</t>
  </si>
  <si>
    <t>20th</t>
  </si>
  <si>
    <t>25th</t>
  </si>
  <si>
    <t>Average Bank balance</t>
  </si>
  <si>
    <t>6 Months ABB</t>
  </si>
  <si>
    <t>Total</t>
  </si>
  <si>
    <t>Average</t>
  </si>
  <si>
    <t>Banking -4</t>
  </si>
  <si>
    <t>Name of the Account Holder:</t>
  </si>
  <si>
    <t>A/c No.</t>
  </si>
  <si>
    <t>Period</t>
  </si>
  <si>
    <t>Particular</t>
  </si>
  <si>
    <t>Value Summation</t>
  </si>
  <si>
    <t>Count</t>
  </si>
  <si>
    <t>Inward Returns (Count)</t>
  </si>
  <si>
    <t>Outward Returns (Count)</t>
  </si>
  <si>
    <t>Minimum Balance Charges (Y/N)</t>
  </si>
  <si>
    <t>Balance at Specific Date In Month</t>
  </si>
  <si>
    <t>Months</t>
  </si>
  <si>
    <t>Debits</t>
  </si>
  <si>
    <t>Credits</t>
  </si>
  <si>
    <t>Debits</t>
  </si>
  <si>
    <t>Credits</t>
  </si>
  <si>
    <t>1st</t>
  </si>
  <si>
    <t>5th</t>
  </si>
  <si>
    <t>10th</t>
  </si>
  <si>
    <t>15th</t>
  </si>
  <si>
    <t>20th</t>
  </si>
  <si>
    <t>25th</t>
  </si>
  <si>
    <t>Average Bank balance</t>
  </si>
  <si>
    <t>6 Months ABB</t>
  </si>
  <si>
    <t>Total</t>
  </si>
  <si>
    <t>Average</t>
  </si>
  <si>
    <t>Banking -5</t>
  </si>
  <si>
    <t>Name of the Account Holder:</t>
  </si>
  <si>
    <t>A/c No.</t>
  </si>
  <si>
    <t>Period</t>
  </si>
  <si>
    <t>Particular</t>
  </si>
  <si>
    <t>Value Summation</t>
  </si>
  <si>
    <t>Count</t>
  </si>
  <si>
    <t>Inward Returns (Count)</t>
  </si>
  <si>
    <t>Outward Returns (Count)</t>
  </si>
  <si>
    <t>Minimum Balance Charges (Y/N)</t>
  </si>
  <si>
    <t>Balance at Specific Date In Month</t>
  </si>
  <si>
    <t>Months</t>
  </si>
  <si>
    <t>Debits</t>
  </si>
  <si>
    <t>Credits</t>
  </si>
  <si>
    <t>Debits</t>
  </si>
  <si>
    <t>Credits</t>
  </si>
  <si>
    <t>1st</t>
  </si>
  <si>
    <t>5th</t>
  </si>
  <si>
    <t>10th</t>
  </si>
  <si>
    <t>15th</t>
  </si>
  <si>
    <t>20th</t>
  </si>
  <si>
    <t>25th</t>
  </si>
  <si>
    <t>Average Bank balance</t>
  </si>
  <si>
    <t>6 Months ABB</t>
  </si>
  <si>
    <t>Total</t>
  </si>
  <si>
    <t>Average</t>
  </si>
  <si>
    <t>Banking -6</t>
  </si>
  <si>
    <t>Name of the Account Holder:</t>
  </si>
  <si>
    <t>A/c No.</t>
  </si>
  <si>
    <t>Period</t>
  </si>
  <si>
    <t>Particular</t>
  </si>
  <si>
    <t>Value Summation</t>
  </si>
  <si>
    <t>Count</t>
  </si>
  <si>
    <t>Inward Returns (Count)</t>
  </si>
  <si>
    <t>Outward Returns (Count)</t>
  </si>
  <si>
    <t>Minimum Balance Charges (Y/N)</t>
  </si>
  <si>
    <t>Balance at Specific Date In Month</t>
  </si>
  <si>
    <t>Months</t>
  </si>
  <si>
    <t>Debits</t>
  </si>
  <si>
    <t>Credits</t>
  </si>
  <si>
    <t>Debits</t>
  </si>
  <si>
    <t>Credits</t>
  </si>
  <si>
    <t>1st</t>
  </si>
  <si>
    <t>5th</t>
  </si>
  <si>
    <t>10th</t>
  </si>
  <si>
    <t>15th</t>
  </si>
  <si>
    <t>20th</t>
  </si>
  <si>
    <t>25th</t>
  </si>
  <si>
    <t>Average Bank balance</t>
  </si>
  <si>
    <t>6 Months ABB</t>
  </si>
  <si>
    <t>Total</t>
  </si>
  <si>
    <t>Average</t>
  </si>
  <si>
    <t>Banking -7</t>
  </si>
  <si>
    <t>Name of the Account Holder:</t>
  </si>
  <si>
    <t>A/c No.</t>
  </si>
  <si>
    <t>Period</t>
  </si>
  <si>
    <t>Particular</t>
  </si>
  <si>
    <t>Value Summation</t>
  </si>
  <si>
    <t>Count</t>
  </si>
  <si>
    <t>Inward Returns (Count)</t>
  </si>
  <si>
    <t>Outward Returns (Count)</t>
  </si>
  <si>
    <t>Minimum Balance Charges (Y/N)</t>
  </si>
  <si>
    <t>Balance at Specific Date In Month</t>
  </si>
  <si>
    <t>Months</t>
  </si>
  <si>
    <t>Debits</t>
  </si>
  <si>
    <t>Credits</t>
  </si>
  <si>
    <t>Debits</t>
  </si>
  <si>
    <t>Credits</t>
  </si>
  <si>
    <t>1st</t>
  </si>
  <si>
    <t>5th</t>
  </si>
  <si>
    <t>10th</t>
  </si>
  <si>
    <t>15th</t>
  </si>
  <si>
    <t>20th</t>
  </si>
  <si>
    <t>25th</t>
  </si>
  <si>
    <t>Average Bank balance</t>
  </si>
  <si>
    <t>6 Months ABB</t>
  </si>
  <si>
    <t>Total</t>
  </si>
  <si>
    <t>Average</t>
  </si>
  <si>
    <t>Banking -8</t>
  </si>
  <si>
    <t>Name of the Account Holder:</t>
  </si>
  <si>
    <t>A/c No.</t>
  </si>
  <si>
    <t>Period</t>
  </si>
  <si>
    <t>Particular</t>
  </si>
  <si>
    <t>Value Summation</t>
  </si>
  <si>
    <t>Count</t>
  </si>
  <si>
    <t>Inward Returns (Count)</t>
  </si>
  <si>
    <t>Outward Returns (Count)</t>
  </si>
  <si>
    <t>Minimum Balance Charges (Y/N)</t>
  </si>
  <si>
    <t>Balance at Specific Date In Month</t>
  </si>
  <si>
    <t>Months</t>
  </si>
  <si>
    <t>Debits</t>
  </si>
  <si>
    <t>Credits</t>
  </si>
  <si>
    <t>Debits</t>
  </si>
  <si>
    <t>Credits</t>
  </si>
  <si>
    <t>1st</t>
  </si>
  <si>
    <t>5th</t>
  </si>
  <si>
    <t>10th</t>
  </si>
  <si>
    <t>15th</t>
  </si>
  <si>
    <t>20th</t>
  </si>
  <si>
    <t>25th</t>
  </si>
  <si>
    <t>Average Bank balance</t>
  </si>
  <si>
    <t>6 Months ABB</t>
  </si>
  <si>
    <t>Total</t>
  </si>
  <si>
    <t>Average</t>
  </si>
  <si>
    <t>Banking -9</t>
  </si>
  <si>
    <t>Name of the Account Holder:</t>
  </si>
  <si>
    <t>A/c No.</t>
  </si>
  <si>
    <t>Period</t>
  </si>
  <si>
    <t>Particular</t>
  </si>
  <si>
    <t>Value Summation</t>
  </si>
  <si>
    <t>Count</t>
  </si>
  <si>
    <t>Inward Returns (Count)</t>
  </si>
  <si>
    <t>Outward Returns (Count)</t>
  </si>
  <si>
    <t>Minimum Balance Charges (Y/N)</t>
  </si>
  <si>
    <t>Balance at Specific Date In Month</t>
  </si>
  <si>
    <t>Months</t>
  </si>
  <si>
    <t>Debits</t>
  </si>
  <si>
    <t>Credits</t>
  </si>
  <si>
    <t>Debits</t>
  </si>
  <si>
    <t>Credits</t>
  </si>
  <si>
    <t>1st</t>
  </si>
  <si>
    <t>5th</t>
  </si>
  <si>
    <t>10th</t>
  </si>
  <si>
    <t>15th</t>
  </si>
  <si>
    <t>20th</t>
  </si>
  <si>
    <t>25th</t>
  </si>
  <si>
    <t>Average Bank balance</t>
  </si>
  <si>
    <t>6 Months ABB</t>
  </si>
  <si>
    <t>Total</t>
  </si>
  <si>
    <t>Average</t>
  </si>
  <si>
    <t>Banking -10</t>
  </si>
  <si>
    <t>Name of the Account Holder:</t>
  </si>
  <si>
    <t>A/c No.</t>
  </si>
  <si>
    <t>Period</t>
  </si>
  <si>
    <t>Particular</t>
  </si>
  <si>
    <t>Value Summation</t>
  </si>
  <si>
    <t>Count</t>
  </si>
  <si>
    <t>Inward Returns (Count)</t>
  </si>
  <si>
    <t>Outward Returns (Count)</t>
  </si>
  <si>
    <t>Minimum Balance Charges (Y/N)</t>
  </si>
  <si>
    <t>Balance at Specific Date In Month</t>
  </si>
  <si>
    <t>Months</t>
  </si>
  <si>
    <t>Debits</t>
  </si>
  <si>
    <t>Credits</t>
  </si>
  <si>
    <t>Debits</t>
  </si>
  <si>
    <t>Credits</t>
  </si>
  <si>
    <t>1st</t>
  </si>
  <si>
    <t>5th</t>
  </si>
  <si>
    <t>10th</t>
  </si>
  <si>
    <t>15th</t>
  </si>
  <si>
    <t>20th</t>
  </si>
  <si>
    <t>25th</t>
  </si>
  <si>
    <t>Average Bank balance</t>
  </si>
  <si>
    <t>6 Months ABB</t>
  </si>
  <si>
    <t>Total</t>
  </si>
  <si>
    <t>Average</t>
  </si>
  <si>
    <r>
      <rPr>
        <b/>
        <sz val="18"/>
        <color theme="0"/>
        <rFont val="Open Sans"/>
      </rPr>
      <t>Namaste Credit</t>
    </r>
    <r>
      <rPr>
        <b/>
        <sz val="18"/>
        <color theme="0"/>
        <rFont val="Calibri"/>
        <family val="2"/>
      </rPr>
      <t xml:space="preserve">
</t>
    </r>
    <r>
      <rPr>
        <b/>
        <sz val="18"/>
        <color theme="0"/>
        <rFont val="Open Sans"/>
      </rPr>
      <t>Early Warning System Scorecard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</si>
</sst>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9">
    <numFmt numFmtId="164" formatCode="[&gt;=0]#,##0.0\ ;\(#,##0.0\)"/>
    <numFmt numFmtId="165" formatCode="#0"/>
    <numFmt numFmtId="166" formatCode="[&gt;=0]#,##0.00;\(#,##0.00\)"/>
    <numFmt numFmtId="167" formatCode="#0.0"/>
    <numFmt numFmtId="168" formatCode="#,##0.0"/>
    <numFmt numFmtId="169" formatCode="#0%"/>
    <numFmt numFmtId="170" formatCode="[&gt;0]\ * #,##0\ ;[&lt;0]\ * #,##0\-;\ * &quot;-&quot;#??\ ;\ @\ "/>
    <numFmt numFmtId="171" formatCode="[&gt;0]\ * #,##0.0\ ;[&lt;0]\ * #,##0.0\-;\ * &quot;-&quot;#??\ ;\ @\ "/>
    <numFmt numFmtId="172" formatCode="dd/mmm/yyyy"/>
    <numFmt numFmtId="173" formatCode="mmmm/yyyy"/>
    <numFmt numFmtId="174" formatCode="[&gt;0]#0;[&lt;0]General;;@"/>
    <numFmt numFmtId="175" formatCode="[&gt;=0]&quot;₹&quot;\ #,##0;&quot;₹&quot;\ \-#,##0"/>
    <numFmt numFmtId="176" formatCode="d/m/yy\ h:mm"/>
    <numFmt numFmtId="177" formatCode="[&gt;0]General;[&lt;0]General;\-"/>
    <numFmt numFmtId="178" formatCode="[&gt;0]&quot;₹&quot;\ #,##0;[&lt;0]&quot;₹&quot;\ \-#,##0;\-"/>
    <numFmt numFmtId="179" formatCode="d/m/yy"/>
    <numFmt numFmtId="180" formatCode="mm/dd/yyyy"/>
    <numFmt numFmtId="181" formatCode="[&gt;=0]d/m;@"/>
    <numFmt numFmtId="182" formatCode="[&gt;0]\ * #,##0\ ;[&lt;0]\ * \(#,##0\);\ * &quot;-&quot;#??\ ;\ @\ "/>
    <numFmt numFmtId="183" formatCode="[&gt;0]\ * #,##0.00\ ;[&lt;0]\ * #,##0.00\-;\ * &quot;-&quot;#??\ ;\ @\ "/>
    <numFmt numFmtId="184" formatCode="[&gt;0]\ * #,##0\ ;[&lt;0]\ * \(#,##0\);\ * \-#??\ ;\ @\ "/>
    <numFmt numFmtId="185" formatCode="[&gt;=0]&quot;&quot;mmmm/yy;@"/>
    <numFmt numFmtId="186" formatCode="[&gt;0]\ #,##0;[&lt;0]\-#,##0;\-"/>
    <numFmt numFmtId="187" formatCode="#0.00%"/>
    <numFmt numFmtId="188" formatCode="[&gt;0]\ * #,##0.00\ ;[&lt;0]\ * \-#,##0.00\ ;\ * &quot;-&quot;#??\ ;\ @\ "/>
    <numFmt numFmtId="189" formatCode="[&gt;0]\ * #,##0\ ;[&lt;0]\ * \-#,##0\ ;\ * &quot;-&quot;#??\ ;\ @\ "/>
    <numFmt numFmtId="190" formatCode="[&gt;0]#,##0\ ;[&lt;0]&quot; (&quot;#,##0\);&quot; -&quot;#\ ;@\ "/>
    <numFmt numFmtId="191" formatCode="#0.00"/>
    <numFmt numFmtId="192" formatCode="[&gt;0]\ * #,##0.00\ ;[&lt;0]\ * \(#,##0.00\);\ * &quot;-&quot;#??\ ;\ @\ "/>
  </numFmts>
  <fonts count="47">
    <font>
      <sz val="11"/>
      <name val="Calibri"/>
    </font>
    <font>
      <sz val="11"/>
      <name val="Calibri"/>
      <family val="2"/>
    </font>
    <font>
      <sz val="11"/>
      <color rgb="FFFFFFFF"/>
      <name val="Calibri"/>
      <family val="2"/>
    </font>
    <font>
      <b/>
      <sz val="14"/>
      <color rgb="FFFFFFFF"/>
      <name val="Calibri"/>
      <family val="2"/>
    </font>
    <font>
      <b/>
      <sz val="11"/>
      <name val="Calibri"/>
      <family val="2"/>
    </font>
    <font>
      <b/>
      <sz val="12"/>
      <name val="Calibri"/>
      <family val="2"/>
    </font>
    <font>
      <b/>
      <sz val="10"/>
      <color rgb="FFFFFFFF"/>
      <name val="Calibri"/>
      <family val="2"/>
    </font>
    <font>
      <sz val="10"/>
      <name val="Calibri"/>
      <family val="2"/>
    </font>
    <font>
      <sz val="10"/>
      <color rgb="FFFFFFFF"/>
      <name val="Calibri"/>
      <family val="2"/>
    </font>
    <font>
      <b/>
      <sz val="18"/>
      <color rgb="FFFF0000"/>
      <name val="Calibri"/>
      <family val="2"/>
    </font>
    <font>
      <b/>
      <sz val="10"/>
      <name val="Calibri"/>
      <family val="2"/>
    </font>
    <font>
      <b/>
      <sz val="18"/>
      <color rgb="FFF79646"/>
      <name val="Calibri"/>
      <family val="2"/>
    </font>
    <font>
      <b/>
      <sz val="18"/>
      <color rgb="FF00B050"/>
      <name val="Calibri"/>
      <family val="2"/>
    </font>
    <font>
      <sz val="8"/>
      <name val="Calibri"/>
      <family val="2"/>
    </font>
    <font>
      <sz val="10"/>
      <name val="Arial"/>
      <family val="2"/>
    </font>
    <font>
      <b/>
      <sz val="10"/>
      <name val="Arial"/>
      <family val="2"/>
    </font>
    <font>
      <sz val="10"/>
      <name val="Verdana"/>
      <family val="2"/>
    </font>
    <font>
      <b/>
      <sz val="13"/>
      <color rgb="FFFFFFFF"/>
      <name val="Calibri"/>
      <family val="2"/>
    </font>
    <font>
      <sz val="11"/>
      <name val="Calibri"/>
      <family val="2"/>
    </font>
    <font>
      <sz val="9"/>
      <name val="Calibri"/>
      <family val="2"/>
    </font>
    <font>
      <sz val="11"/>
      <name val="Arial"/>
      <family val="2"/>
    </font>
    <font>
      <b/>
      <sz val="13"/>
      <color rgb="FFFFFFFF"/>
      <name val="Arial"/>
      <family val="2"/>
    </font>
    <font>
      <sz val="11"/>
      <color rgb="FFFF0000"/>
      <name val="Arial"/>
      <family val="2"/>
    </font>
    <font>
      <b/>
      <sz val="11"/>
      <color rgb="FFFFFFFF"/>
      <name val="Calibri"/>
      <family val="2"/>
    </font>
    <font>
      <b/>
      <sz val="9"/>
      <name val="Arial"/>
      <family val="2"/>
    </font>
    <font>
      <sz val="9"/>
      <name val="Arial"/>
      <family val="2"/>
    </font>
    <font>
      <sz val="9"/>
      <color rgb="FFFF0000"/>
      <name val="Arial"/>
      <family val="2"/>
    </font>
    <font>
      <b/>
      <sz val="12"/>
      <color rgb="FFFFFFFF"/>
      <name val="Arial"/>
      <family val="2"/>
    </font>
    <font>
      <b/>
      <sz val="17"/>
      <color rgb="FFFFFFFF"/>
      <name val="Arial"/>
      <family val="2"/>
    </font>
    <font>
      <b/>
      <sz val="10"/>
      <color rgb="FFFFFFFF"/>
      <name val="Arial"/>
      <family val="2"/>
    </font>
    <font>
      <b/>
      <sz val="15"/>
      <color rgb="FFFFFFFF"/>
      <name val="Arial"/>
      <family val="2"/>
    </font>
    <font>
      <b/>
      <sz val="11"/>
      <color rgb="FFFFFFFF"/>
      <name val="Arial"/>
      <family val="2"/>
    </font>
    <font>
      <b/>
      <sz val="11"/>
      <name val="Arial"/>
      <family val="2"/>
    </font>
    <font>
      <sz val="11"/>
      <name val="Cambria"/>
      <family val="1"/>
    </font>
    <font>
      <sz val="10"/>
      <name val="MS Sans Serif"/>
    </font>
    <font>
      <sz val="8"/>
      <name val="Arial"/>
      <family val="2"/>
    </font>
    <font>
      <sz val="8"/>
      <name val="Aharoni"/>
      <charset val="177"/>
    </font>
    <font>
      <b/>
      <sz val="14"/>
      <name val="Arial"/>
      <family val="2"/>
    </font>
    <font>
      <b/>
      <sz val="8"/>
      <name val="Arial"/>
      <family val="2"/>
    </font>
    <font>
      <sz val="13"/>
      <name val="Arial"/>
      <family val="2"/>
    </font>
    <font>
      <b/>
      <sz val="13"/>
      <name val="Arial"/>
      <family val="2"/>
    </font>
    <font>
      <b/>
      <sz val="14"/>
      <color rgb="FFFFFFFF"/>
      <name val="Arial"/>
      <family val="2"/>
    </font>
    <font>
      <b/>
      <sz val="10"/>
      <name val="Calibri"/>
      <family val="2"/>
    </font>
    <font>
      <sz val="10"/>
      <name val="Calibri"/>
      <family val="2"/>
    </font>
    <font>
      <sz val="16"/>
      <name val="Open Sans"/>
    </font>
    <font>
      <b/>
      <sz val="18"/>
      <color theme="0"/>
      <name val="Calibri"/>
      <family val="2"/>
    </font>
    <font>
      <b/>
      <sz val="18"/>
      <color theme="0"/>
      <name val="Open Sans"/>
    </font>
  </fonts>
  <fills count="36">
    <fill>
      <patternFill patternType="none"/>
    </fill>
    <fill>
      <patternFill patternType="gray125"/>
    </fill>
    <fill>
      <patternFill patternType="solid">
        <fgColor rgb="FF1414AD"/>
      </patternFill>
    </fill>
    <fill>
      <patternFill patternType="solid">
        <fgColor rgb="FFFFFFFF"/>
      </patternFill>
    </fill>
    <fill>
      <patternFill patternType="solid">
        <fgColor rgb="FFF2F2F2"/>
      </patternFill>
    </fill>
    <fill>
      <patternFill patternType="solid">
        <fgColor rgb="FFA61414"/>
      </patternFill>
    </fill>
    <fill>
      <patternFill patternType="solid">
        <fgColor rgb="FFF79646"/>
      </patternFill>
    </fill>
    <fill>
      <patternFill patternType="solid">
        <fgColor rgb="FF00B050"/>
      </patternFill>
    </fill>
    <fill>
      <patternFill patternType="solid">
        <fgColor rgb="FFFFCC99"/>
      </patternFill>
    </fill>
    <fill>
      <patternFill patternType="solid">
        <fgColor rgb="FFD9D9D9"/>
      </patternFill>
    </fill>
    <fill>
      <patternFill patternType="solid">
        <fgColor rgb="FFFFFF00"/>
      </patternFill>
    </fill>
    <fill>
      <patternFill patternType="solid">
        <fgColor rgb="FFEEECE1"/>
      </patternFill>
    </fill>
    <fill>
      <patternFill patternType="solid">
        <fgColor rgb="FF254061"/>
      </patternFill>
    </fill>
    <fill>
      <patternFill patternType="solid">
        <fgColor rgb="FF376092"/>
      </patternFill>
    </fill>
    <fill>
      <patternFill patternType="solid">
        <fgColor rgb="FFB9CDE5"/>
      </patternFill>
    </fill>
    <fill>
      <patternFill patternType="solid">
        <fgColor rgb="FFB4C6E7"/>
      </patternFill>
    </fill>
    <fill>
      <patternFill patternType="solid">
        <fgColor rgb="FFDCE6F2"/>
      </patternFill>
    </fill>
    <fill>
      <patternFill patternType="solid">
        <fgColor rgb="FFE6B8B7"/>
      </patternFill>
    </fill>
    <fill>
      <patternFill patternType="solid">
        <fgColor rgb="FF93CDDD"/>
      </patternFill>
    </fill>
    <fill>
      <patternFill patternType="solid">
        <fgColor rgb="FFB3A2C7"/>
      </patternFill>
    </fill>
    <fill>
      <patternFill patternType="solid">
        <fgColor rgb="FF0F243F"/>
      </patternFill>
    </fill>
    <fill>
      <patternFill patternType="solid">
        <fgColor rgb="FFCCC1DA"/>
      </patternFill>
    </fill>
    <fill>
      <patternFill patternType="solid">
        <fgColor rgb="FFEBF1DE"/>
      </patternFill>
    </fill>
    <fill>
      <patternFill patternType="solid">
        <fgColor rgb="FFF2DCDB"/>
      </patternFill>
    </fill>
    <fill>
      <patternFill patternType="solid">
        <fgColor rgb="FFE6E0EC"/>
      </patternFill>
    </fill>
    <fill>
      <patternFill patternType="solid">
        <fgColor rgb="FFB7DEE8"/>
      </patternFill>
    </fill>
    <fill>
      <patternFill patternType="solid">
        <fgColor rgb="FF244061"/>
      </patternFill>
    </fill>
    <fill>
      <patternFill patternType="solid">
        <fgColor rgb="FFB8CCE4"/>
      </patternFill>
    </fill>
    <fill>
      <patternFill patternType="solid">
        <fgColor rgb="FF95B3D7"/>
      </patternFill>
    </fill>
    <fill>
      <patternFill patternType="solid">
        <fgColor rgb="FF143264"/>
      </patternFill>
    </fill>
    <fill>
      <patternFill patternType="solid">
        <fgColor rgb="FF326496"/>
      </patternFill>
    </fill>
    <fill>
      <patternFill patternType="solid">
        <fgColor rgb="FFC6D9F1"/>
      </patternFill>
    </fill>
    <fill>
      <patternFill patternType="solid">
        <fgColor rgb="FFFFC000"/>
      </patternFill>
    </fill>
    <fill>
      <patternFill patternType="solid">
        <fgColor rgb="FFC3D69B"/>
      </patternFill>
    </fill>
    <fill>
      <patternFill patternType="solid">
        <fgColor rgb="FFC0C0C0"/>
      </patternFill>
    </fill>
    <fill>
      <patternFill patternType="solid">
        <fgColor rgb="FFBFBFBF"/>
      </patternFill>
    </fill>
  </fills>
  <borders count="106">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right/>
      <top/>
      <bottom style="thin">
        <color rgb="FFCCCCCC"/>
      </bottom>
      <diagonal/>
    </border>
    <border>
      <left style="thin">
        <color rgb="FFCCCCCC"/>
      </left>
      <right/>
      <top style="thin">
        <color rgb="FFCCCCCC"/>
      </top>
      <bottom style="thin">
        <color rgb="FFCCCCCC"/>
      </bottom>
      <diagonal/>
    </border>
    <border>
      <left/>
      <right style="thin">
        <color rgb="FFCCCCCC"/>
      </right>
      <top style="thin">
        <color rgb="FFCCCCCC"/>
      </top>
      <bottom style="thin">
        <color rgb="FFCCCCCC"/>
      </bottom>
      <diagonal/>
    </border>
    <border>
      <left style="thin">
        <color rgb="FFCCCCCC"/>
      </left>
      <right style="thin">
        <color rgb="FFCCCCCC"/>
      </right>
      <top style="thin">
        <color rgb="FFCCCCCC"/>
      </top>
      <bottom style="thin">
        <color rgb="FFCCCCCC"/>
      </bottom>
      <diagonal/>
    </border>
    <border>
      <left style="thin">
        <color rgb="FFCCCCCC"/>
      </left>
      <right style="thin">
        <color rgb="FFCCCCCC"/>
      </right>
      <top style="thin">
        <color rgb="FFCCCCCC"/>
      </top>
      <bottom/>
      <diagonal/>
    </border>
    <border>
      <left style="thin">
        <color rgb="FFD9D9D9"/>
      </left>
      <right style="thin">
        <color rgb="FFD9D9D9"/>
      </right>
      <top style="thin">
        <color rgb="FFD9D9D9"/>
      </top>
      <bottom style="thin">
        <color rgb="FFD9D9D9"/>
      </bottom>
      <diagonal/>
    </border>
    <border>
      <left style="thin">
        <color rgb="FFD9D9D9"/>
      </left>
      <right/>
      <top style="thin">
        <color rgb="FFD9D9D9"/>
      </top>
      <bottom style="thin">
        <color rgb="FFD9D9D9"/>
      </bottom>
      <diagonal/>
    </border>
    <border>
      <left/>
      <right/>
      <top style="thin">
        <color rgb="FFD9D9D9"/>
      </top>
      <bottom style="thin">
        <color rgb="FFD9D9D9"/>
      </bottom>
      <diagonal/>
    </border>
    <border>
      <left/>
      <right style="thin">
        <color rgb="FFD9D9D9"/>
      </right>
      <top style="thin">
        <color rgb="FFD9D9D9"/>
      </top>
      <bottom style="thin">
        <color rgb="FFD9D9D9"/>
      </bottom>
      <diagonal/>
    </border>
    <border>
      <left style="thin">
        <color rgb="FFD9D9D9"/>
      </left>
      <right style="thin">
        <color rgb="FFD9D9D9"/>
      </right>
      <top style="thin">
        <color rgb="FFD9D9D9"/>
      </top>
      <bottom/>
      <diagonal/>
    </border>
    <border>
      <left style="thin">
        <color rgb="FFD9D9D9"/>
      </left>
      <right style="thin">
        <color rgb="FFD9D9D9"/>
      </right>
      <top/>
      <bottom style="thin">
        <color rgb="FFD9D9D9"/>
      </bottom>
      <diagonal/>
    </border>
    <border>
      <left style="thin">
        <color rgb="FFD9D9D9"/>
      </left>
      <right style="thin">
        <color rgb="FFD9D9D9"/>
      </right>
      <top/>
      <bottom/>
      <diagonal/>
    </border>
    <border>
      <left style="thin">
        <color rgb="FFFFFFFF"/>
      </left>
      <right style="thin">
        <color rgb="FFFFFFFF"/>
      </right>
      <top style="thin">
        <color rgb="FFFFFFFF"/>
      </top>
      <bottom style="thin">
        <color rgb="FFFFFFFF"/>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DDD9C3"/>
      </right>
      <top/>
      <bottom style="thin">
        <color rgb="FF000000"/>
      </bottom>
      <diagonal/>
    </border>
    <border>
      <left style="thin">
        <color rgb="FFDDD9C3"/>
      </left>
      <right style="thin">
        <color rgb="FFDDD9C3"/>
      </right>
      <top style="thin">
        <color rgb="FFDDD9C3"/>
      </top>
      <bottom style="thin">
        <color rgb="FFDDD9C3"/>
      </bottom>
      <diagonal/>
    </border>
    <border>
      <left style="thin">
        <color rgb="FF000000"/>
      </left>
      <right style="thin">
        <color rgb="FFFFFFFF"/>
      </right>
      <top style="thin">
        <color rgb="FF000000"/>
      </top>
      <bottom style="thin">
        <color rgb="FF000000"/>
      </bottom>
      <diagonal/>
    </border>
    <border>
      <left style="thin">
        <color rgb="FFFFFFFF"/>
      </left>
      <right style="thin">
        <color rgb="FFFFFFFF"/>
      </right>
      <top style="thin">
        <color rgb="FF000000"/>
      </top>
      <bottom style="thin">
        <color rgb="FF000000"/>
      </bottom>
      <diagonal/>
    </border>
    <border>
      <left style="thin">
        <color rgb="FFFFFFFF"/>
      </left>
      <right style="thin">
        <color rgb="FF000000"/>
      </right>
      <top style="thin">
        <color rgb="FF000000"/>
      </top>
      <bottom style="thin">
        <color rgb="FF000000"/>
      </bottom>
      <diagonal/>
    </border>
    <border>
      <left style="thin">
        <color rgb="FF000000"/>
      </left>
      <right style="thin">
        <color rgb="FFFFFFFF"/>
      </right>
      <top/>
      <bottom style="thin">
        <color rgb="FF000000"/>
      </bottom>
      <diagonal/>
    </border>
    <border>
      <left style="thin">
        <color rgb="FFFFFFFF"/>
      </left>
      <right style="thin">
        <color rgb="FFFFFFFF"/>
      </right>
      <top/>
      <bottom style="thin">
        <color rgb="FF000000"/>
      </bottom>
      <diagonal/>
    </border>
    <border>
      <left style="thin">
        <color rgb="FFFFFFFF"/>
      </left>
      <right style="thin">
        <color rgb="FF000000"/>
      </right>
      <top/>
      <bottom style="thin">
        <color rgb="FF000000"/>
      </bottom>
      <diagonal/>
    </border>
    <border>
      <left/>
      <right style="thin">
        <color rgb="FFDDD9C3"/>
      </right>
      <top/>
      <bottom/>
      <diagonal/>
    </border>
    <border>
      <left/>
      <right style="thin">
        <color rgb="FFDDD9C3"/>
      </right>
      <top style="thin">
        <color rgb="FF000000"/>
      </top>
      <bottom/>
      <diagonal/>
    </border>
    <border>
      <left style="thin">
        <color rgb="FFDDD9C3"/>
      </left>
      <right/>
      <top style="thin">
        <color rgb="FF000000"/>
      </top>
      <bottom/>
      <diagonal/>
    </border>
    <border>
      <left style="thin">
        <color rgb="FFDDD9C3"/>
      </left>
      <right/>
      <top/>
      <bottom/>
      <diagonal/>
    </border>
    <border>
      <left style="thin">
        <color rgb="FFDDD9C3"/>
      </left>
      <right style="thin">
        <color rgb="FFDDD9C3"/>
      </right>
      <top style="thin">
        <color rgb="FF000000"/>
      </top>
      <bottom/>
      <diagonal/>
    </border>
    <border>
      <left style="thin">
        <color rgb="FF000000"/>
      </left>
      <right style="thin">
        <color rgb="FFFFFFFF"/>
      </right>
      <top style="thin">
        <color rgb="FF000000"/>
      </top>
      <bottom/>
      <diagonal/>
    </border>
    <border>
      <left style="thin">
        <color rgb="FFFFFFFF"/>
      </left>
      <right style="thin">
        <color rgb="FFFFFFFF"/>
      </right>
      <top style="thin">
        <color rgb="FF000000"/>
      </top>
      <bottom/>
      <diagonal/>
    </border>
    <border>
      <left style="thin">
        <color rgb="FFDDD9C3"/>
      </left>
      <right style="thin">
        <color rgb="FF000000"/>
      </right>
      <top style="thin">
        <color rgb="FF000000"/>
      </top>
      <bottom/>
      <diagonal/>
    </border>
    <border>
      <left style="thin">
        <color rgb="FFFFFFFF"/>
      </left>
      <right style="thin">
        <color rgb="FF000000"/>
      </right>
      <top style="thin">
        <color rgb="FF000000"/>
      </top>
      <bottom/>
      <diagonal/>
    </border>
    <border>
      <left style="thin">
        <color rgb="FFDDD9C3"/>
      </left>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DDD9C3"/>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right style="thin">
        <color rgb="FFFFFFFF"/>
      </right>
      <top style="thin">
        <color rgb="FF000000"/>
      </top>
      <bottom style="thin">
        <color rgb="FF000000"/>
      </bottom>
      <diagonal/>
    </border>
    <border>
      <left style="thin">
        <color rgb="FFDDD9C3"/>
      </left>
      <right/>
      <top style="thin">
        <color rgb="FFDDD9C3"/>
      </top>
      <bottom style="thin">
        <color rgb="FFDDD9C3"/>
      </bottom>
      <diagonal/>
    </border>
    <border>
      <left/>
      <right/>
      <top style="thin">
        <color rgb="FFDDD9C3"/>
      </top>
      <bottom style="thin">
        <color rgb="FFDDD9C3"/>
      </bottom>
      <diagonal/>
    </border>
    <border>
      <left/>
      <right style="thin">
        <color rgb="FFDDD9C3"/>
      </right>
      <top style="thin">
        <color rgb="FFDDD9C3"/>
      </top>
      <bottom style="thin">
        <color rgb="FFDDD9C3"/>
      </bottom>
      <diagonal/>
    </border>
    <border>
      <left style="thin">
        <color rgb="FF000000"/>
      </left>
      <right/>
      <top style="thin">
        <color rgb="FF000000"/>
      </top>
      <bottom style="thin">
        <color rgb="FFDDD9C3"/>
      </bottom>
      <diagonal/>
    </border>
    <border>
      <left/>
      <right/>
      <top style="thin">
        <color rgb="FF000000"/>
      </top>
      <bottom style="thin">
        <color rgb="FFDDD9C3"/>
      </bottom>
      <diagonal/>
    </border>
    <border>
      <left/>
      <right style="thin">
        <color rgb="FF000000"/>
      </right>
      <top style="thin">
        <color rgb="FF000000"/>
      </top>
      <bottom style="thin">
        <color rgb="FFDDD9C3"/>
      </bottom>
      <diagonal/>
    </border>
    <border>
      <left style="thin">
        <color rgb="FFFFFFFF"/>
      </left>
      <right/>
      <top style="thin">
        <color rgb="FFFFFFFF"/>
      </top>
      <bottom style="thin">
        <color rgb="FFFFFFFF"/>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diagonal/>
    </border>
    <border>
      <left/>
      <right style="thin">
        <color rgb="FFFFFFFF"/>
      </right>
      <top style="thin">
        <color rgb="FFFFFFFF"/>
      </top>
      <bottom style="thin">
        <color rgb="FFFFFFFF"/>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FFFFFF"/>
      </left>
      <right style="thin">
        <color rgb="FFFFFFFF"/>
      </right>
      <top/>
      <bottom/>
      <diagonal/>
    </border>
    <border>
      <left style="thin">
        <color rgb="FFFFFFFF"/>
      </left>
      <right style="thin">
        <color rgb="FFFFFFFF"/>
      </right>
      <top/>
      <bottom style="thin">
        <color rgb="FFFFFFFF"/>
      </bottom>
      <diagonal/>
    </border>
    <border>
      <left style="thin">
        <color rgb="FF000000"/>
      </left>
      <right/>
      <top style="thin">
        <color rgb="FF000000"/>
      </top>
      <bottom style="thin">
        <color rgb="FFDDD9C3"/>
      </bottom>
      <diagonal/>
    </border>
    <border>
      <left/>
      <right/>
      <top style="thin">
        <color rgb="FF000000"/>
      </top>
      <bottom style="thin">
        <color rgb="FFDDD9C3"/>
      </bottom>
      <diagonal/>
    </border>
    <border>
      <left/>
      <right style="thin">
        <color rgb="FF000000"/>
      </right>
      <top style="thin">
        <color rgb="FF000000"/>
      </top>
      <bottom style="thin">
        <color rgb="FFDDD9C3"/>
      </bottom>
      <diagonal/>
    </border>
    <border>
      <left/>
      <right style="thin">
        <color rgb="FFFFFFFF"/>
      </right>
      <top style="thin">
        <color rgb="FF000000"/>
      </top>
      <bottom style="thin">
        <color rgb="FF000000"/>
      </bottom>
      <diagonal/>
    </border>
    <border>
      <left style="thin">
        <color rgb="FFFFFFFF"/>
      </left>
      <right style="thin">
        <color rgb="FFFFFFFF"/>
      </right>
      <top style="thin">
        <color rgb="FF000000"/>
      </top>
      <bottom style="thin">
        <color rgb="FF000000"/>
      </bottom>
      <diagonal/>
    </border>
    <border>
      <left style="thin">
        <color rgb="FFFFFFFF"/>
      </left>
      <right style="thin">
        <color rgb="FF000000"/>
      </right>
      <top style="thin">
        <color rgb="FF000000"/>
      </top>
      <bottom style="thin">
        <color rgb="FF000000"/>
      </bottom>
      <diagonal/>
    </border>
    <border>
      <left style="thin">
        <color rgb="FF000000"/>
      </left>
      <right style="thin">
        <color rgb="FFDDD9C3"/>
      </right>
      <top style="thin">
        <color rgb="FFFFFFFF"/>
      </top>
      <bottom/>
      <diagonal/>
    </border>
    <border>
      <left style="thin">
        <color rgb="FF000000"/>
      </left>
      <right style="thin">
        <color rgb="FFDDD9C3"/>
      </right>
      <top/>
      <bottom/>
      <diagonal/>
    </border>
    <border>
      <left style="thin">
        <color rgb="FFDDD9C3"/>
      </left>
      <right/>
      <top/>
      <bottom style="thin">
        <color rgb="FF000000"/>
      </bottom>
      <diagonal/>
    </border>
    <border>
      <left/>
      <right style="thin">
        <color rgb="FFDDD9C3"/>
      </right>
      <top/>
      <bottom style="thin">
        <color rgb="FF000000"/>
      </bottom>
      <diagonal/>
    </border>
    <border>
      <left/>
      <right style="thin">
        <color rgb="FFDDD9C3"/>
      </right>
      <top style="thin">
        <color rgb="FF000000"/>
      </top>
      <bottom/>
      <diagonal/>
    </border>
    <border>
      <left/>
      <right style="thin">
        <color rgb="FFFFFFFF"/>
      </right>
      <top style="thin">
        <color rgb="FF000000"/>
      </top>
      <bottom/>
      <diagonal/>
    </border>
    <border>
      <left style="thin">
        <color rgb="FF000000"/>
      </left>
      <right/>
      <top/>
      <bottom style="thin">
        <color rgb="FFFFFFFF"/>
      </bottom>
      <diagonal/>
    </border>
    <border>
      <left/>
      <right/>
      <top/>
      <bottom style="thin">
        <color rgb="FFFFFFFF"/>
      </bottom>
      <diagonal/>
    </border>
    <border>
      <left/>
      <right style="thin">
        <color rgb="FF000000"/>
      </right>
      <top/>
      <bottom style="thin">
        <color rgb="FFFFFFFF"/>
      </bottom>
      <diagonal/>
    </border>
    <border>
      <left/>
      <right/>
      <top style="thin">
        <color rgb="FFFFFFFF"/>
      </top>
      <bottom/>
      <diagonal/>
    </border>
    <border>
      <left/>
      <right style="thin">
        <color rgb="FFDDD9C3"/>
      </right>
      <top style="thin">
        <color rgb="FFFFFFFF"/>
      </top>
      <bottom/>
      <diagonal/>
    </border>
    <border>
      <left style="thin">
        <color rgb="FFDDD9C3"/>
      </left>
      <right style="thin">
        <color rgb="FFDDD9C3"/>
      </right>
      <top/>
      <bottom/>
      <diagonal/>
    </border>
    <border>
      <left style="thin">
        <color rgb="FF000000"/>
      </left>
      <right style="thin">
        <color rgb="FFDDD9C3"/>
      </right>
      <top/>
      <bottom style="thin">
        <color rgb="FF000000"/>
      </bottom>
      <diagonal/>
    </border>
    <border>
      <left style="thin">
        <color rgb="FF000000"/>
      </left>
      <right/>
      <top style="thin">
        <color rgb="FFFFFFFF"/>
      </top>
      <bottom/>
      <diagonal/>
    </border>
    <border>
      <left style="thin">
        <color rgb="FF000000"/>
      </left>
      <right/>
      <top/>
      <bottom style="thin">
        <color rgb="FF000000"/>
      </bottom>
      <diagonal/>
    </border>
    <border>
      <left/>
      <right/>
      <top/>
      <bottom style="thin">
        <color rgb="FF000000"/>
      </bottom>
      <diagonal/>
    </border>
  </borders>
  <cellStyleXfs count="1">
    <xf numFmtId="0" fontId="0" fillId="0" borderId="0"/>
  </cellStyleXfs>
  <cellXfs count="846">
    <xf numFmtId="0" fontId="0" fillId="0" borderId="0" xfId="0"/>
    <xf numFmtId="0" fontId="1" fillId="0" borderId="0" xfId="0" applyFont="1"/>
    <xf numFmtId="0" fontId="1" fillId="0" borderId="4" xfId="0" applyFont="1" applyBorder="1"/>
    <xf numFmtId="0" fontId="2" fillId="3" borderId="0" xfId="0" applyFont="1" applyFill="1" applyAlignment="1">
      <alignment horizontal="center"/>
    </xf>
    <xf numFmtId="0" fontId="2" fillId="3" borderId="0" xfId="0" applyFont="1" applyFill="1"/>
    <xf numFmtId="0" fontId="2" fillId="0" borderId="0" xfId="0" applyFont="1"/>
    <xf numFmtId="0" fontId="1" fillId="0" borderId="5" xfId="0" applyFont="1" applyBorder="1"/>
    <xf numFmtId="0" fontId="1" fillId="4" borderId="0" xfId="0" applyFont="1" applyFill="1"/>
    <xf numFmtId="0" fontId="2" fillId="4" borderId="0" xfId="0" applyFont="1" applyFill="1" applyAlignment="1">
      <alignment horizontal="center"/>
    </xf>
    <xf numFmtId="0" fontId="2" fillId="4" borderId="0" xfId="0" applyFont="1" applyFill="1"/>
    <xf numFmtId="0" fontId="2" fillId="0" borderId="4" xfId="0" applyFont="1" applyBorder="1" applyAlignment="1">
      <alignment horizontal="center"/>
    </xf>
    <xf numFmtId="0" fontId="2" fillId="0" borderId="0" xfId="0" applyFont="1" applyAlignment="1">
      <alignment horizontal="center"/>
    </xf>
    <xf numFmtId="0" fontId="4" fillId="0" borderId="5" xfId="0" applyFont="1" applyBorder="1" applyAlignment="1">
      <alignment horizontal="right" vertical="center" textRotation="90"/>
    </xf>
    <xf numFmtId="0" fontId="4" fillId="0" borderId="5" xfId="0" applyFont="1" applyBorder="1" applyAlignment="1">
      <alignment horizontal="right" vertical="center"/>
    </xf>
    <xf numFmtId="0" fontId="1" fillId="0" borderId="6" xfId="0" applyFont="1" applyBorder="1"/>
    <xf numFmtId="0" fontId="2" fillId="0" borderId="7" xfId="0" applyFont="1" applyBorder="1"/>
    <xf numFmtId="0" fontId="1" fillId="0" borderId="7" xfId="0" applyFont="1" applyBorder="1"/>
    <xf numFmtId="0" fontId="2" fillId="0" borderId="7" xfId="0" applyFont="1" applyBorder="1" applyAlignment="1">
      <alignment horizontal="center"/>
    </xf>
    <xf numFmtId="0" fontId="1" fillId="0" borderId="8" xfId="0" applyFont="1" applyBorder="1"/>
    <xf numFmtId="0" fontId="4" fillId="4" borderId="0" xfId="0" applyFont="1" applyFill="1" applyAlignment="1">
      <alignment horizontal="right" vertical="center" textRotation="90"/>
    </xf>
    <xf numFmtId="0" fontId="1" fillId="0" borderId="0" xfId="0" applyFont="1" applyAlignment="1">
      <alignment vertical="center"/>
    </xf>
    <xf numFmtId="0" fontId="1" fillId="3" borderId="4" xfId="0" applyFont="1" applyFill="1" applyBorder="1" applyAlignment="1">
      <alignment horizontal="right"/>
    </xf>
    <xf numFmtId="0" fontId="1" fillId="4" borderId="0" xfId="0" applyFont="1" applyFill="1" applyAlignment="1">
      <alignment horizontal="left" vertical="center"/>
    </xf>
    <xf numFmtId="0" fontId="1" fillId="3" borderId="5" xfId="0" applyFont="1" applyFill="1" applyBorder="1" applyAlignment="1">
      <alignment horizontal="left"/>
    </xf>
    <xf numFmtId="0" fontId="1" fillId="4" borderId="0" xfId="0" applyFont="1" applyFill="1" applyAlignment="1">
      <alignment vertical="center"/>
    </xf>
    <xf numFmtId="0" fontId="7" fillId="4" borderId="0" xfId="0" applyFont="1" applyFill="1" applyAlignment="1">
      <alignment horizontal="left" vertical="center"/>
    </xf>
    <xf numFmtId="0" fontId="1" fillId="4" borderId="0" xfId="0" applyFont="1" applyFill="1" applyAlignment="1">
      <alignment horizontal="right"/>
    </xf>
    <xf numFmtId="0" fontId="7" fillId="0" borderId="0" xfId="0" applyFont="1"/>
    <xf numFmtId="0" fontId="7" fillId="0" borderId="0" xfId="0" applyFont="1" applyAlignment="1">
      <alignment horizontal="center"/>
    </xf>
    <xf numFmtId="0" fontId="7" fillId="0" borderId="0" xfId="0" applyFont="1" applyAlignment="1">
      <alignment wrapText="1"/>
    </xf>
    <xf numFmtId="0" fontId="10" fillId="0" borderId="0" xfId="0" applyFont="1" applyAlignment="1">
      <alignment wrapText="1"/>
    </xf>
    <xf numFmtId="0" fontId="10" fillId="0" borderId="15" xfId="0" applyFont="1" applyBorder="1" applyAlignment="1">
      <alignment horizontal="left"/>
    </xf>
    <xf numFmtId="0" fontId="14" fillId="0" borderId="16" xfId="0" applyFont="1" applyBorder="1"/>
    <xf numFmtId="0" fontId="7" fillId="0" borderId="0" xfId="0" applyFont="1" applyAlignment="1">
      <alignment horizontal="center" wrapText="1"/>
    </xf>
    <xf numFmtId="0" fontId="10" fillId="9" borderId="15" xfId="0" applyFont="1" applyFill="1" applyBorder="1" applyAlignment="1">
      <alignment horizontal="left"/>
    </xf>
    <xf numFmtId="0" fontId="10" fillId="9" borderId="17" xfId="0" applyFont="1" applyFill="1" applyBorder="1" applyAlignment="1">
      <alignment horizontal="center" wrapText="1"/>
    </xf>
    <xf numFmtId="0" fontId="7" fillId="0" borderId="17" xfId="0" applyFont="1" applyBorder="1" applyAlignment="1">
      <alignment wrapText="1"/>
    </xf>
    <xf numFmtId="169" fontId="7" fillId="0" borderId="17" xfId="0" applyNumberFormat="1" applyFont="1" applyBorder="1" applyAlignment="1">
      <alignment horizontal="center" wrapText="1"/>
    </xf>
    <xf numFmtId="167" fontId="7" fillId="0" borderId="17" xfId="0" applyNumberFormat="1" applyFont="1" applyBorder="1" applyAlignment="1">
      <alignment horizontal="center" wrapText="1"/>
    </xf>
    <xf numFmtId="0" fontId="7" fillId="0" borderId="18" xfId="0" applyFont="1" applyBorder="1" applyAlignment="1">
      <alignment wrapText="1"/>
    </xf>
    <xf numFmtId="0" fontId="7" fillId="0" borderId="18" xfId="0" applyFont="1" applyBorder="1" applyAlignment="1">
      <alignment horizontal="center" wrapText="1"/>
    </xf>
    <xf numFmtId="0" fontId="14" fillId="0" borderId="19" xfId="0" applyFont="1" applyBorder="1"/>
    <xf numFmtId="0" fontId="15" fillId="0" borderId="19" xfId="0" applyFont="1" applyBorder="1"/>
    <xf numFmtId="0" fontId="15" fillId="0" borderId="19" xfId="0" applyFont="1" applyBorder="1" applyAlignment="1">
      <alignment horizontal="center"/>
    </xf>
    <xf numFmtId="0" fontId="15" fillId="9" borderId="19" xfId="0" applyFont="1" applyFill="1" applyBorder="1"/>
    <xf numFmtId="0" fontId="15" fillId="9" borderId="20" xfId="0" applyFont="1" applyFill="1" applyBorder="1"/>
    <xf numFmtId="0" fontId="14" fillId="0" borderId="0" xfId="0" applyFont="1"/>
    <xf numFmtId="0" fontId="14" fillId="0" borderId="21" xfId="0" applyFont="1" applyBorder="1"/>
    <xf numFmtId="0" fontId="14" fillId="0" borderId="22" xfId="0" applyFont="1" applyBorder="1"/>
    <xf numFmtId="0" fontId="15" fillId="0" borderId="20" xfId="0" applyFont="1" applyBorder="1" applyAlignment="1">
      <alignment horizontal="center"/>
    </xf>
    <xf numFmtId="170" fontId="15" fillId="10" borderId="0" xfId="0" applyNumberFormat="1" applyFont="1" applyFill="1" applyAlignment="1">
      <alignment horizontal="center"/>
    </xf>
    <xf numFmtId="164" fontId="15" fillId="10" borderId="19" xfId="0" applyNumberFormat="1" applyFont="1" applyFill="1" applyBorder="1" applyAlignment="1">
      <alignment horizontal="center"/>
    </xf>
    <xf numFmtId="171" fontId="15" fillId="10" borderId="0" xfId="0" applyNumberFormat="1" applyFont="1" applyFill="1" applyAlignment="1">
      <alignment horizontal="center"/>
    </xf>
    <xf numFmtId="0" fontId="14" fillId="0" borderId="19" xfId="0" applyFont="1" applyBorder="1" applyAlignment="1">
      <alignment horizontal="center"/>
    </xf>
    <xf numFmtId="0" fontId="14" fillId="0" borderId="23" xfId="0" applyFont="1" applyBorder="1" applyAlignment="1">
      <alignment horizontal="center"/>
    </xf>
    <xf numFmtId="0" fontId="14" fillId="0" borderId="24" xfId="0" applyFont="1" applyBorder="1" applyAlignment="1">
      <alignment horizontal="center"/>
    </xf>
    <xf numFmtId="0" fontId="15" fillId="0" borderId="19" xfId="0" applyFont="1" applyBorder="1" applyAlignment="1">
      <alignment wrapText="1"/>
    </xf>
    <xf numFmtId="0" fontId="14" fillId="0" borderId="25" xfId="0" applyFont="1" applyBorder="1" applyAlignment="1">
      <alignment horizontal="center"/>
    </xf>
    <xf numFmtId="0" fontId="15" fillId="0" borderId="20" xfId="0" applyFont="1" applyBorder="1" applyAlignment="1">
      <alignment horizontal="left"/>
    </xf>
    <xf numFmtId="0" fontId="14" fillId="0" borderId="19" xfId="0" applyFont="1" applyBorder="1" applyAlignment="1">
      <alignment horizontal="left"/>
    </xf>
    <xf numFmtId="0" fontId="7" fillId="0" borderId="0" xfId="0" applyFont="1" applyAlignment="1">
      <alignment vertical="center"/>
    </xf>
    <xf numFmtId="0" fontId="1" fillId="11" borderId="0" xfId="0" applyFont="1" applyFill="1"/>
    <xf numFmtId="0" fontId="16" fillId="0" borderId="0" xfId="0" applyFont="1" applyAlignment="1">
      <alignment horizontal="left" vertical="center"/>
    </xf>
    <xf numFmtId="0" fontId="14" fillId="0" borderId="23" xfId="0" applyFont="1" applyBorder="1"/>
    <xf numFmtId="0" fontId="14" fillId="0" borderId="25" xfId="0" applyFont="1" applyBorder="1"/>
    <xf numFmtId="0" fontId="14" fillId="0" borderId="24" xfId="0" applyFont="1" applyBorder="1"/>
    <xf numFmtId="0" fontId="16" fillId="0" borderId="0" xfId="0" applyFont="1" applyAlignment="1">
      <alignment horizontal="center" vertical="center"/>
    </xf>
    <xf numFmtId="0" fontId="14" fillId="0" borderId="0" xfId="0" applyFont="1" applyAlignment="1">
      <alignment horizontal="center"/>
    </xf>
    <xf numFmtId="0" fontId="1" fillId="0" borderId="0" xfId="0" applyFont="1" applyAlignment="1">
      <alignment horizontal="right"/>
    </xf>
    <xf numFmtId="0" fontId="8" fillId="3" borderId="0" xfId="0" applyFont="1" applyFill="1"/>
    <xf numFmtId="0" fontId="7" fillId="3" borderId="0" xfId="0" applyFont="1" applyFill="1"/>
    <xf numFmtId="0" fontId="7" fillId="3" borderId="26" xfId="0" applyFont="1" applyFill="1" applyBorder="1"/>
    <xf numFmtId="0" fontId="8" fillId="3" borderId="0" xfId="0" applyFont="1" applyFill="1" applyAlignment="1">
      <alignment vertical="center"/>
    </xf>
    <xf numFmtId="0" fontId="7" fillId="3" borderId="0" xfId="0" applyFont="1" applyFill="1" applyAlignment="1">
      <alignment vertical="center"/>
    </xf>
    <xf numFmtId="0" fontId="7" fillId="3" borderId="26" xfId="0" applyFont="1" applyFill="1" applyBorder="1" applyAlignment="1">
      <alignment vertical="center"/>
    </xf>
    <xf numFmtId="0" fontId="6" fillId="3" borderId="0" xfId="0" applyFont="1" applyFill="1"/>
    <xf numFmtId="0" fontId="5" fillId="3" borderId="0" xfId="0" applyFont="1" applyFill="1"/>
    <xf numFmtId="0" fontId="5" fillId="3" borderId="26" xfId="0" applyFont="1" applyFill="1" applyBorder="1"/>
    <xf numFmtId="0" fontId="4" fillId="15" borderId="32" xfId="0" applyFont="1" applyFill="1" applyBorder="1" applyAlignment="1">
      <alignment horizontal="center" vertical="center" wrapText="1"/>
    </xf>
    <xf numFmtId="0" fontId="4" fillId="15" borderId="32" xfId="0" applyFont="1" applyFill="1" applyBorder="1" applyAlignment="1">
      <alignment horizontal="center" vertical="center"/>
    </xf>
    <xf numFmtId="17" fontId="4" fillId="15" borderId="11" xfId="0" applyNumberFormat="1" applyFont="1" applyFill="1" applyBorder="1" applyAlignment="1">
      <alignment horizontal="center" vertical="center" wrapText="1"/>
    </xf>
    <xf numFmtId="17" fontId="4" fillId="15" borderId="11" xfId="0" applyNumberFormat="1" applyFont="1" applyFill="1" applyBorder="1" applyAlignment="1">
      <alignment horizontal="center" vertical="center"/>
    </xf>
    <xf numFmtId="17" fontId="4" fillId="15" borderId="32" xfId="0" applyNumberFormat="1" applyFont="1" applyFill="1" applyBorder="1" applyAlignment="1">
      <alignment horizontal="center" vertical="center"/>
    </xf>
    <xf numFmtId="0" fontId="8" fillId="0" borderId="0" xfId="0" applyFont="1"/>
    <xf numFmtId="0" fontId="7" fillId="0" borderId="13" xfId="0" applyFont="1" applyBorder="1" applyAlignment="1">
      <alignment vertical="center"/>
    </xf>
    <xf numFmtId="3" fontId="7" fillId="0" borderId="13" xfId="0" applyNumberFormat="1" applyFont="1" applyBorder="1" applyAlignment="1">
      <alignment vertical="center"/>
    </xf>
    <xf numFmtId="14" fontId="7" fillId="0" borderId="13" xfId="0" applyNumberFormat="1" applyFont="1" applyBorder="1" applyAlignment="1">
      <alignment vertical="center"/>
    </xf>
    <xf numFmtId="165" fontId="7" fillId="0" borderId="13" xfId="0" applyNumberFormat="1" applyFont="1" applyBorder="1" applyAlignment="1">
      <alignment vertical="center"/>
    </xf>
    <xf numFmtId="0" fontId="7" fillId="0" borderId="13" xfId="0" applyFont="1" applyBorder="1" applyAlignment="1">
      <alignment horizontal="center" vertical="center"/>
    </xf>
    <xf numFmtId="174" fontId="7" fillId="0" borderId="13" xfId="0" applyNumberFormat="1" applyFont="1" applyBorder="1" applyAlignment="1">
      <alignment vertical="center"/>
    </xf>
    <xf numFmtId="0" fontId="7" fillId="0" borderId="26" xfId="0" applyFont="1" applyBorder="1"/>
    <xf numFmtId="0" fontId="1" fillId="14" borderId="33" xfId="0" applyFont="1" applyFill="1" applyBorder="1" applyAlignment="1">
      <alignment vertical="center"/>
    </xf>
    <xf numFmtId="0" fontId="1" fillId="14" borderId="34" xfId="0" applyFont="1" applyFill="1" applyBorder="1" applyAlignment="1">
      <alignment vertical="center"/>
    </xf>
    <xf numFmtId="174" fontId="1" fillId="14" borderId="34" xfId="0" applyNumberFormat="1" applyFont="1" applyFill="1" applyBorder="1" applyAlignment="1">
      <alignment vertical="center"/>
    </xf>
    <xf numFmtId="3" fontId="1" fillId="14" borderId="34" xfId="0" applyNumberFormat="1" applyFont="1" applyFill="1" applyBorder="1" applyAlignment="1">
      <alignment vertical="center"/>
    </xf>
    <xf numFmtId="0" fontId="1" fillId="3" borderId="0" xfId="0" applyFont="1" applyFill="1"/>
    <xf numFmtId="14" fontId="1" fillId="3" borderId="13" xfId="0" applyNumberFormat="1" applyFont="1" applyFill="1" applyBorder="1" applyAlignment="1">
      <alignment horizontal="right" vertical="center"/>
    </xf>
    <xf numFmtId="0" fontId="4" fillId="14" borderId="13" xfId="0" applyFont="1" applyFill="1" applyBorder="1" applyAlignment="1">
      <alignment horizontal="left" vertical="center"/>
    </xf>
    <xf numFmtId="165" fontId="1" fillId="3" borderId="13" xfId="0" applyNumberFormat="1" applyFont="1" applyFill="1" applyBorder="1" applyAlignment="1">
      <alignment horizontal="right" vertical="center"/>
    </xf>
    <xf numFmtId="0" fontId="4" fillId="3" borderId="13" xfId="0" applyFont="1" applyFill="1" applyBorder="1" applyAlignment="1">
      <alignment wrapText="1"/>
    </xf>
    <xf numFmtId="0" fontId="4" fillId="3" borderId="13" xfId="0" applyFont="1" applyFill="1" applyBorder="1" applyAlignment="1">
      <alignment horizontal="center"/>
    </xf>
    <xf numFmtId="177" fontId="14" fillId="3" borderId="13" xfId="0" applyNumberFormat="1" applyFont="1" applyFill="1" applyBorder="1"/>
    <xf numFmtId="178" fontId="14" fillId="3" borderId="13" xfId="0" applyNumberFormat="1" applyFont="1" applyFill="1" applyBorder="1"/>
    <xf numFmtId="0" fontId="1" fillId="3" borderId="13" xfId="0" applyFont="1" applyFill="1" applyBorder="1"/>
    <xf numFmtId="179" fontId="1" fillId="3" borderId="13" xfId="0" applyNumberFormat="1" applyFont="1" applyFill="1" applyBorder="1" applyAlignment="1">
      <alignment horizontal="center"/>
    </xf>
    <xf numFmtId="14" fontId="1" fillId="3" borderId="13" xfId="0" applyNumberFormat="1" applyFont="1" applyFill="1" applyBorder="1" applyAlignment="1">
      <alignment horizontal="center"/>
    </xf>
    <xf numFmtId="177" fontId="14" fillId="16" borderId="13" xfId="0" applyNumberFormat="1" applyFont="1" applyFill="1" applyBorder="1"/>
    <xf numFmtId="178" fontId="14" fillId="16" borderId="13" xfId="0" applyNumberFormat="1" applyFont="1" applyFill="1" applyBorder="1"/>
    <xf numFmtId="0" fontId="1" fillId="3" borderId="13" xfId="0" applyFont="1" applyFill="1" applyBorder="1" applyAlignment="1">
      <alignment horizontal="center"/>
    </xf>
    <xf numFmtId="0" fontId="4" fillId="14" borderId="31" xfId="0" applyFont="1" applyFill="1" applyBorder="1" applyAlignment="1">
      <alignment horizontal="center" vertical="center" wrapText="1"/>
    </xf>
    <xf numFmtId="0" fontId="18" fillId="3" borderId="0" xfId="0" applyFont="1" applyFill="1"/>
    <xf numFmtId="0" fontId="19" fillId="3" borderId="13" xfId="0" applyFont="1" applyFill="1" applyBorder="1" applyAlignment="1">
      <alignment horizontal="center" vertical="center" wrapText="1"/>
    </xf>
    <xf numFmtId="14" fontId="19" fillId="3" borderId="13" xfId="0" applyNumberFormat="1" applyFont="1" applyFill="1" applyBorder="1" applyAlignment="1">
      <alignment horizontal="center" vertical="center" wrapText="1"/>
    </xf>
    <xf numFmtId="175" fontId="19" fillId="3" borderId="13" xfId="0" applyNumberFormat="1" applyFont="1" applyFill="1" applyBorder="1" applyAlignment="1">
      <alignment horizontal="center" vertical="center" wrapText="1"/>
    </xf>
    <xf numFmtId="0" fontId="19" fillId="3" borderId="32" xfId="0" applyFont="1" applyFill="1" applyBorder="1" applyAlignment="1">
      <alignment horizontal="center" vertical="center" wrapText="1"/>
    </xf>
    <xf numFmtId="14" fontId="19" fillId="3" borderId="32" xfId="0" applyNumberFormat="1" applyFont="1" applyFill="1" applyBorder="1" applyAlignment="1">
      <alignment horizontal="center" vertical="center" wrapText="1"/>
    </xf>
    <xf numFmtId="175" fontId="19" fillId="3" borderId="32" xfId="0" applyNumberFormat="1" applyFont="1" applyFill="1" applyBorder="1" applyAlignment="1">
      <alignment horizontal="center" vertical="center" wrapText="1"/>
    </xf>
    <xf numFmtId="0" fontId="1" fillId="3" borderId="0" xfId="0" applyFont="1" applyFill="1" applyAlignment="1">
      <alignment wrapText="1"/>
    </xf>
    <xf numFmtId="0" fontId="1" fillId="3" borderId="0" xfId="0" applyFont="1" applyFill="1" applyAlignment="1">
      <alignment horizontal="center"/>
    </xf>
    <xf numFmtId="0" fontId="4" fillId="14" borderId="32" xfId="0" applyFont="1" applyFill="1" applyBorder="1" applyAlignment="1">
      <alignment horizontal="center" vertical="center" wrapText="1"/>
    </xf>
    <xf numFmtId="165" fontId="19" fillId="3" borderId="13" xfId="0" applyNumberFormat="1" applyFont="1" applyFill="1" applyBorder="1" applyAlignment="1">
      <alignment horizontal="center" vertical="center" wrapText="1"/>
    </xf>
    <xf numFmtId="49" fontId="19" fillId="3" borderId="13" xfId="0" applyNumberFormat="1" applyFont="1" applyFill="1" applyBorder="1" applyAlignment="1">
      <alignment horizontal="center" vertical="center" wrapText="1"/>
    </xf>
    <xf numFmtId="165" fontId="19" fillId="3" borderId="32" xfId="0" applyNumberFormat="1" applyFont="1" applyFill="1" applyBorder="1" applyAlignment="1">
      <alignment horizontal="center" vertical="center" wrapText="1"/>
    </xf>
    <xf numFmtId="49" fontId="19" fillId="3" borderId="32" xfId="0" applyNumberFormat="1" applyFont="1" applyFill="1" applyBorder="1" applyAlignment="1">
      <alignment horizontal="center" vertical="center" wrapText="1"/>
    </xf>
    <xf numFmtId="0" fontId="20" fillId="3" borderId="0" xfId="0" applyFont="1" applyFill="1"/>
    <xf numFmtId="0" fontId="14" fillId="3" borderId="0" xfId="0" applyFont="1" applyFill="1"/>
    <xf numFmtId="0" fontId="20" fillId="3" borderId="0" xfId="0" applyFont="1" applyFill="1" applyAlignment="1">
      <alignment wrapText="1"/>
    </xf>
    <xf numFmtId="0" fontId="20" fillId="3" borderId="4" xfId="0" applyFont="1" applyFill="1" applyBorder="1"/>
    <xf numFmtId="0" fontId="20" fillId="3" borderId="5" xfId="0" applyFont="1" applyFill="1" applyBorder="1"/>
    <xf numFmtId="0" fontId="15" fillId="14" borderId="13" xfId="0" applyFont="1" applyFill="1" applyBorder="1" applyAlignment="1">
      <alignment horizontal="center" vertical="center" wrapText="1"/>
    </xf>
    <xf numFmtId="0" fontId="15" fillId="14" borderId="13" xfId="0" applyFont="1" applyFill="1" applyBorder="1" applyAlignment="1">
      <alignment horizontal="center" vertical="center"/>
    </xf>
    <xf numFmtId="0" fontId="15" fillId="17" borderId="13" xfId="0" applyFont="1" applyFill="1" applyBorder="1" applyAlignment="1">
      <alignment horizontal="center" vertical="center"/>
    </xf>
    <xf numFmtId="0" fontId="20" fillId="3" borderId="13" xfId="0" applyFont="1" applyFill="1" applyBorder="1"/>
    <xf numFmtId="0" fontId="22" fillId="3" borderId="13" xfId="0" applyFont="1" applyFill="1" applyBorder="1"/>
    <xf numFmtId="0" fontId="14" fillId="3" borderId="13" xfId="0" applyFont="1" applyFill="1" applyBorder="1" applyAlignment="1">
      <alignment horizontal="center" vertical="center"/>
    </xf>
    <xf numFmtId="14" fontId="14" fillId="3" borderId="13" xfId="0" applyNumberFormat="1" applyFont="1" applyFill="1" applyBorder="1" applyAlignment="1">
      <alignment horizontal="center" vertical="center"/>
    </xf>
    <xf numFmtId="180" fontId="14" fillId="3" borderId="13" xfId="0" applyNumberFormat="1" applyFont="1" applyFill="1" applyBorder="1" applyAlignment="1">
      <alignment horizontal="center" vertical="center"/>
    </xf>
    <xf numFmtId="165" fontId="14" fillId="3" borderId="13" xfId="0" applyNumberFormat="1" applyFont="1" applyFill="1" applyBorder="1" applyAlignment="1">
      <alignment horizontal="center" vertical="center"/>
    </xf>
    <xf numFmtId="181" fontId="22" fillId="3" borderId="13" xfId="0" applyNumberFormat="1" applyFont="1" applyFill="1" applyBorder="1"/>
    <xf numFmtId="165" fontId="22" fillId="3" borderId="13" xfId="0" applyNumberFormat="1" applyFont="1" applyFill="1" applyBorder="1"/>
    <xf numFmtId="14" fontId="20" fillId="3" borderId="13" xfId="0" applyNumberFormat="1" applyFont="1" applyFill="1" applyBorder="1"/>
    <xf numFmtId="0" fontId="14" fillId="18" borderId="13" xfId="0" applyFont="1" applyFill="1" applyBorder="1" applyAlignment="1">
      <alignment horizontal="center" vertical="center"/>
    </xf>
    <xf numFmtId="179" fontId="20" fillId="18" borderId="13" xfId="0" applyNumberFormat="1" applyFont="1" applyFill="1" applyBorder="1"/>
    <xf numFmtId="0" fontId="20" fillId="19" borderId="13" xfId="0" applyFont="1" applyFill="1" applyBorder="1"/>
    <xf numFmtId="0" fontId="20" fillId="3" borderId="32" xfId="0" applyFont="1" applyFill="1" applyBorder="1"/>
    <xf numFmtId="0" fontId="14" fillId="3" borderId="32" xfId="0" applyFont="1" applyFill="1" applyBorder="1" applyAlignment="1">
      <alignment horizontal="center" vertical="center"/>
    </xf>
    <xf numFmtId="0" fontId="20" fillId="18" borderId="13" xfId="0" applyFont="1" applyFill="1" applyBorder="1"/>
    <xf numFmtId="165" fontId="20" fillId="3" borderId="0" xfId="0" applyNumberFormat="1" applyFont="1" applyFill="1"/>
    <xf numFmtId="0" fontId="14" fillId="0" borderId="0" xfId="0" applyFont="1" applyAlignment="1">
      <alignment vertical="center" wrapText="1"/>
    </xf>
    <xf numFmtId="0" fontId="4" fillId="14" borderId="12" xfId="0" applyFont="1" applyFill="1" applyBorder="1" applyAlignment="1">
      <alignment vertical="center" wrapText="1"/>
    </xf>
    <xf numFmtId="0" fontId="1" fillId="0" borderId="12" xfId="0" applyFont="1" applyBorder="1" applyAlignment="1">
      <alignment horizontal="right" vertical="center" wrapText="1"/>
    </xf>
    <xf numFmtId="0" fontId="4" fillId="14" borderId="13" xfId="0" applyFont="1" applyFill="1" applyBorder="1" applyAlignment="1">
      <alignment vertical="center" wrapText="1"/>
    </xf>
    <xf numFmtId="0" fontId="1" fillId="0" borderId="13" xfId="0" applyFont="1" applyBorder="1" applyAlignment="1">
      <alignment horizontal="right" vertical="center" wrapText="1"/>
    </xf>
    <xf numFmtId="176" fontId="1" fillId="0" borderId="0" xfId="0" applyNumberFormat="1" applyFont="1"/>
    <xf numFmtId="3" fontId="1" fillId="0" borderId="0" xfId="0" applyNumberFormat="1" applyFont="1"/>
    <xf numFmtId="17" fontId="1" fillId="0" borderId="0" xfId="0" applyNumberFormat="1" applyFont="1"/>
    <xf numFmtId="165" fontId="1" fillId="0" borderId="13" xfId="0" applyNumberFormat="1" applyFont="1" applyBorder="1" applyAlignment="1">
      <alignment horizontal="right" vertical="center" wrapText="1"/>
    </xf>
    <xf numFmtId="17" fontId="1" fillId="0" borderId="13" xfId="0" applyNumberFormat="1" applyFont="1" applyBorder="1" applyAlignment="1">
      <alignment horizontal="center"/>
    </xf>
    <xf numFmtId="15" fontId="1" fillId="0" borderId="13" xfId="0" applyNumberFormat="1" applyFont="1" applyBorder="1" applyAlignment="1">
      <alignment horizontal="right" vertical="center" wrapText="1"/>
    </xf>
    <xf numFmtId="165" fontId="1" fillId="0" borderId="0" xfId="0" applyNumberFormat="1" applyFont="1"/>
    <xf numFmtId="169" fontId="1" fillId="0" borderId="0" xfId="0" applyNumberFormat="1" applyFont="1"/>
    <xf numFmtId="176" fontId="1" fillId="0" borderId="13" xfId="0" applyNumberFormat="1" applyFont="1" applyBorder="1" applyAlignment="1">
      <alignment horizontal="right" vertical="center" wrapText="1"/>
    </xf>
    <xf numFmtId="0" fontId="4" fillId="14" borderId="12" xfId="0" applyFont="1" applyFill="1" applyBorder="1" applyAlignment="1">
      <alignment horizontal="center" vertical="center" wrapText="1"/>
    </xf>
    <xf numFmtId="0" fontId="4" fillId="14" borderId="12" xfId="0" applyFont="1" applyFill="1" applyBorder="1" applyAlignment="1">
      <alignment horizontal="center"/>
    </xf>
    <xf numFmtId="0" fontId="4" fillId="14" borderId="6" xfId="0" applyFont="1" applyFill="1" applyBorder="1" applyAlignment="1">
      <alignment horizontal="center"/>
    </xf>
    <xf numFmtId="176" fontId="1" fillId="0" borderId="13" xfId="0" applyNumberFormat="1" applyFont="1" applyBorder="1" applyAlignment="1">
      <alignment vertical="center" wrapText="1"/>
    </xf>
    <xf numFmtId="3" fontId="1" fillId="0" borderId="13" xfId="0" applyNumberFormat="1" applyFont="1" applyBorder="1" applyAlignment="1">
      <alignment horizontal="center" vertical="center" wrapText="1"/>
    </xf>
    <xf numFmtId="0" fontId="1" fillId="0" borderId="1" xfId="0" applyFont="1" applyBorder="1" applyAlignment="1">
      <alignment horizontal="center"/>
    </xf>
    <xf numFmtId="0" fontId="1" fillId="0" borderId="13" xfId="0" applyFont="1" applyBorder="1" applyAlignment="1">
      <alignment horizontal="center"/>
    </xf>
    <xf numFmtId="14" fontId="1" fillId="0" borderId="13" xfId="0" applyNumberFormat="1" applyFont="1" applyBorder="1"/>
    <xf numFmtId="165" fontId="14" fillId="0" borderId="13" xfId="0" applyNumberFormat="1" applyFont="1" applyBorder="1"/>
    <xf numFmtId="176" fontId="14" fillId="0" borderId="0" xfId="0" applyNumberFormat="1" applyFont="1"/>
    <xf numFmtId="0" fontId="14" fillId="21" borderId="0" xfId="0" applyFont="1" applyFill="1"/>
    <xf numFmtId="0" fontId="14" fillId="22" borderId="13" xfId="0" applyFont="1" applyFill="1" applyBorder="1"/>
    <xf numFmtId="0" fontId="14" fillId="23" borderId="13" xfId="0" applyFont="1" applyFill="1" applyBorder="1"/>
    <xf numFmtId="0" fontId="14" fillId="24" borderId="13" xfId="0" applyFont="1" applyFill="1" applyBorder="1"/>
    <xf numFmtId="0" fontId="14" fillId="25" borderId="13" xfId="0" applyFont="1" applyFill="1" applyBorder="1"/>
    <xf numFmtId="14" fontId="14" fillId="25" borderId="13" xfId="0" applyNumberFormat="1" applyFont="1" applyFill="1" applyBorder="1"/>
    <xf numFmtId="179" fontId="14" fillId="25" borderId="13" xfId="0" applyNumberFormat="1" applyFont="1" applyFill="1" applyBorder="1"/>
    <xf numFmtId="165" fontId="14" fillId="21" borderId="13" xfId="0" applyNumberFormat="1" applyFont="1" applyFill="1" applyBorder="1"/>
    <xf numFmtId="0" fontId="20" fillId="0" borderId="0" xfId="0" applyFont="1"/>
    <xf numFmtId="0" fontId="24" fillId="0" borderId="0" xfId="0" applyFont="1" applyAlignment="1">
      <alignment horizontal="center" vertical="center" wrapText="1"/>
    </xf>
    <xf numFmtId="176" fontId="14" fillId="0" borderId="0" xfId="0" applyNumberFormat="1" applyFont="1" applyAlignment="1">
      <alignment horizontal="left" vertical="center"/>
    </xf>
    <xf numFmtId="0" fontId="14" fillId="0" borderId="0" xfId="0" applyFont="1" applyAlignment="1">
      <alignment horizontal="left" vertical="center"/>
    </xf>
    <xf numFmtId="0" fontId="24" fillId="27" borderId="13" xfId="0" applyFont="1" applyFill="1" applyBorder="1" applyAlignment="1">
      <alignment horizontal="left" vertical="top" wrapText="1"/>
    </xf>
    <xf numFmtId="0" fontId="25" fillId="0" borderId="13" xfId="0" applyFont="1" applyBorder="1" applyAlignment="1">
      <alignment horizontal="left" vertical="top" wrapText="1"/>
    </xf>
    <xf numFmtId="0" fontId="29" fillId="12" borderId="13" xfId="0" applyFont="1" applyFill="1" applyBorder="1" applyAlignment="1">
      <alignment vertical="center"/>
    </xf>
    <xf numFmtId="182" fontId="15" fillId="16" borderId="13" xfId="0" applyNumberFormat="1" applyFont="1" applyFill="1" applyBorder="1" applyAlignment="1">
      <alignment horizontal="center" vertical="center"/>
    </xf>
    <xf numFmtId="0" fontId="22" fillId="3" borderId="0" xfId="0" applyFont="1" applyFill="1"/>
    <xf numFmtId="0" fontId="15" fillId="3" borderId="4" xfId="0" applyFont="1" applyFill="1" applyBorder="1"/>
    <xf numFmtId="183" fontId="15" fillId="16" borderId="13" xfId="0" applyNumberFormat="1" applyFont="1" applyFill="1" applyBorder="1" applyAlignment="1">
      <alignment horizontal="left" vertical="center"/>
    </xf>
    <xf numFmtId="0" fontId="15" fillId="16" borderId="36" xfId="0" applyFont="1" applyFill="1" applyBorder="1" applyAlignment="1">
      <alignment horizontal="left" vertical="center"/>
    </xf>
    <xf numFmtId="184" fontId="14" fillId="3" borderId="36" xfId="0" applyNumberFormat="1" applyFont="1" applyFill="1" applyBorder="1" applyAlignment="1">
      <alignment horizontal="right" vertical="center"/>
    </xf>
    <xf numFmtId="0" fontId="20" fillId="3" borderId="0" xfId="0" applyFont="1" applyFill="1" applyAlignment="1">
      <alignment vertical="center"/>
    </xf>
    <xf numFmtId="0" fontId="20" fillId="3" borderId="4" xfId="0" applyFont="1" applyFill="1" applyBorder="1" applyAlignment="1">
      <alignment vertical="center"/>
    </xf>
    <xf numFmtId="185" fontId="31" fillId="13" borderId="38" xfId="0" applyNumberFormat="1" applyFont="1" applyFill="1" applyBorder="1" applyAlignment="1">
      <alignment vertical="center"/>
    </xf>
    <xf numFmtId="185" fontId="31" fillId="13" borderId="39" xfId="0" applyNumberFormat="1" applyFont="1" applyFill="1" applyBorder="1" applyAlignment="1">
      <alignment vertical="center"/>
    </xf>
    <xf numFmtId="0" fontId="20" fillId="3" borderId="5" xfId="0" applyFont="1" applyFill="1" applyBorder="1" applyAlignment="1">
      <alignment vertical="center"/>
    </xf>
    <xf numFmtId="0" fontId="22" fillId="3" borderId="0" xfId="0" applyFont="1" applyFill="1" applyAlignment="1">
      <alignment horizontal="left" vertical="center"/>
    </xf>
    <xf numFmtId="0" fontId="15" fillId="3" borderId="2" xfId="0" applyFont="1" applyFill="1" applyBorder="1" applyAlignment="1">
      <alignment horizontal="center"/>
    </xf>
    <xf numFmtId="0" fontId="14" fillId="3" borderId="5" xfId="0" applyFont="1" applyFill="1" applyBorder="1"/>
    <xf numFmtId="0" fontId="14" fillId="3" borderId="0" xfId="0" applyFont="1" applyFill="1" applyAlignment="1">
      <alignment vertical="center"/>
    </xf>
    <xf numFmtId="0" fontId="14" fillId="3" borderId="4" xfId="0" applyFont="1" applyFill="1" applyBorder="1" applyAlignment="1">
      <alignment vertical="center"/>
    </xf>
    <xf numFmtId="185" fontId="14" fillId="3" borderId="38" xfId="0" applyNumberFormat="1" applyFont="1" applyFill="1" applyBorder="1" applyAlignment="1">
      <alignment vertical="center"/>
    </xf>
    <xf numFmtId="185" fontId="14" fillId="3" borderId="39" xfId="0" applyNumberFormat="1" applyFont="1" applyFill="1" applyBorder="1" applyAlignment="1">
      <alignment vertical="center"/>
    </xf>
    <xf numFmtId="0" fontId="14" fillId="3" borderId="5" xfId="0" applyFont="1" applyFill="1" applyBorder="1" applyAlignment="1">
      <alignment vertical="center"/>
    </xf>
    <xf numFmtId="185" fontId="14" fillId="3" borderId="41" xfId="0" applyNumberFormat="1" applyFont="1" applyFill="1" applyBorder="1" applyAlignment="1">
      <alignment vertical="center"/>
    </xf>
    <xf numFmtId="185" fontId="14" fillId="3" borderId="42" xfId="0" applyNumberFormat="1" applyFont="1" applyFill="1" applyBorder="1" applyAlignment="1">
      <alignment vertical="center"/>
    </xf>
    <xf numFmtId="0" fontId="20" fillId="3" borderId="10" xfId="0" applyFont="1" applyFill="1" applyBorder="1"/>
    <xf numFmtId="0" fontId="20" fillId="3" borderId="11" xfId="0" applyFont="1" applyFill="1" applyBorder="1"/>
    <xf numFmtId="0" fontId="20" fillId="3" borderId="4" xfId="0" applyFont="1" applyFill="1" applyBorder="1" applyAlignment="1">
      <alignment horizontal="left"/>
    </xf>
    <xf numFmtId="0" fontId="33" fillId="3" borderId="0" xfId="0" applyFont="1" applyFill="1" applyAlignment="1">
      <alignment wrapText="1"/>
    </xf>
    <xf numFmtId="184" fontId="14" fillId="3" borderId="0" xfId="0" applyNumberFormat="1" applyFont="1" applyFill="1"/>
    <xf numFmtId="184" fontId="14" fillId="3" borderId="5" xfId="0" applyNumberFormat="1" applyFont="1" applyFill="1" applyBorder="1"/>
    <xf numFmtId="0" fontId="14" fillId="3" borderId="4" xfId="0" applyFont="1" applyFill="1" applyBorder="1"/>
    <xf numFmtId="0" fontId="14" fillId="3" borderId="10" xfId="0" applyFont="1" applyFill="1" applyBorder="1"/>
    <xf numFmtId="184" fontId="14" fillId="3" borderId="10" xfId="0" applyNumberFormat="1" applyFont="1" applyFill="1" applyBorder="1" applyAlignment="1">
      <alignment wrapText="1"/>
    </xf>
    <xf numFmtId="184" fontId="14" fillId="3" borderId="11" xfId="0" applyNumberFormat="1" applyFont="1" applyFill="1" applyBorder="1" applyAlignment="1">
      <alignment wrapText="1"/>
    </xf>
    <xf numFmtId="0" fontId="25" fillId="3" borderId="0" xfId="0" applyFont="1" applyFill="1"/>
    <xf numFmtId="0" fontId="25" fillId="3" borderId="4" xfId="0" applyFont="1" applyFill="1" applyBorder="1"/>
    <xf numFmtId="0" fontId="25" fillId="3" borderId="10" xfId="0" applyFont="1" applyFill="1" applyBorder="1"/>
    <xf numFmtId="0" fontId="25" fillId="3" borderId="44" xfId="0" applyFont="1" applyFill="1" applyBorder="1" applyAlignment="1">
      <alignment wrapText="1"/>
    </xf>
    <xf numFmtId="184" fontId="25" fillId="3" borderId="45" xfId="0" applyNumberFormat="1" applyFont="1" applyFill="1" applyBorder="1"/>
    <xf numFmtId="184" fontId="25" fillId="3" borderId="10" xfId="0" applyNumberFormat="1" applyFont="1" applyFill="1" applyBorder="1"/>
    <xf numFmtId="184" fontId="25" fillId="3" borderId="11" xfId="0" applyNumberFormat="1" applyFont="1" applyFill="1" applyBorder="1"/>
    <xf numFmtId="0" fontId="25" fillId="3" borderId="5" xfId="0" applyFont="1" applyFill="1" applyBorder="1"/>
    <xf numFmtId="0" fontId="25" fillId="3" borderId="43" xfId="0" applyFont="1" applyFill="1" applyBorder="1" applyAlignment="1">
      <alignment wrapText="1"/>
    </xf>
    <xf numFmtId="184" fontId="25" fillId="3" borderId="0" xfId="0" applyNumberFormat="1" applyFont="1" applyFill="1"/>
    <xf numFmtId="184" fontId="25" fillId="3" borderId="5" xfId="0" applyNumberFormat="1" applyFont="1" applyFill="1" applyBorder="1"/>
    <xf numFmtId="184" fontId="14" fillId="3" borderId="0" xfId="0" applyNumberFormat="1" applyFont="1" applyFill="1" applyAlignment="1">
      <alignment wrapText="1"/>
    </xf>
    <xf numFmtId="184" fontId="14" fillId="3" borderId="5" xfId="0" applyNumberFormat="1" applyFont="1" applyFill="1" applyBorder="1" applyAlignment="1">
      <alignment wrapText="1"/>
    </xf>
    <xf numFmtId="184" fontId="25" fillId="3" borderId="7" xfId="0" applyNumberFormat="1" applyFont="1" applyFill="1" applyBorder="1"/>
    <xf numFmtId="184" fontId="25" fillId="3" borderId="8" xfId="0" applyNumberFormat="1" applyFont="1" applyFill="1" applyBorder="1"/>
    <xf numFmtId="184" fontId="32" fillId="16" borderId="38" xfId="0" applyNumberFormat="1" applyFont="1" applyFill="1" applyBorder="1"/>
    <xf numFmtId="184" fontId="32" fillId="16" borderId="39" xfId="0" applyNumberFormat="1" applyFont="1" applyFill="1" applyBorder="1"/>
    <xf numFmtId="0" fontId="20" fillId="3" borderId="9" xfId="0" applyFont="1" applyFill="1" applyBorder="1"/>
    <xf numFmtId="0" fontId="32" fillId="3" borderId="4" xfId="0" applyFont="1" applyFill="1" applyBorder="1"/>
    <xf numFmtId="0" fontId="32" fillId="3" borderId="0" xfId="0" applyFont="1" applyFill="1"/>
    <xf numFmtId="184" fontId="25" fillId="3" borderId="46" xfId="0" applyNumberFormat="1" applyFont="1" applyFill="1" applyBorder="1"/>
    <xf numFmtId="0" fontId="25" fillId="3" borderId="10" xfId="0" applyFont="1" applyFill="1" applyBorder="1" applyAlignment="1">
      <alignment wrapText="1"/>
    </xf>
    <xf numFmtId="0" fontId="25" fillId="3" borderId="0" xfId="0" applyFont="1" applyFill="1" applyAlignment="1">
      <alignment wrapText="1"/>
    </xf>
    <xf numFmtId="0" fontId="25" fillId="3" borderId="7" xfId="0" applyFont="1" applyFill="1" applyBorder="1"/>
    <xf numFmtId="0" fontId="25" fillId="3" borderId="7" xfId="0" applyFont="1" applyFill="1" applyBorder="1" applyAlignment="1">
      <alignment wrapText="1"/>
    </xf>
    <xf numFmtId="0" fontId="25" fillId="3" borderId="35" xfId="0" applyFont="1" applyFill="1" applyBorder="1" applyAlignment="1">
      <alignment wrapText="1"/>
    </xf>
    <xf numFmtId="184" fontId="14" fillId="3" borderId="10" xfId="0" applyNumberFormat="1" applyFont="1" applyFill="1" applyBorder="1"/>
    <xf numFmtId="184" fontId="14" fillId="3" borderId="11" xfId="0" applyNumberFormat="1" applyFont="1" applyFill="1" applyBorder="1"/>
    <xf numFmtId="0" fontId="25" fillId="3" borderId="9" xfId="0" applyFont="1" applyFill="1" applyBorder="1"/>
    <xf numFmtId="0" fontId="25" fillId="3" borderId="10" xfId="0" applyFont="1" applyFill="1" applyBorder="1" applyAlignment="1">
      <alignment horizontal="left" wrapText="1"/>
    </xf>
    <xf numFmtId="0" fontId="25" fillId="3" borderId="44" xfId="0" applyFont="1" applyFill="1" applyBorder="1" applyAlignment="1">
      <alignment horizontal="left" wrapText="1"/>
    </xf>
    <xf numFmtId="0" fontId="25" fillId="3" borderId="4" xfId="0" applyFont="1" applyFill="1" applyBorder="1" applyAlignment="1">
      <alignment wrapText="1"/>
    </xf>
    <xf numFmtId="0" fontId="25" fillId="3" borderId="0" xfId="0" applyFont="1" applyFill="1" applyAlignment="1">
      <alignment horizontal="left" wrapText="1"/>
    </xf>
    <xf numFmtId="0" fontId="25" fillId="3" borderId="43" xfId="0" applyFont="1" applyFill="1" applyBorder="1" applyAlignment="1">
      <alignment horizontal="left" wrapText="1"/>
    </xf>
    <xf numFmtId="0" fontId="33" fillId="3" borderId="4" xfId="0" applyFont="1" applyFill="1" applyBorder="1" applyAlignment="1">
      <alignment wrapText="1"/>
    </xf>
    <xf numFmtId="184" fontId="25" fillId="3" borderId="47" xfId="0" applyNumberFormat="1" applyFont="1" applyFill="1" applyBorder="1"/>
    <xf numFmtId="0" fontId="14" fillId="3" borderId="6" xfId="0" applyFont="1" applyFill="1" applyBorder="1"/>
    <xf numFmtId="0" fontId="25" fillId="3" borderId="6" xfId="0" applyFont="1" applyFill="1" applyBorder="1"/>
    <xf numFmtId="184" fontId="32" fillId="16" borderId="49" xfId="0" applyNumberFormat="1" applyFont="1" applyFill="1" applyBorder="1"/>
    <xf numFmtId="184" fontId="25" fillId="3" borderId="50" xfId="0" applyNumberFormat="1" applyFont="1" applyFill="1" applyBorder="1"/>
    <xf numFmtId="184" fontId="14" fillId="0" borderId="0" xfId="0" applyNumberFormat="1" applyFont="1" applyAlignment="1">
      <alignment wrapText="1"/>
    </xf>
    <xf numFmtId="184" fontId="32" fillId="16" borderId="51" xfId="0" applyNumberFormat="1" applyFont="1" applyFill="1" applyBorder="1"/>
    <xf numFmtId="3" fontId="14" fillId="3" borderId="5" xfId="0" applyNumberFormat="1" applyFont="1" applyFill="1" applyBorder="1"/>
    <xf numFmtId="169" fontId="14" fillId="3" borderId="0" xfId="0" applyNumberFormat="1" applyFont="1" applyFill="1" applyAlignment="1">
      <alignment horizontal="right"/>
    </xf>
    <xf numFmtId="169" fontId="14" fillId="3" borderId="5" xfId="0" applyNumberFormat="1" applyFont="1" applyFill="1" applyBorder="1" applyAlignment="1">
      <alignment horizontal="right"/>
    </xf>
    <xf numFmtId="179" fontId="14" fillId="3" borderId="0" xfId="0" applyNumberFormat="1" applyFont="1" applyFill="1"/>
    <xf numFmtId="179" fontId="35" fillId="3" borderId="4" xfId="0" applyNumberFormat="1" applyFont="1" applyFill="1" applyBorder="1"/>
    <xf numFmtId="0" fontId="35" fillId="3" borderId="4" xfId="0" applyFont="1" applyFill="1" applyBorder="1"/>
    <xf numFmtId="179" fontId="35" fillId="3" borderId="5" xfId="0" applyNumberFormat="1" applyFont="1" applyFill="1" applyBorder="1"/>
    <xf numFmtId="179" fontId="35" fillId="3" borderId="0" xfId="0" applyNumberFormat="1" applyFont="1" applyFill="1"/>
    <xf numFmtId="0" fontId="35" fillId="3" borderId="0" xfId="0" applyFont="1" applyFill="1"/>
    <xf numFmtId="0" fontId="35" fillId="3" borderId="5" xfId="0" applyFont="1" applyFill="1" applyBorder="1"/>
    <xf numFmtId="184" fontId="32" fillId="16" borderId="2" xfId="0" applyNumberFormat="1" applyFont="1" applyFill="1" applyBorder="1"/>
    <xf numFmtId="184" fontId="32" fillId="16" borderId="3" xfId="0" applyNumberFormat="1" applyFont="1" applyFill="1" applyBorder="1"/>
    <xf numFmtId="0" fontId="20" fillId="3" borderId="6" xfId="0" applyFont="1" applyFill="1" applyBorder="1"/>
    <xf numFmtId="184" fontId="15" fillId="3" borderId="0" xfId="0" applyNumberFormat="1" applyFont="1" applyFill="1"/>
    <xf numFmtId="184" fontId="15" fillId="3" borderId="5" xfId="0" applyNumberFormat="1" applyFont="1" applyFill="1" applyBorder="1"/>
    <xf numFmtId="0" fontId="20" fillId="3" borderId="7" xfId="0" applyFont="1" applyFill="1" applyBorder="1"/>
    <xf numFmtId="0" fontId="35" fillId="3" borderId="7" xfId="0" applyFont="1" applyFill="1" applyBorder="1" applyAlignment="1">
      <alignment wrapText="1"/>
    </xf>
    <xf numFmtId="165" fontId="35" fillId="3" borderId="7" xfId="0" applyNumberFormat="1" applyFont="1" applyFill="1" applyBorder="1"/>
    <xf numFmtId="165" fontId="35" fillId="3" borderId="8" xfId="0" applyNumberFormat="1" applyFont="1" applyFill="1" applyBorder="1"/>
    <xf numFmtId="185" fontId="31" fillId="13" borderId="57" xfId="0" applyNumberFormat="1" applyFont="1" applyFill="1" applyBorder="1" applyAlignment="1">
      <alignment vertical="center"/>
    </xf>
    <xf numFmtId="185" fontId="31" fillId="13" borderId="58" xfId="0" applyNumberFormat="1" applyFont="1" applyFill="1" applyBorder="1" applyAlignment="1">
      <alignment vertical="center"/>
    </xf>
    <xf numFmtId="3" fontId="38" fillId="3" borderId="10" xfId="0" applyNumberFormat="1" applyFont="1" applyFill="1" applyBorder="1" applyAlignment="1">
      <alignment wrapText="1"/>
    </xf>
    <xf numFmtId="3" fontId="35" fillId="3" borderId="10" xfId="0" applyNumberFormat="1" applyFont="1" applyFill="1" applyBorder="1" applyAlignment="1">
      <alignment horizontal="center"/>
    </xf>
    <xf numFmtId="3" fontId="35" fillId="3" borderId="11" xfId="0" applyNumberFormat="1" applyFont="1" applyFill="1" applyBorder="1" applyAlignment="1">
      <alignment horizontal="center"/>
    </xf>
    <xf numFmtId="0" fontId="32" fillId="3" borderId="4" xfId="0" applyFont="1" applyFill="1" applyBorder="1" applyAlignment="1">
      <alignment horizontal="left"/>
    </xf>
    <xf numFmtId="0" fontId="14" fillId="3" borderId="0" xfId="0" applyFont="1" applyFill="1" applyAlignment="1">
      <alignment wrapText="1"/>
    </xf>
    <xf numFmtId="3" fontId="38" fillId="3" borderId="0" xfId="0" applyNumberFormat="1" applyFont="1" applyFill="1" applyAlignment="1">
      <alignment wrapText="1"/>
    </xf>
    <xf numFmtId="3" fontId="35" fillId="3" borderId="0" xfId="0" applyNumberFormat="1" applyFont="1" applyFill="1" applyAlignment="1">
      <alignment horizontal="center"/>
    </xf>
    <xf numFmtId="3" fontId="35" fillId="3" borderId="5" xfId="0" applyNumberFormat="1" applyFont="1" applyFill="1" applyBorder="1" applyAlignment="1">
      <alignment horizontal="center"/>
    </xf>
    <xf numFmtId="0" fontId="14" fillId="3" borderId="4" xfId="0" applyFont="1" applyFill="1" applyBorder="1" applyAlignment="1">
      <alignment wrapText="1"/>
    </xf>
    <xf numFmtId="184" fontId="14" fillId="3" borderId="7" xfId="0" applyNumberFormat="1" applyFont="1" applyFill="1" applyBorder="1" applyAlignment="1">
      <alignment wrapText="1"/>
    </xf>
    <xf numFmtId="184" fontId="14" fillId="3" borderId="8" xfId="0" applyNumberFormat="1" applyFont="1" applyFill="1" applyBorder="1" applyAlignment="1">
      <alignment wrapText="1"/>
    </xf>
    <xf numFmtId="0" fontId="33" fillId="3" borderId="6" xfId="0" applyFont="1" applyFill="1" applyBorder="1" applyAlignment="1">
      <alignment wrapText="1"/>
    </xf>
    <xf numFmtId="0" fontId="25" fillId="3" borderId="43" xfId="0" applyFont="1" applyFill="1" applyBorder="1"/>
    <xf numFmtId="184" fontId="32" fillId="14" borderId="38" xfId="0" applyNumberFormat="1" applyFont="1" applyFill="1" applyBorder="1"/>
    <xf numFmtId="184" fontId="32" fillId="14" borderId="39" xfId="0" applyNumberFormat="1" applyFont="1" applyFill="1" applyBorder="1"/>
    <xf numFmtId="184" fontId="24" fillId="3" borderId="10" xfId="0" applyNumberFormat="1" applyFont="1" applyFill="1" applyBorder="1"/>
    <xf numFmtId="184" fontId="24" fillId="3" borderId="11" xfId="0" applyNumberFormat="1" applyFont="1" applyFill="1" applyBorder="1"/>
    <xf numFmtId="0" fontId="14" fillId="3" borderId="43" xfId="0" applyFont="1" applyFill="1" applyBorder="1" applyAlignment="1">
      <alignment wrapText="1"/>
    </xf>
    <xf numFmtId="184" fontId="14" fillId="3" borderId="0" xfId="0" applyNumberFormat="1" applyFont="1" applyFill="1" applyAlignment="1">
      <alignment horizontal="right"/>
    </xf>
    <xf numFmtId="184" fontId="14" fillId="3" borderId="5" xfId="0" applyNumberFormat="1" applyFont="1" applyFill="1" applyBorder="1" applyAlignment="1">
      <alignment horizontal="right"/>
    </xf>
    <xf numFmtId="0" fontId="24" fillId="3" borderId="0" xfId="0" applyFont="1" applyFill="1" applyAlignment="1">
      <alignment wrapText="1"/>
    </xf>
    <xf numFmtId="184" fontId="38" fillId="3" borderId="0" xfId="0" applyNumberFormat="1" applyFont="1" applyFill="1" applyAlignment="1">
      <alignment wrapText="1"/>
    </xf>
    <xf numFmtId="184" fontId="38" fillId="3" borderId="0" xfId="0" applyNumberFormat="1" applyFont="1" applyFill="1"/>
    <xf numFmtId="184" fontId="25" fillId="3" borderId="64" xfId="0" applyNumberFormat="1" applyFont="1" applyFill="1" applyBorder="1"/>
    <xf numFmtId="184" fontId="25" fillId="3" borderId="65" xfId="0" applyNumberFormat="1" applyFont="1" applyFill="1" applyBorder="1"/>
    <xf numFmtId="0" fontId="35" fillId="3" borderId="0" xfId="0" applyFont="1" applyFill="1" applyAlignment="1">
      <alignment wrapText="1"/>
    </xf>
    <xf numFmtId="0" fontId="39" fillId="3" borderId="4" xfId="0" applyFont="1" applyFill="1" applyBorder="1"/>
    <xf numFmtId="0" fontId="39" fillId="3" borderId="5" xfId="0" applyFont="1" applyFill="1" applyBorder="1"/>
    <xf numFmtId="0" fontId="39" fillId="3" borderId="0" xfId="0" applyFont="1" applyFill="1" applyAlignment="1">
      <alignment wrapText="1"/>
    </xf>
    <xf numFmtId="0" fontId="39" fillId="3" borderId="0" xfId="0" applyFont="1" applyFill="1"/>
    <xf numFmtId="0" fontId="14" fillId="3" borderId="0" xfId="0" applyFont="1" applyFill="1" applyAlignment="1">
      <alignment horizontal="right" wrapText="1"/>
    </xf>
    <xf numFmtId="0" fontId="14" fillId="3" borderId="43" xfId="0" applyFont="1" applyFill="1" applyBorder="1"/>
    <xf numFmtId="184" fontId="14" fillId="3" borderId="0" xfId="0" applyNumberFormat="1" applyFont="1" applyFill="1" applyAlignment="1">
      <alignment horizontal="right" wrapText="1"/>
    </xf>
    <xf numFmtId="184" fontId="14" fillId="3" borderId="5" xfId="0" applyNumberFormat="1" applyFont="1" applyFill="1" applyBorder="1" applyAlignment="1">
      <alignment horizontal="right" wrapText="1"/>
    </xf>
    <xf numFmtId="184" fontId="14" fillId="3" borderId="7" xfId="0" applyNumberFormat="1" applyFont="1" applyFill="1" applyBorder="1" applyAlignment="1">
      <alignment horizontal="right"/>
    </xf>
    <xf numFmtId="184" fontId="14" fillId="3" borderId="8" xfId="0" applyNumberFormat="1" applyFont="1" applyFill="1" applyBorder="1" applyAlignment="1">
      <alignment horizontal="right"/>
    </xf>
    <xf numFmtId="0" fontId="20" fillId="3" borderId="7" xfId="0" applyFont="1" applyFill="1" applyBorder="1" applyAlignment="1">
      <alignment wrapText="1"/>
    </xf>
    <xf numFmtId="0" fontId="20" fillId="3" borderId="8" xfId="0" applyFont="1" applyFill="1" applyBorder="1"/>
    <xf numFmtId="0" fontId="14" fillId="0" borderId="26" xfId="0" applyFont="1" applyBorder="1" applyAlignment="1">
      <alignment vertical="center"/>
    </xf>
    <xf numFmtId="0" fontId="14" fillId="0" borderId="69" xfId="0" applyFont="1" applyBorder="1" applyAlignment="1">
      <alignment vertical="center"/>
    </xf>
    <xf numFmtId="0" fontId="14" fillId="0" borderId="73" xfId="0" applyFont="1" applyBorder="1" applyAlignment="1">
      <alignment vertical="center"/>
    </xf>
    <xf numFmtId="0" fontId="29" fillId="30" borderId="74" xfId="0" applyFont="1" applyFill="1" applyBorder="1" applyAlignment="1">
      <alignment horizontal="center" vertical="center"/>
    </xf>
    <xf numFmtId="0" fontId="29" fillId="30" borderId="75" xfId="0" applyFont="1" applyFill="1" applyBorder="1" applyAlignment="1">
      <alignment horizontal="center" vertical="center"/>
    </xf>
    <xf numFmtId="17" fontId="29" fillId="30" borderId="75" xfId="0" applyNumberFormat="1" applyFont="1" applyFill="1" applyBorder="1" applyAlignment="1">
      <alignment horizontal="center" vertical="center"/>
    </xf>
    <xf numFmtId="0" fontId="29" fillId="30" borderId="76" xfId="0" applyFont="1" applyFill="1" applyBorder="1" applyAlignment="1">
      <alignment horizontal="center" vertical="center"/>
    </xf>
    <xf numFmtId="0" fontId="15" fillId="14" borderId="77" xfId="0" applyFont="1" applyFill="1" applyBorder="1" applyAlignment="1">
      <alignment vertical="center"/>
    </xf>
    <xf numFmtId="0" fontId="15" fillId="14" borderId="78" xfId="0" applyFont="1" applyFill="1" applyBorder="1" applyAlignment="1">
      <alignment vertical="center"/>
    </xf>
    <xf numFmtId="186" fontId="14" fillId="0" borderId="78" xfId="0" applyNumberFormat="1" applyFont="1" applyBorder="1" applyAlignment="1">
      <alignment vertical="center"/>
    </xf>
    <xf numFmtId="187" fontId="14" fillId="0" borderId="78" xfId="0" applyNumberFormat="1" applyFont="1" applyBorder="1" applyAlignment="1">
      <alignment horizontal="right" vertical="center"/>
    </xf>
    <xf numFmtId="0" fontId="14" fillId="0" borderId="33" xfId="0" applyFont="1" applyBorder="1" applyAlignment="1">
      <alignment vertical="center"/>
    </xf>
    <xf numFmtId="0" fontId="15" fillId="14" borderId="79" xfId="0" applyFont="1" applyFill="1" applyBorder="1" applyAlignment="1">
      <alignment vertical="center"/>
    </xf>
    <xf numFmtId="0" fontId="15" fillId="14" borderId="80" xfId="0" applyFont="1" applyFill="1" applyBorder="1" applyAlignment="1">
      <alignment vertical="center"/>
    </xf>
    <xf numFmtId="186" fontId="14" fillId="0" borderId="80" xfId="0" applyNumberFormat="1" applyFont="1" applyBorder="1" applyAlignment="1">
      <alignment vertical="center"/>
    </xf>
    <xf numFmtId="187" fontId="14" fillId="0" borderId="80" xfId="0" applyNumberFormat="1" applyFont="1" applyBorder="1" applyAlignment="1">
      <alignment horizontal="right" vertical="center"/>
    </xf>
    <xf numFmtId="0" fontId="14" fillId="0" borderId="81" xfId="0" applyFont="1" applyBorder="1" applyAlignment="1">
      <alignment vertical="center"/>
    </xf>
    <xf numFmtId="0" fontId="14" fillId="0" borderId="82" xfId="0" applyFont="1" applyBorder="1" applyAlignment="1">
      <alignment vertical="center"/>
    </xf>
    <xf numFmtId="0" fontId="29" fillId="13" borderId="12" xfId="0" applyFont="1" applyFill="1" applyBorder="1" applyAlignment="1">
      <alignment horizontal="center" vertical="center"/>
    </xf>
    <xf numFmtId="17" fontId="29" fillId="13" borderId="12" xfId="0" applyNumberFormat="1" applyFont="1" applyFill="1" applyBorder="1" applyAlignment="1">
      <alignment horizontal="center" vertical="center"/>
    </xf>
    <xf numFmtId="186" fontId="14" fillId="0" borderId="78" xfId="0" applyNumberFormat="1" applyFont="1" applyBorder="1" applyAlignment="1">
      <alignment horizontal="right" vertical="center"/>
    </xf>
    <xf numFmtId="186" fontId="14" fillId="0" borderId="80" xfId="0" applyNumberFormat="1" applyFont="1" applyBorder="1" applyAlignment="1">
      <alignment horizontal="right" vertical="center"/>
    </xf>
    <xf numFmtId="0" fontId="14" fillId="0" borderId="83" xfId="0" applyFont="1" applyBorder="1" applyAlignment="1">
      <alignment vertical="center"/>
    </xf>
    <xf numFmtId="177" fontId="15" fillId="3" borderId="0" xfId="0" applyNumberFormat="1" applyFont="1" applyFill="1"/>
    <xf numFmtId="182" fontId="25" fillId="3" borderId="10" xfId="0" applyNumberFormat="1" applyFont="1" applyFill="1" applyBorder="1"/>
    <xf numFmtId="184" fontId="14" fillId="3" borderId="7" xfId="0" applyNumberFormat="1" applyFont="1" applyFill="1" applyBorder="1"/>
    <xf numFmtId="184" fontId="14" fillId="3" borderId="8" xfId="0" applyNumberFormat="1" applyFont="1" applyFill="1" applyBorder="1"/>
    <xf numFmtId="184" fontId="25" fillId="0" borderId="10" xfId="0" applyNumberFormat="1" applyFont="1" applyBorder="1"/>
    <xf numFmtId="188" fontId="25" fillId="3" borderId="0" xfId="0" applyNumberFormat="1" applyFont="1" applyFill="1"/>
    <xf numFmtId="184" fontId="25" fillId="3" borderId="10" xfId="0" applyNumberFormat="1" applyFont="1" applyFill="1" applyBorder="1" applyAlignment="1">
      <alignment wrapText="1"/>
    </xf>
    <xf numFmtId="184" fontId="25" fillId="3" borderId="0" xfId="0" applyNumberFormat="1" applyFont="1" applyFill="1" applyAlignment="1">
      <alignment wrapText="1"/>
    </xf>
    <xf numFmtId="184" fontId="14" fillId="0" borderId="0" xfId="0" applyNumberFormat="1" applyFont="1"/>
    <xf numFmtId="179" fontId="38" fillId="3" borderId="0" xfId="0" applyNumberFormat="1" applyFont="1" applyFill="1"/>
    <xf numFmtId="179" fontId="38" fillId="3" borderId="5" xfId="0" applyNumberFormat="1" applyFont="1" applyFill="1" applyBorder="1"/>
    <xf numFmtId="184" fontId="35" fillId="3" borderId="0" xfId="0" applyNumberFormat="1" applyFont="1" applyFill="1"/>
    <xf numFmtId="184" fontId="35" fillId="3" borderId="0" xfId="0" applyNumberFormat="1" applyFont="1" applyFill="1" applyAlignment="1">
      <alignment horizontal="right"/>
    </xf>
    <xf numFmtId="184" fontId="35" fillId="3" borderId="5" xfId="0" applyNumberFormat="1" applyFont="1" applyFill="1" applyBorder="1" applyAlignment="1">
      <alignment horizontal="right"/>
    </xf>
    <xf numFmtId="184" fontId="25" fillId="0" borderId="10" xfId="0" applyNumberFormat="1" applyFont="1" applyBorder="1" applyAlignment="1">
      <alignment wrapText="1"/>
    </xf>
    <xf numFmtId="184" fontId="25" fillId="3" borderId="7" xfId="0" applyNumberFormat="1" applyFont="1" applyFill="1" applyBorder="1" applyAlignment="1">
      <alignment wrapText="1"/>
    </xf>
    <xf numFmtId="184" fontId="25" fillId="3" borderId="5" xfId="0" applyNumberFormat="1" applyFont="1" applyFill="1" applyBorder="1" applyAlignment="1">
      <alignment wrapText="1"/>
    </xf>
    <xf numFmtId="184" fontId="25" fillId="0" borderId="0" xfId="0" applyNumberFormat="1" applyFont="1" applyAlignment="1">
      <alignment wrapText="1"/>
    </xf>
    <xf numFmtId="184" fontId="24" fillId="3" borderId="0" xfId="0" applyNumberFormat="1" applyFont="1" applyFill="1"/>
    <xf numFmtId="184" fontId="24" fillId="3" borderId="5" xfId="0" applyNumberFormat="1" applyFont="1" applyFill="1" applyBorder="1"/>
    <xf numFmtId="184" fontId="25" fillId="3" borderId="10" xfId="0" applyNumberFormat="1" applyFont="1" applyFill="1" applyBorder="1" applyAlignment="1">
      <alignment horizontal="right"/>
    </xf>
    <xf numFmtId="184" fontId="25" fillId="3" borderId="11" xfId="0" applyNumberFormat="1" applyFont="1" applyFill="1" applyBorder="1" applyAlignment="1">
      <alignment horizontal="right"/>
    </xf>
    <xf numFmtId="184" fontId="25" fillId="3" borderId="0" xfId="0" applyNumberFormat="1" applyFont="1" applyFill="1" applyAlignment="1">
      <alignment horizontal="right"/>
    </xf>
    <xf numFmtId="184" fontId="25" fillId="3" borderId="5" xfId="0" applyNumberFormat="1" applyFont="1" applyFill="1" applyBorder="1" applyAlignment="1">
      <alignment horizontal="right"/>
    </xf>
    <xf numFmtId="184" fontId="14" fillId="0" borderId="7" xfId="0" applyNumberFormat="1" applyFont="1" applyBorder="1"/>
    <xf numFmtId="0" fontId="15" fillId="3" borderId="3" xfId="0" applyFont="1" applyFill="1" applyBorder="1" applyAlignment="1">
      <alignment horizontal="center"/>
    </xf>
    <xf numFmtId="0" fontId="15" fillId="3" borderId="0" xfId="0" applyFont="1" applyFill="1"/>
    <xf numFmtId="185" fontId="31" fillId="30" borderId="88" xfId="0" applyNumberFormat="1" applyFont="1" applyFill="1" applyBorder="1" applyAlignment="1">
      <alignment vertical="center"/>
    </xf>
    <xf numFmtId="185" fontId="31" fillId="30" borderId="89" xfId="0" applyNumberFormat="1" applyFont="1" applyFill="1" applyBorder="1" applyAlignment="1">
      <alignment vertical="center"/>
    </xf>
    <xf numFmtId="189" fontId="14" fillId="3" borderId="0" xfId="0" applyNumberFormat="1" applyFont="1" applyFill="1"/>
    <xf numFmtId="189" fontId="14" fillId="3" borderId="5" xfId="0" applyNumberFormat="1" applyFont="1" applyFill="1" applyBorder="1"/>
    <xf numFmtId="0" fontId="14" fillId="3" borderId="91" xfId="0" applyFont="1" applyFill="1" applyBorder="1"/>
    <xf numFmtId="184" fontId="15" fillId="3" borderId="95" xfId="0" applyNumberFormat="1" applyFont="1" applyFill="1" applyBorder="1"/>
    <xf numFmtId="184" fontId="15" fillId="3" borderId="61" xfId="0" applyNumberFormat="1" applyFont="1" applyFill="1" applyBorder="1"/>
    <xf numFmtId="0" fontId="25" fillId="3" borderId="47" xfId="0" applyFont="1" applyFill="1" applyBorder="1"/>
    <xf numFmtId="0" fontId="25" fillId="3" borderId="101" xfId="0" applyFont="1" applyFill="1" applyBorder="1"/>
    <xf numFmtId="0" fontId="14" fillId="3" borderId="104" xfId="0" applyFont="1" applyFill="1" applyBorder="1"/>
    <xf numFmtId="184" fontId="15" fillId="16" borderId="95" xfId="0" applyNumberFormat="1" applyFont="1" applyFill="1" applyBorder="1"/>
    <xf numFmtId="184" fontId="15" fillId="16" borderId="61" xfId="0" applyNumberFormat="1" applyFont="1" applyFill="1" applyBorder="1"/>
    <xf numFmtId="0" fontId="25" fillId="3" borderId="44" xfId="0" applyFont="1" applyFill="1" applyBorder="1"/>
    <xf numFmtId="0" fontId="15" fillId="3" borderId="91" xfId="0" applyFont="1" applyFill="1" applyBorder="1"/>
    <xf numFmtId="0" fontId="24" fillId="3" borderId="0" xfId="0" applyFont="1" applyFill="1"/>
    <xf numFmtId="0" fontId="14" fillId="3" borderId="46" xfId="0" applyFont="1" applyFill="1" applyBorder="1" applyAlignment="1">
      <alignment wrapText="1"/>
    </xf>
    <xf numFmtId="184" fontId="14" fillId="3" borderId="36" xfId="0" applyNumberFormat="1" applyFont="1" applyFill="1" applyBorder="1"/>
    <xf numFmtId="0" fontId="4" fillId="32" borderId="10" xfId="0" applyFont="1" applyFill="1" applyBorder="1" applyAlignment="1">
      <alignment vertical="center"/>
    </xf>
    <xf numFmtId="0" fontId="42" fillId="4" borderId="13" xfId="0" applyFont="1" applyFill="1" applyBorder="1"/>
    <xf numFmtId="0" fontId="42" fillId="4" borderId="13" xfId="0" applyFont="1" applyFill="1" applyBorder="1" applyAlignment="1">
      <alignment horizontal="center"/>
    </xf>
    <xf numFmtId="0" fontId="42" fillId="4" borderId="32" xfId="0" applyFont="1" applyFill="1" applyBorder="1" applyAlignment="1">
      <alignment horizontal="center" wrapText="1"/>
    </xf>
    <xf numFmtId="0" fontId="42" fillId="0" borderId="0" xfId="0" applyFont="1" applyAlignment="1">
      <alignment horizontal="center" wrapText="1"/>
    </xf>
    <xf numFmtId="0" fontId="42" fillId="4" borderId="31" xfId="0" applyFont="1" applyFill="1" applyBorder="1" applyAlignment="1">
      <alignment horizontal="center" wrapText="1"/>
    </xf>
    <xf numFmtId="0" fontId="14" fillId="0" borderId="0" xfId="0" applyFont="1" applyAlignment="1">
      <alignment wrapText="1"/>
    </xf>
    <xf numFmtId="0" fontId="1" fillId="0" borderId="13" xfId="0" applyFont="1" applyBorder="1" applyAlignment="1">
      <alignment wrapText="1"/>
    </xf>
    <xf numFmtId="17" fontId="43" fillId="4" borderId="13" xfId="0" applyNumberFormat="1" applyFont="1" applyFill="1" applyBorder="1" applyAlignment="1">
      <alignment horizontal="center"/>
    </xf>
    <xf numFmtId="190" fontId="43" fillId="4" borderId="13" xfId="0" applyNumberFormat="1" applyFont="1" applyFill="1" applyBorder="1" applyAlignment="1">
      <alignment horizontal="center"/>
    </xf>
    <xf numFmtId="190" fontId="43" fillId="4" borderId="13" xfId="0" applyNumberFormat="1" applyFont="1" applyFill="1" applyBorder="1" applyAlignment="1">
      <alignment horizontal="right"/>
    </xf>
    <xf numFmtId="190" fontId="43" fillId="0" borderId="0" xfId="0" applyNumberFormat="1" applyFont="1" applyAlignment="1">
      <alignment horizontal="right"/>
    </xf>
    <xf numFmtId="17" fontId="43" fillId="4" borderId="32" xfId="0" applyNumberFormat="1" applyFont="1" applyFill="1" applyBorder="1" applyAlignment="1">
      <alignment horizontal="center"/>
    </xf>
    <xf numFmtId="190" fontId="43" fillId="4" borderId="32" xfId="0" applyNumberFormat="1" applyFont="1" applyFill="1" applyBorder="1" applyAlignment="1">
      <alignment horizontal="right"/>
    </xf>
    <xf numFmtId="189" fontId="42" fillId="4" borderId="13" xfId="0" applyNumberFormat="1" applyFont="1" applyFill="1" applyBorder="1" applyAlignment="1">
      <alignment horizontal="right"/>
    </xf>
    <xf numFmtId="189" fontId="42" fillId="4" borderId="13" xfId="0" applyNumberFormat="1" applyFont="1" applyFill="1" applyBorder="1" applyAlignment="1">
      <alignment horizontal="center"/>
    </xf>
    <xf numFmtId="189" fontId="42" fillId="4" borderId="13" xfId="0" applyNumberFormat="1" applyFont="1" applyFill="1" applyBorder="1" applyAlignment="1">
      <alignment horizontal="left"/>
    </xf>
    <xf numFmtId="0" fontId="42" fillId="4" borderId="12" xfId="0" applyFont="1" applyFill="1" applyBorder="1" applyAlignment="1">
      <alignment horizontal="center" wrapText="1"/>
    </xf>
    <xf numFmtId="189" fontId="42" fillId="0" borderId="0" xfId="0" applyNumberFormat="1" applyFont="1" applyAlignment="1">
      <alignment horizontal="right"/>
    </xf>
    <xf numFmtId="0" fontId="1" fillId="0" borderId="13" xfId="0" applyFont="1" applyBorder="1"/>
    <xf numFmtId="0" fontId="42" fillId="4" borderId="12" xfId="0" applyFont="1" applyFill="1" applyBorder="1" applyAlignment="1">
      <alignment vertical="center"/>
    </xf>
    <xf numFmtId="188" fontId="43" fillId="4" borderId="12" xfId="0" applyNumberFormat="1" applyFont="1" applyFill="1" applyBorder="1" applyAlignment="1">
      <alignment horizontal="right" vertical="center"/>
    </xf>
    <xf numFmtId="188" fontId="43" fillId="4" borderId="12" xfId="0" applyNumberFormat="1" applyFont="1" applyFill="1" applyBorder="1" applyAlignment="1">
      <alignment horizontal="center" vertical="center"/>
    </xf>
    <xf numFmtId="188" fontId="1" fillId="4" borderId="13" xfId="0" applyNumberFormat="1" applyFont="1" applyFill="1" applyBorder="1" applyAlignment="1">
      <alignment horizontal="center" vertical="center" wrapText="1"/>
    </xf>
    <xf numFmtId="189" fontId="1" fillId="10" borderId="13" xfId="0" applyNumberFormat="1" applyFont="1" applyFill="1" applyBorder="1" applyAlignment="1">
      <alignment horizontal="right" vertical="center" wrapText="1"/>
    </xf>
    <xf numFmtId="0" fontId="43" fillId="4" borderId="12" xfId="0" applyFont="1" applyFill="1" applyBorder="1" applyAlignment="1">
      <alignment vertical="center"/>
    </xf>
    <xf numFmtId="0" fontId="43" fillId="4" borderId="12" xfId="0" applyFont="1" applyFill="1" applyBorder="1" applyAlignment="1">
      <alignment horizontal="center" vertical="center"/>
    </xf>
    <xf numFmtId="190" fontId="42" fillId="4" borderId="12" xfId="0" applyNumberFormat="1" applyFont="1" applyFill="1" applyBorder="1" applyAlignment="1">
      <alignment horizontal="right" vertical="center"/>
    </xf>
    <xf numFmtId="190" fontId="42" fillId="0" borderId="0" xfId="0" applyNumberFormat="1" applyFont="1" applyAlignment="1">
      <alignment horizontal="right" vertical="center"/>
    </xf>
    <xf numFmtId="188" fontId="43" fillId="0" borderId="10" xfId="0" applyNumberFormat="1" applyFont="1" applyBorder="1"/>
    <xf numFmtId="188" fontId="43" fillId="0" borderId="0" xfId="0" applyNumberFormat="1" applyFont="1"/>
    <xf numFmtId="0" fontId="4" fillId="0" borderId="3" xfId="0" applyFont="1" applyBorder="1" applyAlignment="1">
      <alignment vertical="center" wrapText="1"/>
    </xf>
    <xf numFmtId="0" fontId="4" fillId="0" borderId="2" xfId="0" applyFont="1" applyBorder="1" applyAlignment="1">
      <alignment vertical="center" wrapText="1"/>
    </xf>
    <xf numFmtId="0" fontId="4" fillId="0" borderId="0" xfId="0" applyFont="1" applyAlignment="1">
      <alignment vertical="center" wrapText="1"/>
    </xf>
    <xf numFmtId="0" fontId="4" fillId="0" borderId="0" xfId="0" applyFont="1" applyAlignment="1">
      <alignment horizontal="center" vertical="center" wrapText="1"/>
    </xf>
    <xf numFmtId="0" fontId="42" fillId="34" borderId="13" xfId="0" applyFont="1" applyFill="1" applyBorder="1"/>
    <xf numFmtId="0" fontId="42" fillId="34" borderId="9" xfId="0" applyFont="1" applyFill="1" applyBorder="1" applyAlignment="1">
      <alignment horizontal="center" wrapText="1"/>
    </xf>
    <xf numFmtId="0" fontId="42" fillId="34" borderId="13" xfId="0" applyFont="1" applyFill="1" applyBorder="1" applyAlignment="1">
      <alignment horizontal="center"/>
    </xf>
    <xf numFmtId="0" fontId="14" fillId="0" borderId="12" xfId="0" applyFont="1" applyBorder="1" applyAlignment="1">
      <alignment wrapText="1"/>
    </xf>
    <xf numFmtId="17" fontId="43" fillId="10" borderId="13" xfId="0" applyNumberFormat="1" applyFont="1" applyFill="1" applyBorder="1" applyAlignment="1">
      <alignment horizontal="center"/>
    </xf>
    <xf numFmtId="192" fontId="18" fillId="0" borderId="13" xfId="0" applyNumberFormat="1" applyFont="1" applyBorder="1" applyAlignment="1">
      <alignment horizontal="right" vertical="center"/>
    </xf>
    <xf numFmtId="190" fontId="43" fillId="35" borderId="13" xfId="0" applyNumberFormat="1" applyFont="1" applyFill="1" applyBorder="1" applyAlignment="1">
      <alignment horizontal="center"/>
    </xf>
    <xf numFmtId="190" fontId="43" fillId="35" borderId="2" xfId="0" applyNumberFormat="1" applyFont="1" applyFill="1" applyBorder="1" applyAlignment="1">
      <alignment horizontal="center"/>
    </xf>
    <xf numFmtId="17" fontId="43" fillId="35" borderId="13" xfId="0" applyNumberFormat="1" applyFont="1" applyFill="1" applyBorder="1" applyAlignment="1">
      <alignment horizontal="center"/>
    </xf>
    <xf numFmtId="189" fontId="43" fillId="34" borderId="13" xfId="0" applyNumberFormat="1" applyFont="1" applyFill="1" applyBorder="1" applyAlignment="1">
      <alignment horizontal="center"/>
    </xf>
    <xf numFmtId="189" fontId="43" fillId="35" borderId="10" xfId="0" applyNumberFormat="1" applyFont="1" applyFill="1" applyBorder="1" applyAlignment="1">
      <alignment horizontal="center"/>
    </xf>
    <xf numFmtId="189" fontId="43" fillId="35" borderId="13" xfId="0" applyNumberFormat="1" applyFont="1" applyFill="1" applyBorder="1" applyAlignment="1">
      <alignment horizontal="center"/>
    </xf>
    <xf numFmtId="189" fontId="43" fillId="0" borderId="13" xfId="0" applyNumberFormat="1" applyFont="1" applyBorder="1" applyAlignment="1">
      <alignment horizontal="center"/>
    </xf>
    <xf numFmtId="189" fontId="43" fillId="0" borderId="13" xfId="0" applyNumberFormat="1" applyFont="1" applyBorder="1" applyAlignment="1">
      <alignment horizontal="center" vertical="center"/>
    </xf>
    <xf numFmtId="189" fontId="43" fillId="0" borderId="13" xfId="0" applyNumberFormat="1" applyFont="1" applyBorder="1"/>
    <xf numFmtId="189" fontId="43" fillId="0" borderId="1" xfId="0" applyNumberFormat="1" applyFont="1" applyBorder="1"/>
    <xf numFmtId="189" fontId="43" fillId="35" borderId="1" xfId="0" applyNumberFormat="1" applyFont="1" applyFill="1" applyBorder="1" applyAlignment="1">
      <alignment horizontal="center" vertical="center"/>
    </xf>
    <xf numFmtId="189" fontId="43" fillId="35" borderId="13" xfId="0" applyNumberFormat="1" applyFont="1" applyFill="1" applyBorder="1" applyAlignment="1">
      <alignment horizontal="center" vertical="center"/>
    </xf>
    <xf numFmtId="17" fontId="43" fillId="0" borderId="13" xfId="0" applyNumberFormat="1" applyFont="1" applyBorder="1" applyAlignment="1">
      <alignment horizontal="center"/>
    </xf>
    <xf numFmtId="190" fontId="1" fillId="0" borderId="13" xfId="0" applyNumberFormat="1" applyFont="1" applyBorder="1" applyAlignment="1">
      <alignment horizontal="right" vertical="center"/>
    </xf>
    <xf numFmtId="190" fontId="43" fillId="0" borderId="13" xfId="0" applyNumberFormat="1" applyFont="1" applyBorder="1" applyAlignment="1">
      <alignment horizontal="center"/>
    </xf>
    <xf numFmtId="0" fontId="43" fillId="0" borderId="13" xfId="0" applyFont="1" applyBorder="1" applyAlignment="1">
      <alignment horizontal="center"/>
    </xf>
    <xf numFmtId="0" fontId="43" fillId="0" borderId="0" xfId="0" applyFont="1" applyAlignment="1">
      <alignment horizontal="center"/>
    </xf>
    <xf numFmtId="165" fontId="1" fillId="0" borderId="13" xfId="0" applyNumberFormat="1" applyFont="1" applyBorder="1" applyAlignment="1">
      <alignment vertical="center"/>
    </xf>
    <xf numFmtId="0" fontId="3" fillId="2" borderId="1" xfId="0" applyFont="1" applyFill="1" applyBorder="1" applyAlignment="1">
      <alignment horizontal="left" vertical="center"/>
    </xf>
    <xf numFmtId="0" fontId="3" fillId="2" borderId="2" xfId="0" applyFont="1" applyFill="1" applyBorder="1" applyAlignment="1">
      <alignment horizontal="left" vertical="center"/>
    </xf>
    <xf numFmtId="0" fontId="3" fillId="2" borderId="3" xfId="0" applyFont="1" applyFill="1" applyBorder="1" applyAlignment="1">
      <alignment horizontal="left" vertical="center"/>
    </xf>
    <xf numFmtId="167" fontId="7" fillId="0" borderId="12" xfId="0" applyNumberFormat="1" applyFont="1" applyBorder="1" applyAlignment="1">
      <alignment vertical="center" wrapText="1"/>
    </xf>
    <xf numFmtId="0" fontId="7" fillId="0" borderId="12" xfId="0" applyFont="1" applyBorder="1" applyAlignment="1">
      <alignment vertical="center" wrapText="1"/>
    </xf>
    <xf numFmtId="0" fontId="7" fillId="0" borderId="13" xfId="0" applyFont="1" applyBorder="1" applyAlignment="1">
      <alignment vertical="center" wrapText="1"/>
    </xf>
    <xf numFmtId="166" fontId="6" fillId="7" borderId="1" xfId="0" applyNumberFormat="1" applyFont="1" applyFill="1" applyBorder="1" applyAlignment="1">
      <alignment horizontal="right" vertical="center" wrapText="1"/>
    </xf>
    <xf numFmtId="166" fontId="6" fillId="7" borderId="2" xfId="0" applyNumberFormat="1" applyFont="1" applyFill="1" applyBorder="1" applyAlignment="1">
      <alignment horizontal="right" vertical="center" wrapText="1"/>
    </xf>
    <xf numFmtId="166" fontId="6" fillId="7" borderId="3" xfId="0" applyNumberFormat="1" applyFont="1" applyFill="1" applyBorder="1" applyAlignment="1">
      <alignment horizontal="right" vertical="center" wrapText="1"/>
    </xf>
    <xf numFmtId="166" fontId="7" fillId="0" borderId="12" xfId="0" applyNumberFormat="1" applyFont="1" applyBorder="1" applyAlignment="1">
      <alignment horizontal="right" vertical="center" wrapText="1"/>
    </xf>
    <xf numFmtId="0" fontId="6" fillId="2" borderId="1" xfId="0" applyFont="1" applyFill="1" applyBorder="1" applyAlignment="1">
      <alignment horizontal="left" vertical="center" wrapText="1"/>
    </xf>
    <xf numFmtId="0" fontId="6" fillId="2" borderId="2" xfId="0" applyFont="1" applyFill="1" applyBorder="1" applyAlignment="1">
      <alignment horizontal="left" vertical="center" wrapText="1"/>
    </xf>
    <xf numFmtId="0" fontId="6" fillId="2" borderId="10" xfId="0" applyFont="1" applyFill="1" applyBorder="1" applyAlignment="1">
      <alignment horizontal="left" vertical="center" wrapText="1"/>
    </xf>
    <xf numFmtId="0" fontId="6" fillId="2" borderId="11" xfId="0" applyFont="1" applyFill="1" applyBorder="1" applyAlignment="1">
      <alignment horizontal="left" vertical="center" wrapText="1"/>
    </xf>
    <xf numFmtId="165" fontId="12" fillId="0" borderId="9" xfId="0" applyNumberFormat="1" applyFont="1" applyBorder="1" applyAlignment="1">
      <alignment horizontal="center" vertical="center"/>
    </xf>
    <xf numFmtId="165" fontId="12" fillId="0" borderId="11" xfId="0" applyNumberFormat="1" applyFont="1" applyBorder="1" applyAlignment="1">
      <alignment horizontal="center" vertical="center"/>
    </xf>
    <xf numFmtId="165" fontId="12" fillId="0" borderId="4" xfId="0" applyNumberFormat="1" applyFont="1" applyBorder="1" applyAlignment="1">
      <alignment horizontal="center" vertical="center"/>
    </xf>
    <xf numFmtId="165" fontId="12" fillId="0" borderId="5" xfId="0" applyNumberFormat="1" applyFont="1" applyBorder="1" applyAlignment="1">
      <alignment horizontal="center" vertical="center"/>
    </xf>
    <xf numFmtId="165" fontId="12" fillId="0" borderId="6" xfId="0" applyNumberFormat="1" applyFont="1" applyBorder="1" applyAlignment="1">
      <alignment horizontal="center" vertical="center"/>
    </xf>
    <xf numFmtId="165" fontId="12" fillId="0" borderId="8" xfId="0" applyNumberFormat="1" applyFont="1" applyBorder="1" applyAlignment="1">
      <alignment horizontal="center" vertical="center"/>
    </xf>
    <xf numFmtId="164" fontId="7" fillId="0" borderId="12" xfId="0" applyNumberFormat="1" applyFont="1" applyBorder="1" applyAlignment="1">
      <alignment vertical="center" wrapText="1"/>
    </xf>
    <xf numFmtId="0" fontId="10" fillId="0" borderId="1" xfId="0" applyFont="1" applyBorder="1" applyAlignment="1">
      <alignment vertical="center" wrapText="1"/>
    </xf>
    <xf numFmtId="0" fontId="10" fillId="0" borderId="2" xfId="0" applyFont="1" applyBorder="1" applyAlignment="1">
      <alignment vertical="center" wrapText="1"/>
    </xf>
    <xf numFmtId="0" fontId="10" fillId="0" borderId="3" xfId="0" applyFont="1" applyBorder="1" applyAlignment="1">
      <alignment vertical="center" wrapText="1"/>
    </xf>
    <xf numFmtId="0" fontId="7" fillId="0" borderId="1" xfId="0" applyFont="1" applyBorder="1" applyAlignment="1">
      <alignment vertical="center" wrapText="1"/>
    </xf>
    <xf numFmtId="0" fontId="7" fillId="0" borderId="2" xfId="0" applyFont="1" applyBorder="1" applyAlignment="1">
      <alignment vertical="center" wrapText="1"/>
    </xf>
    <xf numFmtId="0" fontId="7" fillId="0" borderId="3" xfId="0" applyFont="1" applyBorder="1" applyAlignment="1">
      <alignment vertical="center" wrapText="1"/>
    </xf>
    <xf numFmtId="164" fontId="6" fillId="5" borderId="1" xfId="0" applyNumberFormat="1" applyFont="1" applyFill="1" applyBorder="1" applyAlignment="1">
      <alignment horizontal="right" vertical="center" wrapText="1"/>
    </xf>
    <xf numFmtId="164" fontId="6" fillId="5" borderId="2" xfId="0" applyNumberFormat="1" applyFont="1" applyFill="1" applyBorder="1" applyAlignment="1">
      <alignment horizontal="right" vertical="center" wrapText="1"/>
    </xf>
    <xf numFmtId="164" fontId="6" fillId="5" borderId="3" xfId="0" applyNumberFormat="1" applyFont="1" applyFill="1" applyBorder="1" applyAlignment="1">
      <alignment horizontal="right" vertical="center" wrapText="1"/>
    </xf>
    <xf numFmtId="0" fontId="8" fillId="2" borderId="9" xfId="0" applyFont="1" applyFill="1" applyBorder="1" applyAlignment="1">
      <alignment horizontal="left" vertical="center" wrapText="1"/>
    </xf>
    <xf numFmtId="0" fontId="8" fillId="2" borderId="10" xfId="0" applyFont="1" applyFill="1" applyBorder="1" applyAlignment="1">
      <alignment horizontal="left" vertical="center" wrapText="1"/>
    </xf>
    <xf numFmtId="0" fontId="8" fillId="2" borderId="11" xfId="0" applyFont="1" applyFill="1" applyBorder="1" applyAlignment="1">
      <alignment horizontal="left" vertical="center" wrapText="1"/>
    </xf>
    <xf numFmtId="164" fontId="7" fillId="0" borderId="1" xfId="0" applyNumberFormat="1" applyFont="1" applyBorder="1" applyAlignment="1">
      <alignment vertical="center" wrapText="1"/>
    </xf>
    <xf numFmtId="164" fontId="7" fillId="0" borderId="2" xfId="0" applyNumberFormat="1" applyFont="1" applyBorder="1" applyAlignment="1">
      <alignment vertical="center" wrapText="1"/>
    </xf>
    <xf numFmtId="164" fontId="7" fillId="0" borderId="3" xfId="0" applyNumberFormat="1" applyFont="1" applyBorder="1" applyAlignment="1">
      <alignment vertical="center" wrapText="1"/>
    </xf>
    <xf numFmtId="0" fontId="5" fillId="0" borderId="4" xfId="0" applyFont="1" applyBorder="1" applyAlignment="1">
      <alignment horizontal="center"/>
    </xf>
    <xf numFmtId="0" fontId="5" fillId="0" borderId="0" xfId="0" applyFont="1" applyAlignment="1">
      <alignment horizontal="center"/>
    </xf>
    <xf numFmtId="0" fontId="5" fillId="0" borderId="5" xfId="0" applyFont="1" applyBorder="1" applyAlignment="1">
      <alignment horizontal="center"/>
    </xf>
    <xf numFmtId="0" fontId="13" fillId="3" borderId="6" xfId="0" applyFont="1" applyFill="1" applyBorder="1" applyAlignment="1">
      <alignment horizontal="right"/>
    </xf>
    <xf numFmtId="0" fontId="13" fillId="3" borderId="7" xfId="0" applyFont="1" applyFill="1" applyBorder="1" applyAlignment="1">
      <alignment horizontal="right"/>
    </xf>
    <xf numFmtId="0" fontId="13" fillId="3" borderId="8" xfId="0" applyFont="1" applyFill="1" applyBorder="1" applyAlignment="1">
      <alignment horizontal="right"/>
    </xf>
    <xf numFmtId="165" fontId="9" fillId="0" borderId="9" xfId="0" applyNumberFormat="1" applyFont="1" applyBorder="1" applyAlignment="1">
      <alignment horizontal="center" vertical="center"/>
    </xf>
    <xf numFmtId="165" fontId="9" fillId="0" borderId="11" xfId="0" applyNumberFormat="1" applyFont="1" applyBorder="1" applyAlignment="1">
      <alignment horizontal="center" vertical="center"/>
    </xf>
    <xf numFmtId="165" fontId="9" fillId="0" borderId="4" xfId="0" applyNumberFormat="1" applyFont="1" applyBorder="1" applyAlignment="1">
      <alignment horizontal="center" vertical="center"/>
    </xf>
    <xf numFmtId="165" fontId="9" fillId="0" borderId="5" xfId="0" applyNumberFormat="1" applyFont="1" applyBorder="1" applyAlignment="1">
      <alignment horizontal="center" vertical="center"/>
    </xf>
    <xf numFmtId="165" fontId="9" fillId="0" borderId="6" xfId="0" applyNumberFormat="1" applyFont="1" applyBorder="1" applyAlignment="1">
      <alignment horizontal="center" vertical="center"/>
    </xf>
    <xf numFmtId="165" fontId="9" fillId="0" borderId="8" xfId="0" applyNumberFormat="1" applyFont="1" applyBorder="1" applyAlignment="1">
      <alignment horizontal="center" vertical="center"/>
    </xf>
    <xf numFmtId="167" fontId="6" fillId="7" borderId="1" xfId="0" applyNumberFormat="1" applyFont="1" applyFill="1" applyBorder="1" applyAlignment="1">
      <alignment horizontal="right" vertical="center" wrapText="1"/>
    </xf>
    <xf numFmtId="167" fontId="6" fillId="7" borderId="2" xfId="0" applyNumberFormat="1" applyFont="1" applyFill="1" applyBorder="1" applyAlignment="1">
      <alignment horizontal="right" vertical="center" wrapText="1"/>
    </xf>
    <xf numFmtId="167" fontId="6" fillId="7" borderId="3" xfId="0" applyNumberFormat="1" applyFont="1" applyFill="1" applyBorder="1" applyAlignment="1">
      <alignment horizontal="right" vertical="center" wrapText="1"/>
    </xf>
    <xf numFmtId="164" fontId="8" fillId="5" borderId="1" xfId="0" applyNumberFormat="1" applyFont="1" applyFill="1" applyBorder="1" applyAlignment="1">
      <alignment vertical="center" wrapText="1"/>
    </xf>
    <xf numFmtId="164" fontId="8" fillId="5" borderId="2" xfId="0" applyNumberFormat="1" applyFont="1" applyFill="1" applyBorder="1" applyAlignment="1">
      <alignment vertical="center" wrapText="1"/>
    </xf>
    <xf numFmtId="164" fontId="8" fillId="5" borderId="3" xfId="0" applyNumberFormat="1" applyFont="1" applyFill="1" applyBorder="1" applyAlignment="1">
      <alignment vertical="center" wrapText="1"/>
    </xf>
    <xf numFmtId="165" fontId="9" fillId="0" borderId="1" xfId="0" applyNumberFormat="1" applyFont="1" applyBorder="1" applyAlignment="1">
      <alignment horizontal="center" vertical="center"/>
    </xf>
    <xf numFmtId="165" fontId="9" fillId="0" borderId="3" xfId="0" applyNumberFormat="1" applyFont="1" applyBorder="1" applyAlignment="1">
      <alignment horizontal="center" vertical="center"/>
    </xf>
    <xf numFmtId="0" fontId="6" fillId="2" borderId="3" xfId="0" applyFont="1" applyFill="1" applyBorder="1" applyAlignment="1">
      <alignment horizontal="left" vertical="center" wrapText="1"/>
    </xf>
    <xf numFmtId="0" fontId="45" fillId="2" borderId="56" xfId="0" applyFont="1" applyFill="1" applyBorder="1" applyAlignment="1">
      <alignment horizontal="left" vertical="center" wrapText="1"/>
    </xf>
    <xf numFmtId="0" fontId="45" fillId="2" borderId="54" xfId="0" applyFont="1" applyFill="1" applyBorder="1" applyAlignment="1">
      <alignment horizontal="left" vertical="center" wrapText="1"/>
    </xf>
    <xf numFmtId="0" fontId="45" fillId="2" borderId="58" xfId="0" applyFont="1" applyFill="1" applyBorder="1" applyAlignment="1">
      <alignment horizontal="left" vertical="center" wrapText="1"/>
    </xf>
    <xf numFmtId="164" fontId="6" fillId="6" borderId="1" xfId="0" applyNumberFormat="1" applyFont="1" applyFill="1" applyBorder="1" applyAlignment="1">
      <alignment horizontal="right" vertical="center" wrapText="1"/>
    </xf>
    <xf numFmtId="164" fontId="6" fillId="6" borderId="2" xfId="0" applyNumberFormat="1" applyFont="1" applyFill="1" applyBorder="1" applyAlignment="1">
      <alignment horizontal="right" vertical="center" wrapText="1"/>
    </xf>
    <xf numFmtId="164" fontId="6" fillId="6" borderId="3" xfId="0" applyNumberFormat="1" applyFont="1" applyFill="1" applyBorder="1" applyAlignment="1">
      <alignment horizontal="right" vertical="center" wrapText="1"/>
    </xf>
    <xf numFmtId="0" fontId="6" fillId="2" borderId="9" xfId="0" applyFont="1" applyFill="1" applyBorder="1" applyAlignment="1">
      <alignment horizontal="left" vertical="center" wrapText="1"/>
    </xf>
    <xf numFmtId="165" fontId="11" fillId="0" borderId="9" xfId="0" applyNumberFormat="1" applyFont="1" applyBorder="1" applyAlignment="1">
      <alignment horizontal="center" vertical="center"/>
    </xf>
    <xf numFmtId="165" fontId="11" fillId="0" borderId="11" xfId="0" applyNumberFormat="1" applyFont="1" applyBorder="1" applyAlignment="1">
      <alignment horizontal="center" vertical="center"/>
    </xf>
    <xf numFmtId="165" fontId="11" fillId="0" borderId="4" xfId="0" applyNumberFormat="1" applyFont="1" applyBorder="1" applyAlignment="1">
      <alignment horizontal="center" vertical="center"/>
    </xf>
    <xf numFmtId="165" fontId="11" fillId="0" borderId="5" xfId="0" applyNumberFormat="1" applyFont="1" applyBorder="1" applyAlignment="1">
      <alignment horizontal="center" vertical="center"/>
    </xf>
    <xf numFmtId="165" fontId="11" fillId="0" borderId="6" xfId="0" applyNumberFormat="1" applyFont="1" applyBorder="1" applyAlignment="1">
      <alignment horizontal="center" vertical="center"/>
    </xf>
    <xf numFmtId="165" fontId="11" fillId="0" borderId="8" xfId="0" applyNumberFormat="1" applyFont="1" applyBorder="1" applyAlignment="1">
      <alignment horizontal="center" vertical="center"/>
    </xf>
    <xf numFmtId="0" fontId="7" fillId="0" borderId="14" xfId="0" applyFont="1" applyBorder="1" applyAlignment="1">
      <alignment horizontal="center" wrapText="1"/>
    </xf>
    <xf numFmtId="0" fontId="14" fillId="0" borderId="23" xfId="0" applyFont="1" applyBorder="1" applyAlignment="1">
      <alignment horizontal="center"/>
    </xf>
    <xf numFmtId="0" fontId="14" fillId="0" borderId="25" xfId="0" applyFont="1" applyBorder="1" applyAlignment="1">
      <alignment horizontal="center"/>
    </xf>
    <xf numFmtId="0" fontId="14" fillId="0" borderId="24" xfId="0" applyFont="1" applyBorder="1" applyAlignment="1">
      <alignment horizontal="center"/>
    </xf>
    <xf numFmtId="0" fontId="1" fillId="0" borderId="14" xfId="0" applyFont="1" applyBorder="1" applyAlignment="1">
      <alignment horizontal="center"/>
    </xf>
    <xf numFmtId="164" fontId="15" fillId="10" borderId="20" xfId="0" applyNumberFormat="1" applyFont="1" applyFill="1" applyBorder="1" applyAlignment="1">
      <alignment horizontal="center"/>
    </xf>
    <xf numFmtId="164" fontId="15" fillId="10" borderId="22" xfId="0" applyNumberFormat="1" applyFont="1" applyFill="1" applyBorder="1" applyAlignment="1">
      <alignment horizontal="center"/>
    </xf>
    <xf numFmtId="168" fontId="10" fillId="8" borderId="15" xfId="0" applyNumberFormat="1" applyFont="1" applyFill="1" applyBorder="1" applyAlignment="1">
      <alignment horizontal="center" wrapText="1"/>
    </xf>
    <xf numFmtId="0" fontId="14" fillId="0" borderId="16" xfId="0" applyFont="1" applyBorder="1" applyAlignment="1">
      <alignment horizontal="center"/>
    </xf>
    <xf numFmtId="168" fontId="10" fillId="8" borderId="16" xfId="0" applyNumberFormat="1" applyFont="1" applyFill="1" applyBorder="1" applyAlignment="1">
      <alignment horizontal="center" wrapText="1"/>
    </xf>
    <xf numFmtId="0" fontId="6" fillId="13" borderId="12" xfId="0" applyFont="1" applyFill="1" applyBorder="1" applyAlignment="1">
      <alignment horizontal="center" vertical="center"/>
    </xf>
    <xf numFmtId="3" fontId="7" fillId="3" borderId="13" xfId="0" applyNumberFormat="1" applyFont="1" applyFill="1" applyBorder="1" applyAlignment="1">
      <alignment horizontal="right" vertical="center"/>
    </xf>
    <xf numFmtId="49" fontId="7" fillId="3" borderId="13" xfId="0" applyNumberFormat="1" applyFont="1" applyFill="1" applyBorder="1" applyAlignment="1">
      <alignment horizontal="right" vertical="center"/>
    </xf>
    <xf numFmtId="0" fontId="7" fillId="3" borderId="13" xfId="0" applyFont="1" applyFill="1" applyBorder="1" applyAlignment="1">
      <alignment horizontal="right" vertical="center"/>
    </xf>
    <xf numFmtId="172" fontId="7" fillId="3" borderId="13" xfId="0" applyNumberFormat="1" applyFont="1" applyFill="1" applyBorder="1" applyAlignment="1">
      <alignment horizontal="right" vertical="center"/>
    </xf>
    <xf numFmtId="0" fontId="10" fillId="14" borderId="13" xfId="0" applyFont="1" applyFill="1" applyBorder="1" applyAlignment="1">
      <alignment vertical="center"/>
    </xf>
    <xf numFmtId="0" fontId="6" fillId="13" borderId="12" xfId="0" applyFont="1" applyFill="1" applyBorder="1" applyAlignment="1">
      <alignment vertical="center"/>
    </xf>
    <xf numFmtId="0" fontId="7" fillId="3" borderId="13" xfId="0" applyFont="1" applyFill="1" applyBorder="1" applyAlignment="1">
      <alignment horizontal="right" vertical="center" wrapText="1"/>
    </xf>
    <xf numFmtId="169" fontId="7" fillId="9" borderId="13" xfId="0" applyNumberFormat="1" applyFont="1" applyFill="1" applyBorder="1" applyAlignment="1">
      <alignment horizontal="right" vertical="center"/>
    </xf>
    <xf numFmtId="0" fontId="3" fillId="12" borderId="27" xfId="0" applyFont="1" applyFill="1" applyBorder="1" applyAlignment="1">
      <alignment horizontal="center" vertical="center"/>
    </xf>
    <xf numFmtId="0" fontId="3" fillId="12" borderId="28" xfId="0" applyFont="1" applyFill="1" applyBorder="1" applyAlignment="1">
      <alignment horizontal="center" vertical="center"/>
    </xf>
    <xf numFmtId="0" fontId="3" fillId="12" borderId="29" xfId="0" applyFont="1" applyFill="1" applyBorder="1" applyAlignment="1">
      <alignment horizontal="center" vertical="center"/>
    </xf>
    <xf numFmtId="0" fontId="5" fillId="3" borderId="13" xfId="0" applyFont="1" applyFill="1" applyBorder="1" applyAlignment="1">
      <alignment horizontal="right" vertical="center"/>
    </xf>
    <xf numFmtId="0" fontId="4" fillId="15" borderId="12" xfId="0" applyFont="1" applyFill="1" applyBorder="1" applyAlignment="1">
      <alignment horizontal="center" vertical="center" wrapText="1"/>
    </xf>
    <xf numFmtId="0" fontId="4" fillId="15" borderId="32" xfId="0" applyFont="1" applyFill="1" applyBorder="1" applyAlignment="1">
      <alignment horizontal="center" vertical="center" wrapText="1"/>
    </xf>
    <xf numFmtId="0" fontId="4" fillId="15" borderId="30" xfId="0" applyFont="1" applyFill="1" applyBorder="1" applyAlignment="1">
      <alignment horizontal="center" vertical="center"/>
    </xf>
    <xf numFmtId="0" fontId="4" fillId="15" borderId="31" xfId="0" applyFont="1" applyFill="1" applyBorder="1" applyAlignment="1">
      <alignment horizontal="center" vertical="center"/>
    </xf>
    <xf numFmtId="0" fontId="4" fillId="15" borderId="12" xfId="0" applyFont="1" applyFill="1" applyBorder="1" applyAlignment="1">
      <alignment horizontal="center" vertical="center"/>
    </xf>
    <xf numFmtId="0" fontId="4" fillId="15" borderId="32" xfId="0" applyFont="1" applyFill="1" applyBorder="1" applyAlignment="1">
      <alignment horizontal="center" vertical="center"/>
    </xf>
    <xf numFmtId="0" fontId="4" fillId="15" borderId="30" xfId="0" applyFont="1" applyFill="1" applyBorder="1" applyAlignment="1">
      <alignment horizontal="center" vertical="center" wrapText="1"/>
    </xf>
    <xf numFmtId="0" fontId="4" fillId="15" borderId="31" xfId="0" applyFont="1" applyFill="1" applyBorder="1" applyAlignment="1">
      <alignment horizontal="center" vertical="center" wrapText="1"/>
    </xf>
    <xf numFmtId="0" fontId="4" fillId="15" borderId="4" xfId="0" applyFont="1" applyFill="1" applyBorder="1" applyAlignment="1">
      <alignment horizontal="center" vertical="center" wrapText="1"/>
    </xf>
    <xf numFmtId="0" fontId="4" fillId="15" borderId="5" xfId="0" applyFont="1" applyFill="1" applyBorder="1" applyAlignment="1">
      <alignment horizontal="center" vertical="center" wrapText="1"/>
    </xf>
    <xf numFmtId="17" fontId="4" fillId="15" borderId="8" xfId="0" applyNumberFormat="1" applyFont="1" applyFill="1" applyBorder="1" applyAlignment="1">
      <alignment horizontal="center" vertical="center"/>
    </xf>
    <xf numFmtId="17" fontId="4" fillId="15" borderId="12" xfId="0" applyNumberFormat="1" applyFont="1" applyFill="1" applyBorder="1" applyAlignment="1">
      <alignment horizontal="center" vertical="center"/>
    </xf>
    <xf numFmtId="173" fontId="4" fillId="15" borderId="8" xfId="0" applyNumberFormat="1" applyFont="1" applyFill="1" applyBorder="1" applyAlignment="1">
      <alignment horizontal="center" vertical="center"/>
    </xf>
    <xf numFmtId="173" fontId="4" fillId="15" borderId="12" xfId="0" applyNumberFormat="1" applyFont="1" applyFill="1" applyBorder="1" applyAlignment="1">
      <alignment horizontal="center" vertical="center"/>
    </xf>
    <xf numFmtId="0" fontId="17" fillId="12" borderId="13" xfId="0" applyFont="1" applyFill="1" applyBorder="1" applyAlignment="1">
      <alignment horizontal="center" vertical="center"/>
    </xf>
    <xf numFmtId="0" fontId="4" fillId="14" borderId="6" xfId="0" applyFont="1" applyFill="1" applyBorder="1" applyAlignment="1">
      <alignment vertical="center"/>
    </xf>
    <xf numFmtId="0" fontId="4" fillId="14" borderId="7" xfId="0" applyFont="1" applyFill="1" applyBorder="1" applyAlignment="1">
      <alignment vertical="center"/>
    </xf>
    <xf numFmtId="0" fontId="4" fillId="14" borderId="8" xfId="0" applyFont="1" applyFill="1" applyBorder="1" applyAlignment="1">
      <alignment vertical="center"/>
    </xf>
    <xf numFmtId="0" fontId="19" fillId="3" borderId="1" xfId="0" applyFont="1" applyFill="1" applyBorder="1" applyAlignment="1">
      <alignment horizontal="center" vertical="center" wrapText="1"/>
    </xf>
    <xf numFmtId="0" fontId="19" fillId="3" borderId="3" xfId="0" applyFont="1" applyFill="1" applyBorder="1" applyAlignment="1">
      <alignment horizontal="center" vertical="center" wrapText="1"/>
    </xf>
    <xf numFmtId="0" fontId="1" fillId="3" borderId="12" xfId="0" applyFont="1" applyFill="1" applyBorder="1" applyAlignment="1">
      <alignment horizontal="right" vertical="center"/>
    </xf>
    <xf numFmtId="0" fontId="4" fillId="14" borderId="32" xfId="0" applyFont="1" applyFill="1" applyBorder="1" applyAlignment="1">
      <alignment horizontal="center" vertical="center" wrapText="1"/>
    </xf>
    <xf numFmtId="0" fontId="4" fillId="14" borderId="13" xfId="0" applyFont="1" applyFill="1" applyBorder="1"/>
    <xf numFmtId="0" fontId="4" fillId="14" borderId="1" xfId="0" applyFont="1" applyFill="1" applyBorder="1" applyAlignment="1">
      <alignment vertical="center"/>
    </xf>
    <xf numFmtId="0" fontId="4" fillId="14" borderId="2" xfId="0" applyFont="1" applyFill="1" applyBorder="1" applyAlignment="1">
      <alignment vertical="center"/>
    </xf>
    <xf numFmtId="0" fontId="4" fillId="14" borderId="3" xfId="0" applyFont="1" applyFill="1" applyBorder="1" applyAlignment="1">
      <alignment vertical="center"/>
    </xf>
    <xf numFmtId="14" fontId="1" fillId="3" borderId="13" xfId="0" applyNumberFormat="1" applyFont="1" applyFill="1" applyBorder="1" applyAlignment="1">
      <alignment horizontal="right" vertical="center"/>
    </xf>
    <xf numFmtId="0" fontId="1" fillId="3" borderId="13" xfId="0" applyFont="1" applyFill="1" applyBorder="1" applyAlignment="1">
      <alignment horizontal="right" vertical="center"/>
    </xf>
    <xf numFmtId="0" fontId="19" fillId="3" borderId="13" xfId="0" applyFont="1" applyFill="1" applyBorder="1" applyAlignment="1">
      <alignment horizontal="center" vertical="center" wrapText="1"/>
    </xf>
    <xf numFmtId="0" fontId="3" fillId="12" borderId="13" xfId="0" applyFont="1" applyFill="1" applyBorder="1" applyAlignment="1">
      <alignment horizontal="center" vertical="center"/>
    </xf>
    <xf numFmtId="175" fontId="14" fillId="3" borderId="13" xfId="0" applyNumberFormat="1" applyFont="1" applyFill="1" applyBorder="1" applyAlignment="1">
      <alignment horizontal="right" vertical="center"/>
    </xf>
    <xf numFmtId="49" fontId="1" fillId="3" borderId="13" xfId="0" applyNumberFormat="1" applyFont="1" applyFill="1" applyBorder="1" applyAlignment="1">
      <alignment horizontal="right" vertical="center"/>
    </xf>
    <xf numFmtId="0" fontId="1" fillId="3" borderId="32" xfId="0" applyFont="1" applyFill="1" applyBorder="1" applyAlignment="1">
      <alignment horizontal="right" vertical="center"/>
    </xf>
    <xf numFmtId="0" fontId="3" fillId="12" borderId="32" xfId="0" applyFont="1" applyFill="1" applyBorder="1" applyAlignment="1">
      <alignment horizontal="center" vertical="center" wrapText="1"/>
    </xf>
    <xf numFmtId="0" fontId="3" fillId="12" borderId="1" xfId="0" applyFont="1" applyFill="1" applyBorder="1" applyAlignment="1">
      <alignment horizontal="center" vertical="center"/>
    </xf>
    <xf numFmtId="0" fontId="3" fillId="12" borderId="2" xfId="0" applyFont="1" applyFill="1" applyBorder="1" applyAlignment="1">
      <alignment horizontal="center" vertical="center"/>
    </xf>
    <xf numFmtId="0" fontId="3" fillId="12" borderId="3" xfId="0" applyFont="1" applyFill="1" applyBorder="1" applyAlignment="1">
      <alignment horizontal="center" vertical="center"/>
    </xf>
    <xf numFmtId="0" fontId="4" fillId="14" borderId="1" xfId="0" applyFont="1" applyFill="1" applyBorder="1" applyAlignment="1">
      <alignment horizontal="left" vertical="center"/>
    </xf>
    <xf numFmtId="0" fontId="4" fillId="14" borderId="2" xfId="0" applyFont="1" applyFill="1" applyBorder="1" applyAlignment="1">
      <alignment horizontal="left" vertical="center"/>
    </xf>
    <xf numFmtId="0" fontId="4" fillId="14" borderId="3" xfId="0" applyFont="1" applyFill="1" applyBorder="1" applyAlignment="1">
      <alignment horizontal="left" vertical="center"/>
    </xf>
    <xf numFmtId="176" fontId="1" fillId="3" borderId="1" xfId="0" applyNumberFormat="1" applyFont="1" applyFill="1" applyBorder="1" applyAlignment="1">
      <alignment horizontal="right" vertical="center"/>
    </xf>
    <xf numFmtId="176" fontId="1" fillId="3" borderId="2" xfId="0" applyNumberFormat="1" applyFont="1" applyFill="1" applyBorder="1" applyAlignment="1">
      <alignment horizontal="right" vertical="center"/>
    </xf>
    <xf numFmtId="176" fontId="1" fillId="3" borderId="3" xfId="0" applyNumberFormat="1" applyFont="1" applyFill="1" applyBorder="1" applyAlignment="1">
      <alignment horizontal="right" vertical="center"/>
    </xf>
    <xf numFmtId="0" fontId="4" fillId="14" borderId="1" xfId="0" applyFont="1" applyFill="1" applyBorder="1" applyAlignment="1">
      <alignment vertical="center" wrapText="1"/>
    </xf>
    <xf numFmtId="0" fontId="4" fillId="14" borderId="2" xfId="0" applyFont="1" applyFill="1" applyBorder="1" applyAlignment="1">
      <alignment vertical="center" wrapText="1"/>
    </xf>
    <xf numFmtId="0" fontId="4" fillId="14" borderId="3" xfId="0" applyFont="1" applyFill="1" applyBorder="1" applyAlignment="1">
      <alignment vertical="center" wrapText="1"/>
    </xf>
    <xf numFmtId="0" fontId="1" fillId="3" borderId="13" xfId="0" applyFont="1" applyFill="1" applyBorder="1" applyAlignment="1">
      <alignment horizontal="right" vertical="center" wrapText="1"/>
    </xf>
    <xf numFmtId="0" fontId="14" fillId="3" borderId="13" xfId="0" applyFont="1" applyFill="1" applyBorder="1" applyAlignment="1">
      <alignment horizontal="right" vertical="center"/>
    </xf>
    <xf numFmtId="0" fontId="15" fillId="14" borderId="13" xfId="0" applyFont="1" applyFill="1" applyBorder="1" applyAlignment="1">
      <alignment vertical="center" wrapText="1"/>
    </xf>
    <xf numFmtId="14" fontId="14" fillId="3" borderId="13" xfId="0" applyNumberFormat="1" applyFont="1" applyFill="1" applyBorder="1" applyAlignment="1">
      <alignment horizontal="right" vertical="center"/>
    </xf>
    <xf numFmtId="0" fontId="15" fillId="14" borderId="13" xfId="0" applyFont="1" applyFill="1" applyBorder="1" applyAlignment="1">
      <alignment vertical="center"/>
    </xf>
    <xf numFmtId="176" fontId="14" fillId="3" borderId="13" xfId="0" applyNumberFormat="1" applyFont="1" applyFill="1" applyBorder="1" applyAlignment="1">
      <alignment horizontal="right" vertical="center"/>
    </xf>
    <xf numFmtId="0" fontId="14" fillId="3" borderId="13" xfId="0" applyFont="1" applyFill="1" applyBorder="1" applyAlignment="1">
      <alignment horizontal="right" vertical="center" wrapText="1"/>
    </xf>
    <xf numFmtId="0" fontId="21" fillId="12" borderId="13" xfId="0" applyFont="1" applyFill="1" applyBorder="1" applyAlignment="1">
      <alignment horizontal="center" vertical="center"/>
    </xf>
    <xf numFmtId="0" fontId="15" fillId="14" borderId="12" xfId="0" applyFont="1" applyFill="1" applyBorder="1" applyAlignment="1">
      <alignment vertical="center"/>
    </xf>
    <xf numFmtId="0" fontId="14" fillId="3" borderId="12" xfId="0" applyFont="1" applyFill="1" applyBorder="1" applyAlignment="1">
      <alignment horizontal="right" vertical="center"/>
    </xf>
    <xf numFmtId="0" fontId="23" fillId="20" borderId="1" xfId="0" applyFont="1" applyFill="1" applyBorder="1" applyAlignment="1">
      <alignment horizontal="center" vertical="center"/>
    </xf>
    <xf numFmtId="0" fontId="23" fillId="20" borderId="3" xfId="0" applyFont="1" applyFill="1" applyBorder="1" applyAlignment="1">
      <alignment horizontal="center" vertical="center"/>
    </xf>
    <xf numFmtId="0" fontId="23" fillId="20" borderId="4" xfId="0" applyFont="1" applyFill="1" applyBorder="1" applyAlignment="1">
      <alignment horizontal="center" vertical="center"/>
    </xf>
    <xf numFmtId="0" fontId="23" fillId="20" borderId="0" xfId="0" applyFont="1" applyFill="1" applyAlignment="1">
      <alignment horizontal="center" vertical="center"/>
    </xf>
    <xf numFmtId="0" fontId="24" fillId="14" borderId="12" xfId="0" applyFont="1" applyFill="1" applyBorder="1" applyAlignment="1">
      <alignment horizontal="center" vertical="center" wrapText="1"/>
    </xf>
    <xf numFmtId="0" fontId="26" fillId="3" borderId="13" xfId="0" applyFont="1" applyFill="1" applyBorder="1" applyAlignment="1">
      <alignment horizontal="left" vertical="center"/>
    </xf>
    <xf numFmtId="0" fontId="25" fillId="3" borderId="13" xfId="0" applyFont="1" applyFill="1" applyBorder="1" applyAlignment="1">
      <alignment horizontal="left" vertical="center" wrapText="1"/>
    </xf>
    <xf numFmtId="0" fontId="25" fillId="3" borderId="13" xfId="0" applyFont="1" applyFill="1" applyBorder="1" applyAlignment="1">
      <alignment horizontal="left" vertical="center"/>
    </xf>
    <xf numFmtId="0" fontId="24" fillId="14" borderId="13" xfId="0" applyFont="1" applyFill="1" applyBorder="1" applyAlignment="1">
      <alignment horizontal="center" vertical="center" wrapText="1"/>
    </xf>
    <xf numFmtId="0" fontId="27" fillId="26" borderId="13" xfId="0" applyFont="1" applyFill="1" applyBorder="1" applyAlignment="1">
      <alignment horizontal="center" vertical="top" wrapText="1"/>
    </xf>
    <xf numFmtId="0" fontId="1" fillId="0" borderId="0" xfId="0" applyFont="1"/>
    <xf numFmtId="176" fontId="14" fillId="0" borderId="1" xfId="0" applyNumberFormat="1" applyFont="1" applyBorder="1" applyAlignment="1">
      <alignment horizontal="left" vertical="center"/>
    </xf>
    <xf numFmtId="0" fontId="14" fillId="0" borderId="2" xfId="0" applyFont="1" applyBorder="1" applyAlignment="1">
      <alignment horizontal="left" vertical="center"/>
    </xf>
    <xf numFmtId="0" fontId="14" fillId="0" borderId="3" xfId="0" applyFont="1" applyBorder="1" applyAlignment="1">
      <alignment horizontal="left" vertical="center"/>
    </xf>
    <xf numFmtId="0" fontId="29" fillId="12" borderId="13" xfId="0" applyFont="1" applyFill="1" applyBorder="1" applyAlignment="1">
      <alignment horizontal="left" vertical="center"/>
    </xf>
    <xf numFmtId="0" fontId="32" fillId="16" borderId="37" xfId="0" applyFont="1" applyFill="1" applyBorder="1" applyAlignment="1">
      <alignment horizontal="left"/>
    </xf>
    <xf numFmtId="0" fontId="32" fillId="16" borderId="38" xfId="0" applyFont="1" applyFill="1" applyBorder="1" applyAlignment="1">
      <alignment horizontal="left"/>
    </xf>
    <xf numFmtId="0" fontId="33" fillId="3" borderId="0" xfId="0" applyFont="1" applyFill="1" applyAlignment="1">
      <alignment wrapText="1"/>
    </xf>
    <xf numFmtId="0" fontId="34" fillId="3" borderId="0" xfId="0" applyFont="1" applyFill="1" applyAlignment="1">
      <alignment wrapText="1"/>
    </xf>
    <xf numFmtId="0" fontId="34" fillId="3" borderId="43" xfId="0" applyFont="1" applyFill="1" applyBorder="1" applyAlignment="1">
      <alignment wrapText="1"/>
    </xf>
    <xf numFmtId="0" fontId="14" fillId="3" borderId="0" xfId="0" applyFont="1" applyFill="1" applyAlignment="1">
      <alignment horizontal="left"/>
    </xf>
    <xf numFmtId="0" fontId="14" fillId="3" borderId="43" xfId="0" applyFont="1" applyFill="1" applyBorder="1" applyAlignment="1">
      <alignment horizontal="left"/>
    </xf>
    <xf numFmtId="0" fontId="25" fillId="3" borderId="10" xfId="0" applyFont="1" applyFill="1" applyBorder="1" applyAlignment="1">
      <alignment wrapText="1"/>
    </xf>
    <xf numFmtId="0" fontId="25" fillId="3" borderId="44" xfId="0" applyFont="1" applyFill="1" applyBorder="1" applyAlignment="1">
      <alignment wrapText="1"/>
    </xf>
    <xf numFmtId="0" fontId="14" fillId="3" borderId="4" xfId="0" applyFont="1" applyFill="1" applyBorder="1"/>
    <xf numFmtId="0" fontId="14" fillId="3" borderId="0" xfId="0" applyFont="1" applyFill="1"/>
    <xf numFmtId="0" fontId="14" fillId="3" borderId="43" xfId="0" applyFont="1" applyFill="1" applyBorder="1"/>
    <xf numFmtId="0" fontId="25" fillId="3" borderId="0" xfId="0" applyFont="1" applyFill="1" applyAlignment="1">
      <alignment horizontal="left" wrapText="1"/>
    </xf>
    <xf numFmtId="0" fontId="25" fillId="3" borderId="43" xfId="0" applyFont="1" applyFill="1" applyBorder="1" applyAlignment="1">
      <alignment horizontal="left" wrapText="1"/>
    </xf>
    <xf numFmtId="0" fontId="31" fillId="13" borderId="56" xfId="0" applyFont="1" applyFill="1" applyBorder="1" applyAlignment="1">
      <alignment vertical="center"/>
    </xf>
    <xf numFmtId="0" fontId="31" fillId="13" borderId="28" xfId="0" applyFont="1" applyFill="1" applyBorder="1" applyAlignment="1">
      <alignment vertical="center"/>
    </xf>
    <xf numFmtId="0" fontId="31" fillId="13" borderId="57" xfId="0" applyFont="1" applyFill="1" applyBorder="1" applyAlignment="1">
      <alignment vertical="center"/>
    </xf>
    <xf numFmtId="0" fontId="25" fillId="3" borderId="0" xfId="0" applyFont="1" applyFill="1" applyAlignment="1">
      <alignment wrapText="1"/>
    </xf>
    <xf numFmtId="0" fontId="25" fillId="3" borderId="43" xfId="0" applyFont="1" applyFill="1" applyBorder="1" applyAlignment="1">
      <alignment wrapText="1"/>
    </xf>
    <xf numFmtId="0" fontId="15" fillId="16" borderId="7" xfId="0" applyFont="1" applyFill="1" applyBorder="1" applyAlignment="1">
      <alignment horizontal="center"/>
    </xf>
    <xf numFmtId="0" fontId="15" fillId="16" borderId="35" xfId="0" applyFont="1" applyFill="1" applyBorder="1" applyAlignment="1">
      <alignment horizontal="center"/>
    </xf>
    <xf numFmtId="0" fontId="30" fillId="12" borderId="9" xfId="0" applyFont="1" applyFill="1" applyBorder="1" applyAlignment="1">
      <alignment horizontal="center" vertical="center"/>
    </xf>
    <xf numFmtId="0" fontId="30" fillId="12" borderId="10" xfId="0" applyFont="1" applyFill="1" applyBorder="1" applyAlignment="1">
      <alignment horizontal="center" vertical="center"/>
    </xf>
    <xf numFmtId="0" fontId="30" fillId="12" borderId="11" xfId="0" applyFont="1" applyFill="1" applyBorder="1" applyAlignment="1">
      <alignment horizontal="center" vertical="center"/>
    </xf>
    <xf numFmtId="0" fontId="31" fillId="13" borderId="37" xfId="0" applyFont="1" applyFill="1" applyBorder="1" applyAlignment="1">
      <alignment vertical="center"/>
    </xf>
    <xf numFmtId="0" fontId="31" fillId="13" borderId="38" xfId="0" applyFont="1" applyFill="1" applyBorder="1" applyAlignment="1">
      <alignment vertical="center"/>
    </xf>
    <xf numFmtId="0" fontId="15" fillId="3" borderId="1" xfId="0" applyFont="1" applyFill="1" applyBorder="1" applyAlignment="1">
      <alignment horizontal="right"/>
    </xf>
    <xf numFmtId="0" fontId="15" fillId="3" borderId="2" xfId="0" applyFont="1" applyFill="1" applyBorder="1" applyAlignment="1">
      <alignment horizontal="right"/>
    </xf>
    <xf numFmtId="0" fontId="15" fillId="3" borderId="3" xfId="0" applyFont="1" applyFill="1" applyBorder="1" applyAlignment="1">
      <alignment horizontal="right"/>
    </xf>
    <xf numFmtId="0" fontId="15" fillId="3" borderId="1" xfId="0" applyFont="1" applyFill="1" applyBorder="1" applyAlignment="1">
      <alignment horizontal="right" vertical="center"/>
    </xf>
    <xf numFmtId="0" fontId="15" fillId="3" borderId="2" xfId="0" applyFont="1" applyFill="1" applyBorder="1" applyAlignment="1">
      <alignment horizontal="right" vertical="center"/>
    </xf>
    <xf numFmtId="0" fontId="15" fillId="3" borderId="3" xfId="0" applyFont="1" applyFill="1" applyBorder="1" applyAlignment="1">
      <alignment horizontal="right" vertical="center"/>
    </xf>
    <xf numFmtId="0" fontId="15" fillId="3" borderId="40" xfId="0" applyFont="1" applyFill="1" applyBorder="1" applyAlignment="1">
      <alignment horizontal="right" vertical="center"/>
    </xf>
    <xf numFmtId="0" fontId="15" fillId="3" borderId="41" xfId="0" applyFont="1" applyFill="1" applyBorder="1" applyAlignment="1">
      <alignment horizontal="right" vertical="center"/>
    </xf>
    <xf numFmtId="0" fontId="15" fillId="3" borderId="42" xfId="0" applyFont="1" applyFill="1" applyBorder="1" applyAlignment="1">
      <alignment horizontal="right" vertical="center"/>
    </xf>
    <xf numFmtId="0" fontId="32" fillId="3" borderId="9" xfId="0" applyFont="1" applyFill="1" applyBorder="1" applyAlignment="1">
      <alignment horizontal="left"/>
    </xf>
    <xf numFmtId="0" fontId="32" fillId="3" borderId="10" xfId="0" applyFont="1" applyFill="1" applyBorder="1" applyAlignment="1">
      <alignment horizontal="left"/>
    </xf>
    <xf numFmtId="0" fontId="33" fillId="3" borderId="7" xfId="0" applyFont="1" applyFill="1" applyBorder="1" applyAlignment="1">
      <alignment wrapText="1"/>
    </xf>
    <xf numFmtId="0" fontId="34" fillId="3" borderId="7" xfId="0" applyFont="1" applyFill="1" applyBorder="1" applyAlignment="1">
      <alignment wrapText="1"/>
    </xf>
    <xf numFmtId="0" fontId="34" fillId="3" borderId="35" xfId="0" applyFont="1" applyFill="1" applyBorder="1" applyAlignment="1">
      <alignment wrapText="1"/>
    </xf>
    <xf numFmtId="0" fontId="14" fillId="3" borderId="4" xfId="0" applyFont="1" applyFill="1" applyBorder="1" applyAlignment="1">
      <alignment wrapText="1"/>
    </xf>
    <xf numFmtId="0" fontId="14" fillId="3" borderId="0" xfId="0" applyFont="1" applyFill="1" applyAlignment="1">
      <alignment wrapText="1"/>
    </xf>
    <xf numFmtId="0" fontId="14" fillId="3" borderId="43" xfId="0" applyFont="1" applyFill="1" applyBorder="1" applyAlignment="1">
      <alignment wrapText="1"/>
    </xf>
    <xf numFmtId="165" fontId="25" fillId="3" borderId="10" xfId="0" applyNumberFormat="1" applyFont="1" applyFill="1" applyBorder="1"/>
    <xf numFmtId="165" fontId="25" fillId="3" borderId="44" xfId="0" applyNumberFormat="1" applyFont="1" applyFill="1" applyBorder="1"/>
    <xf numFmtId="0" fontId="37" fillId="28" borderId="9" xfId="0" applyFont="1" applyFill="1" applyBorder="1" applyAlignment="1">
      <alignment horizontal="left"/>
    </xf>
    <xf numFmtId="0" fontId="37" fillId="28" borderId="10" xfId="0" applyFont="1" applyFill="1" applyBorder="1" applyAlignment="1">
      <alignment horizontal="left"/>
    </xf>
    <xf numFmtId="0" fontId="37" fillId="28" borderId="11" xfId="0" applyFont="1" applyFill="1" applyBorder="1" applyAlignment="1">
      <alignment horizontal="left"/>
    </xf>
    <xf numFmtId="0" fontId="14" fillId="3" borderId="4" xfId="0" applyFont="1" applyFill="1" applyBorder="1" applyAlignment="1">
      <alignment horizontal="center"/>
    </xf>
    <xf numFmtId="0" fontId="14" fillId="3" borderId="6" xfId="0" applyFont="1" applyFill="1" applyBorder="1" applyAlignment="1">
      <alignment horizontal="center"/>
    </xf>
    <xf numFmtId="0" fontId="33" fillId="3" borderId="10" xfId="0" applyFont="1" applyFill="1" applyBorder="1" applyAlignment="1">
      <alignment wrapText="1"/>
    </xf>
    <xf numFmtId="0" fontId="34" fillId="3" borderId="44" xfId="0" applyFont="1" applyFill="1" applyBorder="1" applyAlignment="1">
      <alignment wrapText="1"/>
    </xf>
    <xf numFmtId="0" fontId="25" fillId="3" borderId="0" xfId="0" applyFont="1" applyFill="1" applyAlignment="1">
      <alignment horizontal="center"/>
    </xf>
    <xf numFmtId="0" fontId="14" fillId="3" borderId="5" xfId="0" applyFont="1" applyFill="1" applyBorder="1"/>
    <xf numFmtId="0" fontId="25" fillId="3" borderId="7" xfId="0" applyFont="1" applyFill="1" applyBorder="1" applyAlignment="1">
      <alignment wrapText="1"/>
    </xf>
    <xf numFmtId="0" fontId="25" fillId="3" borderId="35" xfId="0" applyFont="1" applyFill="1" applyBorder="1" applyAlignment="1">
      <alignment wrapText="1"/>
    </xf>
    <xf numFmtId="0" fontId="20" fillId="3" borderId="4" xfId="0" applyFont="1" applyFill="1" applyBorder="1"/>
    <xf numFmtId="0" fontId="20" fillId="3" borderId="0" xfId="0" applyFont="1" applyFill="1"/>
    <xf numFmtId="0" fontId="20" fillId="3" borderId="0" xfId="0" applyFont="1" applyFill="1" applyAlignment="1">
      <alignment wrapText="1"/>
    </xf>
    <xf numFmtId="0" fontId="20" fillId="3" borderId="5" xfId="0" applyFont="1" applyFill="1" applyBorder="1"/>
    <xf numFmtId="165" fontId="25" fillId="3" borderId="0" xfId="0" applyNumberFormat="1" applyFont="1" applyFill="1"/>
    <xf numFmtId="165" fontId="25" fillId="3" borderId="43" xfId="0" applyNumberFormat="1" applyFont="1" applyFill="1" applyBorder="1"/>
    <xf numFmtId="0" fontId="20" fillId="3" borderId="9" xfId="0" applyFont="1" applyFill="1" applyBorder="1"/>
    <xf numFmtId="0" fontId="20" fillId="3" borderId="10" xfId="0" applyFont="1" applyFill="1" applyBorder="1"/>
    <xf numFmtId="0" fontId="20" fillId="3" borderId="11" xfId="0" applyFont="1" applyFill="1" applyBorder="1"/>
    <xf numFmtId="184" fontId="35" fillId="3" borderId="46" xfId="0" applyNumberFormat="1" applyFont="1" applyFill="1" applyBorder="1" applyAlignment="1">
      <alignment horizontal="center"/>
    </xf>
    <xf numFmtId="184" fontId="35" fillId="3" borderId="0" xfId="0" applyNumberFormat="1" applyFont="1" applyFill="1" applyAlignment="1">
      <alignment horizontal="center"/>
    </xf>
    <xf numFmtId="184" fontId="35" fillId="3" borderId="5" xfId="0" applyNumberFormat="1" applyFont="1" applyFill="1" applyBorder="1" applyAlignment="1">
      <alignment horizontal="center"/>
    </xf>
    <xf numFmtId="184" fontId="35" fillId="3" borderId="52" xfId="0" applyNumberFormat="1" applyFont="1" applyFill="1" applyBorder="1" applyAlignment="1">
      <alignment horizontal="center"/>
    </xf>
    <xf numFmtId="184" fontId="35" fillId="3" borderId="7" xfId="0" applyNumberFormat="1" applyFont="1" applyFill="1" applyBorder="1" applyAlignment="1">
      <alignment horizontal="center"/>
    </xf>
    <xf numFmtId="184" fontId="35" fillId="3" borderId="8" xfId="0" applyNumberFormat="1" applyFont="1" applyFill="1" applyBorder="1" applyAlignment="1">
      <alignment horizontal="center"/>
    </xf>
    <xf numFmtId="0" fontId="25" fillId="3" borderId="0" xfId="0" applyFont="1" applyFill="1"/>
    <xf numFmtId="0" fontId="25" fillId="3" borderId="43" xfId="0" applyFont="1" applyFill="1" applyBorder="1"/>
    <xf numFmtId="0" fontId="32" fillId="16" borderId="48" xfId="0" applyFont="1" applyFill="1" applyBorder="1" applyAlignment="1">
      <alignment horizontal="left"/>
    </xf>
    <xf numFmtId="0" fontId="32" fillId="16" borderId="49" xfId="0" applyFont="1" applyFill="1" applyBorder="1" applyAlignment="1">
      <alignment horizontal="left"/>
    </xf>
    <xf numFmtId="0" fontId="32" fillId="3" borderId="4" xfId="0" applyFont="1" applyFill="1" applyBorder="1"/>
    <xf numFmtId="0" fontId="32" fillId="3" borderId="0" xfId="0" applyFont="1" applyFill="1"/>
    <xf numFmtId="0" fontId="14" fillId="3" borderId="6" xfId="0" applyFont="1" applyFill="1" applyBorder="1"/>
    <xf numFmtId="0" fontId="32" fillId="14" borderId="37" xfId="0" applyFont="1" applyFill="1" applyBorder="1" applyAlignment="1">
      <alignment horizontal="left"/>
    </xf>
    <xf numFmtId="0" fontId="32" fillId="14" borderId="38" xfId="0" applyFont="1" applyFill="1" applyBorder="1" applyAlignment="1">
      <alignment horizontal="left"/>
    </xf>
    <xf numFmtId="0" fontId="32" fillId="3" borderId="4" xfId="0" applyFont="1" applyFill="1" applyBorder="1" applyAlignment="1">
      <alignment horizontal="left"/>
    </xf>
    <xf numFmtId="0" fontId="32" fillId="3" borderId="0" xfId="0" applyFont="1" applyFill="1" applyAlignment="1">
      <alignment horizontal="left"/>
    </xf>
    <xf numFmtId="0" fontId="35" fillId="3" borderId="4" xfId="0" applyFont="1" applyFill="1" applyBorder="1"/>
    <xf numFmtId="0" fontId="35" fillId="3" borderId="6" xfId="0" applyFont="1" applyFill="1" applyBorder="1"/>
    <xf numFmtId="0" fontId="25" fillId="3" borderId="0" xfId="0" applyFont="1" applyFill="1" applyAlignment="1">
      <alignment horizontal="left"/>
    </xf>
    <xf numFmtId="0" fontId="25" fillId="3" borderId="43" xfId="0" applyFont="1" applyFill="1" applyBorder="1" applyAlignment="1">
      <alignment horizontal="left"/>
    </xf>
    <xf numFmtId="179" fontId="36" fillId="3" borderId="0" xfId="0" applyNumberFormat="1" applyFont="1" applyFill="1" applyAlignment="1">
      <alignment wrapText="1"/>
    </xf>
    <xf numFmtId="179" fontId="36" fillId="3" borderId="43" xfId="0" applyNumberFormat="1" applyFont="1" applyFill="1" applyBorder="1" applyAlignment="1">
      <alignment wrapText="1"/>
    </xf>
    <xf numFmtId="0" fontId="20" fillId="3" borderId="0" xfId="0" applyFont="1" applyFill="1" applyAlignment="1">
      <alignment horizontal="left"/>
    </xf>
    <xf numFmtId="0" fontId="20" fillId="3" borderId="43" xfId="0" applyFont="1" applyFill="1" applyBorder="1" applyAlignment="1">
      <alignment horizontal="left"/>
    </xf>
    <xf numFmtId="0" fontId="25" fillId="3" borderId="10" xfId="0" applyFont="1" applyFill="1" applyBorder="1"/>
    <xf numFmtId="0" fontId="25" fillId="3" borderId="7" xfId="0" applyFont="1" applyFill="1" applyBorder="1"/>
    <xf numFmtId="0" fontId="25" fillId="3" borderId="10" xfId="0" applyFont="1" applyFill="1" applyBorder="1" applyAlignment="1">
      <alignment horizontal="left" wrapText="1"/>
    </xf>
    <xf numFmtId="0" fontId="25" fillId="3" borderId="44" xfId="0" applyFont="1" applyFill="1" applyBorder="1" applyAlignment="1">
      <alignment horizontal="left" wrapText="1"/>
    </xf>
    <xf numFmtId="0" fontId="40" fillId="28" borderId="66" xfId="0" applyFont="1" applyFill="1" applyBorder="1" applyAlignment="1">
      <alignment horizontal="left"/>
    </xf>
    <xf numFmtId="0" fontId="40" fillId="28" borderId="67" xfId="0" applyFont="1" applyFill="1" applyBorder="1" applyAlignment="1">
      <alignment horizontal="left"/>
    </xf>
    <xf numFmtId="0" fontId="40" fillId="28" borderId="68" xfId="0" applyFont="1" applyFill="1" applyBorder="1" applyAlignment="1">
      <alignment horizontal="left"/>
    </xf>
    <xf numFmtId="0" fontId="36" fillId="3" borderId="7" xfId="0" applyFont="1" applyFill="1" applyBorder="1"/>
    <xf numFmtId="0" fontId="36" fillId="3" borderId="35" xfId="0" applyFont="1" applyFill="1" applyBorder="1"/>
    <xf numFmtId="0" fontId="32" fillId="16" borderId="1" xfId="0" applyFont="1" applyFill="1" applyBorder="1" applyAlignment="1">
      <alignment horizontal="left"/>
    </xf>
    <xf numFmtId="0" fontId="32" fillId="16" borderId="2" xfId="0" applyFont="1" applyFill="1" applyBorder="1" applyAlignment="1">
      <alignment horizontal="left"/>
    </xf>
    <xf numFmtId="0" fontId="32" fillId="16" borderId="62" xfId="0" applyFont="1" applyFill="1" applyBorder="1" applyAlignment="1">
      <alignment horizontal="left"/>
    </xf>
    <xf numFmtId="0" fontId="25" fillId="3" borderId="63" xfId="0" applyFont="1" applyFill="1" applyBorder="1" applyAlignment="1">
      <alignment wrapText="1"/>
    </xf>
    <xf numFmtId="0" fontId="25" fillId="3" borderId="64" xfId="0" applyFont="1" applyFill="1" applyBorder="1" applyAlignment="1">
      <alignment wrapText="1"/>
    </xf>
    <xf numFmtId="0" fontId="32" fillId="3" borderId="6" xfId="0" applyFont="1" applyFill="1" applyBorder="1" applyAlignment="1">
      <alignment horizontal="left"/>
    </xf>
    <xf numFmtId="0" fontId="33" fillId="3" borderId="9" xfId="0" applyFont="1" applyFill="1" applyBorder="1" applyAlignment="1">
      <alignment wrapText="1"/>
    </xf>
    <xf numFmtId="0" fontId="34" fillId="3" borderId="10" xfId="0" applyFont="1" applyFill="1" applyBorder="1" applyAlignment="1">
      <alignment wrapText="1"/>
    </xf>
    <xf numFmtId="0" fontId="25" fillId="3" borderId="7" xfId="0" applyFont="1" applyFill="1" applyBorder="1" applyAlignment="1">
      <alignment horizontal="left" wrapText="1"/>
    </xf>
    <xf numFmtId="0" fontId="25" fillId="3" borderId="35" xfId="0" applyFont="1" applyFill="1" applyBorder="1" applyAlignment="1">
      <alignment horizontal="left" wrapText="1"/>
    </xf>
    <xf numFmtId="0" fontId="33" fillId="3" borderId="10" xfId="0" applyFont="1" applyFill="1" applyBorder="1" applyAlignment="1">
      <alignment horizontal="left" wrapText="1"/>
    </xf>
    <xf numFmtId="0" fontId="34" fillId="3" borderId="44" xfId="0" applyFont="1" applyFill="1" applyBorder="1" applyAlignment="1">
      <alignment horizontal="left" wrapText="1"/>
    </xf>
    <xf numFmtId="0" fontId="30" fillId="12" borderId="53" xfId="0" applyFont="1" applyFill="1" applyBorder="1" applyAlignment="1">
      <alignment horizontal="center" vertical="center"/>
    </xf>
    <xf numFmtId="0" fontId="30" fillId="12" borderId="54" xfId="0" applyFont="1" applyFill="1" applyBorder="1" applyAlignment="1">
      <alignment horizontal="center" vertical="center"/>
    </xf>
    <xf numFmtId="0" fontId="30" fillId="12" borderId="55" xfId="0" applyFont="1" applyFill="1" applyBorder="1" applyAlignment="1">
      <alignment horizontal="center" vertical="center"/>
    </xf>
    <xf numFmtId="0" fontId="33" fillId="3" borderId="4" xfId="0" applyFont="1" applyFill="1" applyBorder="1" applyAlignment="1">
      <alignment wrapText="1"/>
    </xf>
    <xf numFmtId="0" fontId="33" fillId="3" borderId="0" xfId="0" applyFont="1" applyFill="1" applyAlignment="1">
      <alignment horizontal="left" wrapText="1"/>
    </xf>
    <xf numFmtId="0" fontId="34" fillId="3" borderId="43" xfId="0" applyFont="1" applyFill="1" applyBorder="1" applyAlignment="1">
      <alignment horizontal="left" wrapText="1"/>
    </xf>
    <xf numFmtId="0" fontId="14" fillId="3" borderId="6" xfId="0" applyFont="1" applyFill="1" applyBorder="1" applyAlignment="1">
      <alignment wrapText="1"/>
    </xf>
    <xf numFmtId="0" fontId="14" fillId="3" borderId="7" xfId="0" applyFont="1" applyFill="1" applyBorder="1" applyAlignment="1">
      <alignment wrapText="1"/>
    </xf>
    <xf numFmtId="0" fontId="14" fillId="3" borderId="35" xfId="0" applyFont="1" applyFill="1" applyBorder="1" applyAlignment="1">
      <alignment wrapText="1"/>
    </xf>
    <xf numFmtId="0" fontId="37" fillId="28" borderId="59" xfId="0" applyFont="1" applyFill="1" applyBorder="1" applyAlignment="1">
      <alignment horizontal="left"/>
    </xf>
    <xf numFmtId="0" fontId="37" fillId="28" borderId="60" xfId="0" applyFont="1" applyFill="1" applyBorder="1" applyAlignment="1">
      <alignment horizontal="left"/>
    </xf>
    <xf numFmtId="0" fontId="37" fillId="28" borderId="61" xfId="0" applyFont="1" applyFill="1" applyBorder="1" applyAlignment="1">
      <alignment horizontal="left"/>
    </xf>
    <xf numFmtId="0" fontId="15" fillId="3" borderId="4" xfId="0" applyFont="1" applyFill="1" applyBorder="1" applyAlignment="1">
      <alignment wrapText="1"/>
    </xf>
    <xf numFmtId="0" fontId="15" fillId="3" borderId="0" xfId="0" applyFont="1" applyFill="1" applyAlignment="1">
      <alignment wrapText="1"/>
    </xf>
    <xf numFmtId="0" fontId="15" fillId="3" borderId="43" xfId="0" applyFont="1" applyFill="1" applyBorder="1" applyAlignment="1">
      <alignment wrapText="1"/>
    </xf>
    <xf numFmtId="0" fontId="33" fillId="3" borderId="7" xfId="0" applyFont="1" applyFill="1" applyBorder="1" applyAlignment="1">
      <alignment horizontal="left" wrapText="1"/>
    </xf>
    <xf numFmtId="0" fontId="34" fillId="3" borderId="7" xfId="0" applyFont="1" applyFill="1" applyBorder="1" applyAlignment="1">
      <alignment horizontal="left" wrapText="1"/>
    </xf>
    <xf numFmtId="0" fontId="34" fillId="3" borderId="35" xfId="0" applyFont="1" applyFill="1" applyBorder="1" applyAlignment="1">
      <alignment horizontal="left" wrapText="1"/>
    </xf>
    <xf numFmtId="0" fontId="28" fillId="12" borderId="9" xfId="0" applyFont="1" applyFill="1" applyBorder="1" applyAlignment="1">
      <alignment horizontal="center" vertical="center"/>
    </xf>
    <xf numFmtId="0" fontId="28" fillId="12" borderId="10" xfId="0" applyFont="1" applyFill="1" applyBorder="1" applyAlignment="1">
      <alignment horizontal="center" vertical="center"/>
    </xf>
    <xf numFmtId="0" fontId="28" fillId="12" borderId="11" xfId="0" applyFont="1" applyFill="1" applyBorder="1" applyAlignment="1">
      <alignment horizontal="center" vertical="center"/>
    </xf>
    <xf numFmtId="0" fontId="14" fillId="3" borderId="10" xfId="0" applyFont="1" applyFill="1" applyBorder="1" applyAlignment="1">
      <alignment wrapText="1"/>
    </xf>
    <xf numFmtId="0" fontId="14" fillId="3" borderId="44" xfId="0" applyFont="1" applyFill="1" applyBorder="1" applyAlignment="1">
      <alignment wrapText="1"/>
    </xf>
    <xf numFmtId="0" fontId="20" fillId="3" borderId="6" xfId="0" applyFont="1" applyFill="1" applyBorder="1"/>
    <xf numFmtId="0" fontId="41" fillId="29" borderId="70" xfId="0" applyFont="1" applyFill="1" applyBorder="1" applyAlignment="1">
      <alignment horizontal="center" vertical="center"/>
    </xf>
    <xf numFmtId="0" fontId="41" fillId="29" borderId="71" xfId="0" applyFont="1" applyFill="1" applyBorder="1" applyAlignment="1">
      <alignment horizontal="center" vertical="center"/>
    </xf>
    <xf numFmtId="0" fontId="41" fillId="29" borderId="72" xfId="0" applyFont="1" applyFill="1" applyBorder="1" applyAlignment="1">
      <alignment horizontal="center" vertical="center"/>
    </xf>
    <xf numFmtId="0" fontId="14" fillId="0" borderId="13" xfId="0" applyFont="1" applyBorder="1" applyAlignment="1">
      <alignment vertical="center" wrapText="1"/>
    </xf>
    <xf numFmtId="0" fontId="41" fillId="29" borderId="1" xfId="0" applyFont="1" applyFill="1" applyBorder="1" applyAlignment="1">
      <alignment horizontal="center" vertical="center"/>
    </xf>
    <xf numFmtId="0" fontId="41" fillId="29" borderId="2" xfId="0" applyFont="1" applyFill="1" applyBorder="1" applyAlignment="1">
      <alignment horizontal="center" vertical="center"/>
    </xf>
    <xf numFmtId="0" fontId="41" fillId="29" borderId="3" xfId="0" applyFont="1" applyFill="1" applyBorder="1" applyAlignment="1">
      <alignment horizontal="center" vertical="center"/>
    </xf>
    <xf numFmtId="0" fontId="29" fillId="13" borderId="12" xfId="0" applyFont="1" applyFill="1" applyBorder="1" applyAlignment="1">
      <alignment horizontal="center" vertical="center"/>
    </xf>
    <xf numFmtId="0" fontId="31" fillId="13" borderId="56" xfId="0" applyFont="1" applyFill="1" applyBorder="1" applyAlignment="1">
      <alignment horizontal="center" vertical="center"/>
    </xf>
    <xf numFmtId="0" fontId="31" fillId="13" borderId="28" xfId="0" applyFont="1" applyFill="1" applyBorder="1" applyAlignment="1">
      <alignment horizontal="center" vertical="center"/>
    </xf>
    <xf numFmtId="0" fontId="31" fillId="13" borderId="58" xfId="0" applyFont="1" applyFill="1" applyBorder="1" applyAlignment="1">
      <alignment horizontal="center" vertical="center"/>
    </xf>
    <xf numFmtId="0" fontId="15" fillId="16" borderId="7" xfId="0" applyFont="1" applyFill="1" applyBorder="1"/>
    <xf numFmtId="0" fontId="36" fillId="3" borderId="0" xfId="0" applyFont="1" applyFill="1"/>
    <xf numFmtId="0" fontId="36" fillId="3" borderId="43" xfId="0" applyFont="1" applyFill="1" applyBorder="1"/>
    <xf numFmtId="0" fontId="40" fillId="28" borderId="84" xfId="0" applyFont="1" applyFill="1" applyBorder="1" applyAlignment="1">
      <alignment horizontal="left"/>
    </xf>
    <xf numFmtId="0" fontId="40" fillId="28" borderId="85" xfId="0" applyFont="1" applyFill="1" applyBorder="1" applyAlignment="1">
      <alignment horizontal="left"/>
    </xf>
    <xf numFmtId="0" fontId="40" fillId="28" borderId="86" xfId="0" applyFont="1" applyFill="1" applyBorder="1" applyAlignment="1">
      <alignment horizontal="left"/>
    </xf>
    <xf numFmtId="0" fontId="15" fillId="3" borderId="4" xfId="0" applyFont="1" applyFill="1" applyBorder="1"/>
    <xf numFmtId="0" fontId="15" fillId="3" borderId="0" xfId="0" applyFont="1" applyFill="1"/>
    <xf numFmtId="0" fontId="15" fillId="3" borderId="5" xfId="0" applyFont="1" applyFill="1" applyBorder="1"/>
    <xf numFmtId="0" fontId="14" fillId="3" borderId="36" xfId="0" applyFont="1" applyFill="1" applyBorder="1" applyAlignment="1">
      <alignment wrapText="1"/>
    </xf>
    <xf numFmtId="0" fontId="20" fillId="0" borderId="96" xfId="0" applyFont="1" applyBorder="1"/>
    <xf numFmtId="0" fontId="20" fillId="0" borderId="97" xfId="0" applyFont="1" applyBorder="1"/>
    <xf numFmtId="0" fontId="20" fillId="0" borderId="98" xfId="0" applyFont="1" applyBorder="1"/>
    <xf numFmtId="0" fontId="14" fillId="3" borderId="7" xfId="0" applyFont="1" applyFill="1" applyBorder="1"/>
    <xf numFmtId="0" fontId="14" fillId="3" borderId="35" xfId="0" applyFont="1" applyFill="1" applyBorder="1"/>
    <xf numFmtId="0" fontId="20" fillId="0" borderId="59" xfId="0" applyFont="1" applyBorder="1"/>
    <xf numFmtId="0" fontId="20" fillId="0" borderId="60" xfId="0" applyFont="1" applyBorder="1"/>
    <xf numFmtId="0" fontId="20" fillId="0" borderId="61" xfId="0" applyFont="1" applyBorder="1"/>
    <xf numFmtId="0" fontId="14" fillId="3" borderId="103" xfId="0" applyFont="1" applyFill="1" applyBorder="1"/>
    <xf numFmtId="0" fontId="14" fillId="3" borderId="104" xfId="0" applyFont="1" applyFill="1" applyBorder="1"/>
    <xf numFmtId="0" fontId="14" fillId="3" borderId="99" xfId="0" applyFont="1" applyFill="1" applyBorder="1"/>
    <xf numFmtId="0" fontId="14" fillId="3" borderId="100" xfId="0" applyFont="1" applyFill="1" applyBorder="1"/>
    <xf numFmtId="0" fontId="14" fillId="3" borderId="92" xfId="0" applyFont="1" applyFill="1" applyBorder="1"/>
    <xf numFmtId="0" fontId="14" fillId="3" borderId="93" xfId="0" applyFont="1" applyFill="1" applyBorder="1"/>
    <xf numFmtId="0" fontId="14" fillId="3" borderId="105" xfId="0" applyFont="1" applyFill="1" applyBorder="1" applyAlignment="1">
      <alignment horizontal="left" wrapText="1"/>
    </xf>
    <xf numFmtId="0" fontId="14" fillId="3" borderId="93" xfId="0" applyFont="1" applyFill="1" applyBorder="1" applyAlignment="1">
      <alignment horizontal="left" wrapText="1"/>
    </xf>
    <xf numFmtId="0" fontId="32" fillId="16" borderId="59" xfId="0" applyFont="1" applyFill="1" applyBorder="1" applyAlignment="1">
      <alignment horizontal="left"/>
    </xf>
    <xf numFmtId="0" fontId="32" fillId="16" borderId="60" xfId="0" applyFont="1" applyFill="1" applyBorder="1" applyAlignment="1">
      <alignment horizontal="left"/>
    </xf>
    <xf numFmtId="0" fontId="32" fillId="16" borderId="94" xfId="0" applyFont="1" applyFill="1" applyBorder="1" applyAlignment="1">
      <alignment horizontal="left"/>
    </xf>
    <xf numFmtId="0" fontId="25" fillId="3" borderId="47" xfId="0" applyFont="1" applyFill="1" applyBorder="1"/>
    <xf numFmtId="0" fontId="25" fillId="3" borderId="101" xfId="0" applyFont="1" applyFill="1" applyBorder="1"/>
    <xf numFmtId="0" fontId="14" fillId="3" borderId="0" xfId="0" applyFont="1" applyFill="1" applyAlignment="1">
      <alignment horizontal="left" wrapText="1"/>
    </xf>
    <xf numFmtId="0" fontId="14" fillId="3" borderId="43" xfId="0" applyFont="1" applyFill="1" applyBorder="1" applyAlignment="1">
      <alignment horizontal="left" wrapText="1"/>
    </xf>
    <xf numFmtId="0" fontId="14" fillId="3" borderId="90" xfId="0" applyFont="1" applyFill="1" applyBorder="1"/>
    <xf numFmtId="0" fontId="14" fillId="3" borderId="91" xfId="0" applyFont="1" applyFill="1" applyBorder="1"/>
    <xf numFmtId="0" fontId="14" fillId="3" borderId="102" xfId="0" applyFont="1" applyFill="1" applyBorder="1"/>
    <xf numFmtId="0" fontId="25" fillId="3" borderId="44" xfId="0" applyFont="1" applyFill="1" applyBorder="1"/>
    <xf numFmtId="0" fontId="32" fillId="16" borderId="59" xfId="0" applyFont="1" applyFill="1" applyBorder="1" applyAlignment="1">
      <alignment horizontal="left" wrapText="1"/>
    </xf>
    <xf numFmtId="0" fontId="32" fillId="16" borderId="60" xfId="0" applyFont="1" applyFill="1" applyBorder="1" applyAlignment="1">
      <alignment horizontal="left" wrapText="1"/>
    </xf>
    <xf numFmtId="0" fontId="32" fillId="16" borderId="94" xfId="0" applyFont="1" applyFill="1" applyBorder="1" applyAlignment="1">
      <alignment horizontal="left" wrapText="1"/>
    </xf>
    <xf numFmtId="0" fontId="32" fillId="3" borderId="59" xfId="0" applyFont="1" applyFill="1" applyBorder="1" applyAlignment="1">
      <alignment horizontal="left" wrapText="1"/>
    </xf>
    <xf numFmtId="0" fontId="32" fillId="3" borderId="60" xfId="0" applyFont="1" applyFill="1" applyBorder="1" applyAlignment="1">
      <alignment horizontal="left" wrapText="1"/>
    </xf>
    <xf numFmtId="0" fontId="32" fillId="3" borderId="94" xfId="0" applyFont="1" applyFill="1" applyBorder="1" applyAlignment="1">
      <alignment horizontal="left" wrapText="1"/>
    </xf>
    <xf numFmtId="0" fontId="32" fillId="3" borderId="59" xfId="0" applyFont="1" applyFill="1" applyBorder="1" applyAlignment="1">
      <alignment horizontal="left"/>
    </xf>
    <xf numFmtId="0" fontId="32" fillId="3" borderId="60" xfId="0" applyFont="1" applyFill="1" applyBorder="1" applyAlignment="1">
      <alignment horizontal="left"/>
    </xf>
    <xf numFmtId="0" fontId="32" fillId="3" borderId="94" xfId="0" applyFont="1" applyFill="1" applyBorder="1" applyAlignment="1">
      <alignment horizontal="left"/>
    </xf>
    <xf numFmtId="0" fontId="31" fillId="30" borderId="56" xfId="0" applyFont="1" applyFill="1" applyBorder="1" applyAlignment="1">
      <alignment vertical="center"/>
    </xf>
    <xf numFmtId="0" fontId="31" fillId="30" borderId="28" xfId="0" applyFont="1" applyFill="1" applyBorder="1" applyAlignment="1">
      <alignment vertical="center"/>
    </xf>
    <xf numFmtId="0" fontId="31" fillId="30" borderId="87" xfId="0" applyFont="1" applyFill="1" applyBorder="1" applyAlignment="1">
      <alignment vertical="center"/>
    </xf>
    <xf numFmtId="190" fontId="1" fillId="0" borderId="13" xfId="0" applyNumberFormat="1" applyFont="1" applyBorder="1" applyAlignment="1">
      <alignment horizontal="center"/>
    </xf>
    <xf numFmtId="0" fontId="42" fillId="34" borderId="32" xfId="0" applyFont="1" applyFill="1" applyBorder="1" applyAlignment="1">
      <alignment horizontal="center" wrapText="1"/>
    </xf>
    <xf numFmtId="0" fontId="14" fillId="0" borderId="12" xfId="0" applyFont="1" applyBorder="1" applyAlignment="1">
      <alignment wrapText="1"/>
    </xf>
    <xf numFmtId="0" fontId="4" fillId="0" borderId="7" xfId="0" applyFont="1" applyBorder="1" applyAlignment="1">
      <alignment horizontal="left" vertical="center"/>
    </xf>
    <xf numFmtId="0" fontId="4" fillId="0" borderId="8" xfId="0" applyFont="1" applyBorder="1" applyAlignment="1">
      <alignment horizontal="left" vertical="center"/>
    </xf>
    <xf numFmtId="0" fontId="42" fillId="34" borderId="1" xfId="0" applyFont="1" applyFill="1" applyBorder="1" applyAlignment="1">
      <alignment horizontal="center"/>
    </xf>
    <xf numFmtId="0" fontId="14" fillId="0" borderId="2" xfId="0" applyFont="1" applyBorder="1"/>
    <xf numFmtId="0" fontId="14" fillId="0" borderId="3" xfId="0" applyFont="1" applyBorder="1"/>
    <xf numFmtId="0" fontId="4" fillId="0" borderId="1" xfId="0" applyFont="1" applyBorder="1" applyAlignment="1">
      <alignment vertical="center" wrapText="1"/>
    </xf>
    <xf numFmtId="0" fontId="4" fillId="0" borderId="3" xfId="0" applyFont="1" applyBorder="1" applyAlignment="1">
      <alignment vertical="center" wrapText="1"/>
    </xf>
    <xf numFmtId="0" fontId="4" fillId="0" borderId="2" xfId="0" applyFont="1" applyBorder="1" applyAlignment="1">
      <alignment horizontal="center" vertical="center" wrapText="1"/>
    </xf>
    <xf numFmtId="0" fontId="4" fillId="0" borderId="3" xfId="0" applyFont="1" applyBorder="1" applyAlignment="1">
      <alignment horizontal="center" vertical="center" wrapText="1"/>
    </xf>
    <xf numFmtId="0" fontId="4" fillId="0" borderId="1" xfId="0" applyFont="1" applyBorder="1" applyAlignment="1">
      <alignment horizontal="center" vertical="center" wrapText="1"/>
    </xf>
    <xf numFmtId="0" fontId="4" fillId="0" borderId="6" xfId="0" applyFont="1" applyBorder="1" applyAlignment="1">
      <alignment horizontal="left" vertical="center"/>
    </xf>
    <xf numFmtId="0" fontId="4" fillId="0" borderId="1" xfId="0" applyFont="1" applyBorder="1" applyAlignment="1">
      <alignment horizontal="left" vertical="center"/>
    </xf>
    <xf numFmtId="0" fontId="4" fillId="0" borderId="2" xfId="0" applyFont="1" applyBorder="1" applyAlignment="1">
      <alignment horizontal="left" vertical="center"/>
    </xf>
    <xf numFmtId="0" fontId="4" fillId="0" borderId="3" xfId="0" applyFont="1" applyBorder="1" applyAlignment="1">
      <alignment horizontal="left" vertical="center"/>
    </xf>
    <xf numFmtId="191" fontId="4" fillId="0" borderId="2" xfId="0" applyNumberFormat="1" applyFont="1" applyBorder="1" applyAlignment="1">
      <alignment horizontal="center" vertical="center" wrapText="1"/>
    </xf>
    <xf numFmtId="191" fontId="4" fillId="0" borderId="3" xfId="0" applyNumberFormat="1" applyFont="1" applyBorder="1" applyAlignment="1">
      <alignment horizontal="center" vertical="center" wrapText="1"/>
    </xf>
    <xf numFmtId="0" fontId="4" fillId="33" borderId="1" xfId="0" applyFont="1" applyFill="1" applyBorder="1" applyAlignment="1">
      <alignment horizontal="left" vertical="center"/>
    </xf>
    <xf numFmtId="0" fontId="4" fillId="33" borderId="2" xfId="0" applyFont="1" applyFill="1" applyBorder="1" applyAlignment="1">
      <alignment horizontal="left" vertical="center"/>
    </xf>
    <xf numFmtId="0" fontId="4" fillId="33" borderId="3" xfId="0" applyFont="1" applyFill="1" applyBorder="1" applyAlignment="1">
      <alignment horizontal="left" vertical="center"/>
    </xf>
    <xf numFmtId="0" fontId="42" fillId="34" borderId="10" xfId="0" applyFont="1" applyFill="1" applyBorder="1" applyAlignment="1">
      <alignment horizontal="center" wrapText="1"/>
    </xf>
    <xf numFmtId="0" fontId="14" fillId="0" borderId="7" xfId="0" applyFont="1" applyBorder="1" applyAlignment="1">
      <alignment wrapText="1"/>
    </xf>
    <xf numFmtId="0" fontId="42" fillId="34" borderId="13" xfId="0" applyFont="1" applyFill="1" applyBorder="1" applyAlignment="1">
      <alignment horizontal="center" wrapText="1"/>
    </xf>
    <xf numFmtId="49" fontId="4" fillId="0" borderId="1" xfId="0" applyNumberFormat="1" applyFont="1" applyBorder="1" applyAlignment="1">
      <alignment horizontal="center" vertical="center" wrapText="1"/>
    </xf>
    <xf numFmtId="49" fontId="4" fillId="0" borderId="2" xfId="0" applyNumberFormat="1" applyFont="1" applyBorder="1" applyAlignment="1">
      <alignment horizontal="center" vertical="center" wrapText="1"/>
    </xf>
    <xf numFmtId="49" fontId="4" fillId="0" borderId="3" xfId="0" applyNumberFormat="1" applyFont="1" applyBorder="1" applyAlignment="1">
      <alignment horizontal="center" vertical="center" wrapText="1"/>
    </xf>
    <xf numFmtId="0" fontId="4" fillId="0" borderId="9" xfId="0" applyFont="1" applyBorder="1" applyAlignment="1">
      <alignment horizontal="left" vertical="center"/>
    </xf>
    <xf numFmtId="0" fontId="4" fillId="0" borderId="10" xfId="0" applyFont="1" applyBorder="1" applyAlignment="1">
      <alignment horizontal="left" vertical="center"/>
    </xf>
    <xf numFmtId="0" fontId="4" fillId="0" borderId="11" xfId="0" applyFont="1" applyBorder="1" applyAlignment="1">
      <alignment horizontal="left" vertical="center"/>
    </xf>
    <xf numFmtId="0" fontId="4" fillId="31" borderId="1" xfId="0" applyFont="1" applyFill="1" applyBorder="1" applyAlignment="1">
      <alignment horizontal="center" vertical="center"/>
    </xf>
    <xf numFmtId="0" fontId="4" fillId="31" borderId="2" xfId="0" applyFont="1" applyFill="1" applyBorder="1" applyAlignment="1">
      <alignment horizontal="center" vertical="center"/>
    </xf>
    <xf numFmtId="0" fontId="4" fillId="24" borderId="7" xfId="0" applyFont="1" applyFill="1" applyBorder="1" applyAlignment="1">
      <alignment horizontal="center" vertical="center"/>
    </xf>
    <xf numFmtId="0" fontId="4" fillId="24" borderId="8" xfId="0" applyFont="1" applyFill="1" applyBorder="1" applyAlignment="1">
      <alignment horizontal="center" vertical="center"/>
    </xf>
    <xf numFmtId="0" fontId="42" fillId="4" borderId="13" xfId="0" applyFont="1" applyFill="1" applyBorder="1" applyAlignment="1">
      <alignment horizontal="center"/>
    </xf>
    <xf numFmtId="0" fontId="14" fillId="4" borderId="13" xfId="0" applyFont="1" applyFill="1" applyBorder="1"/>
    <xf numFmtId="0" fontId="42" fillId="4" borderId="13" xfId="0" applyFont="1" applyFill="1" applyBorder="1" applyAlignment="1">
      <alignment horizontal="center" wrapText="1"/>
    </xf>
    <xf numFmtId="0" fontId="14" fillId="4" borderId="13" xfId="0" applyFont="1" applyFill="1" applyBorder="1" applyAlignment="1">
      <alignment wrapText="1"/>
    </xf>
    <xf numFmtId="0" fontId="42" fillId="4" borderId="32" xfId="0" applyFont="1" applyFill="1" applyBorder="1" applyAlignment="1">
      <alignment horizontal="center" wrapText="1"/>
    </xf>
    <xf numFmtId="0" fontId="42" fillId="4" borderId="31" xfId="0" applyFont="1" applyFill="1" applyBorder="1" applyAlignment="1">
      <alignment horizontal="center" wrapText="1"/>
    </xf>
    <xf numFmtId="0" fontId="42" fillId="4" borderId="12" xfId="0" applyFont="1" applyFill="1" applyBorder="1" applyAlignment="1">
      <alignment horizontal="center" wrapText="1"/>
    </xf>
  </cellXfs>
  <cellStyles count="1">
    <cellStyle name="Normal" xfId="0" builtinId="0" customBuiltin="1"/>
  </cellStyles>
  <dxfs count="70">
    <dxf>
      <font>
        <b/>
        <i val="0"/>
        <color rgb="FFFFC000"/>
      </font>
    </dxf>
    <dxf>
      <font>
        <b/>
        <i val="0"/>
        <color rgb="FFFF0000"/>
      </font>
    </dxf>
    <dxf>
      <font>
        <b/>
        <i val="0"/>
        <color rgb="FF00B050"/>
      </font>
    </dxf>
    <dxf>
      <font>
        <b/>
        <i val="0"/>
        <color rgb="FFFF0000"/>
      </font>
    </dxf>
    <dxf>
      <font>
        <b/>
        <i val="0"/>
        <color rgb="FFFFC000"/>
      </font>
    </dxf>
    <dxf>
      <font>
        <b/>
        <i val="0"/>
        <color rgb="FFFF0000"/>
      </font>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92D050"/>
        </patternFill>
      </fill>
    </dxf>
    <dxf>
      <fill>
        <patternFill patternType="solid">
          <bgColor rgb="FFFF0000"/>
        </patternFill>
      </fill>
    </dxf>
    <dxf>
      <fill>
        <patternFill patternType="solid">
          <bgColor rgb="FF92D050"/>
        </patternFill>
      </fill>
    </dxf>
    <dxf>
      <fill>
        <patternFill patternType="solid">
          <bgColor rgb="FFFF0000"/>
        </patternFill>
      </fill>
    </dxf>
    <dxf>
      <fill>
        <patternFill patternType="solid">
          <bgColor rgb="FF92D050"/>
        </patternFill>
      </fill>
    </dxf>
    <dxf>
      <fill>
        <patternFill patternType="solid">
          <bgColor rgb="FFFF0000"/>
        </patternFill>
      </fill>
    </dxf>
    <dxf>
      <fill>
        <patternFill patternType="solid">
          <bgColor rgb="FF92D050"/>
        </patternFill>
      </fill>
    </dxf>
    <dxf>
      <fill>
        <patternFill patternType="solid">
          <bgColor rgb="FFFF0000"/>
        </patternFill>
      </fill>
    </dxf>
    <dxf>
      <fill>
        <patternFill patternType="solid">
          <bgColor rgb="FF92D050"/>
        </patternFill>
      </fill>
    </dxf>
    <dxf>
      <fill>
        <patternFill patternType="solid">
          <bgColor rgb="FFFF0000"/>
        </patternFill>
      </fill>
    </dxf>
    <dxf>
      <fill>
        <patternFill patternType="solid">
          <bgColor rgb="FF92D050"/>
        </patternFill>
      </fill>
    </dxf>
    <dxf>
      <fill>
        <patternFill patternType="solid">
          <bgColor rgb="FF92D050"/>
        </patternFill>
      </fill>
    </dxf>
    <dxf>
      <fill>
        <patternFill patternType="solid">
          <bgColor rgb="FFFF0000"/>
        </patternFill>
      </fill>
    </dxf>
    <dxf>
      <fill>
        <patternFill patternType="solid">
          <bgColor rgb="FF92D050"/>
        </patternFill>
      </fill>
    </dxf>
    <dxf>
      <fill>
        <patternFill patternType="solid">
          <bgColor rgb="FFFF0000"/>
        </patternFill>
      </fill>
    </dxf>
    <dxf>
      <fill>
        <patternFill patternType="solid">
          <bgColor rgb="FF92D050"/>
        </patternFill>
      </fill>
    </dxf>
    <dxf>
      <fill>
        <patternFill patternType="solid">
          <bgColor rgb="FFFF0000"/>
        </patternFill>
      </fill>
    </dxf>
    <dxf>
      <fill>
        <patternFill patternType="solid">
          <bgColor rgb="FF92D050"/>
        </patternFill>
      </fill>
    </dxf>
    <dxf>
      <fill>
        <patternFill patternType="solid">
          <bgColor rgb="FFFF0000"/>
        </patternFill>
      </fill>
    </dxf>
    <dxf>
      <font>
        <color rgb="FFF2F2F2"/>
      </font>
      <fill>
        <patternFill patternType="solid">
          <bgColor rgb="FFF2F2F2"/>
        </patternFill>
      </fill>
    </dxf>
    <dxf>
      <font>
        <color rgb="FFF2F2F2"/>
      </font>
      <fill>
        <patternFill patternType="solid">
          <bgColor rgb="FFF2F2F2"/>
        </patternFill>
      </fill>
    </dxf>
    <dxf>
      <font>
        <color rgb="FFF2F2F2"/>
      </font>
      <fill>
        <patternFill patternType="solid">
          <bgColor rgb="FFF2F2F2"/>
        </patternFill>
      </fill>
    </dxf>
    <dxf>
      <font>
        <color rgb="FFF2F2F2"/>
      </font>
      <fill>
        <patternFill patternType="solid">
          <bgColor rgb="FFF2F2F2"/>
        </patternFill>
      </fill>
    </dxf>
    <dxf>
      <font>
        <color rgb="FFF2F2F2"/>
      </font>
      <fill>
        <patternFill patternType="solid">
          <bgColor rgb="FFF2F2F2"/>
        </patternFill>
      </fill>
    </dxf>
    <dxf>
      <font>
        <color rgb="FFF2F2F2"/>
      </font>
      <fill>
        <patternFill patternType="solid">
          <bgColor rgb="FFF2F2F2"/>
        </patternFill>
      </fill>
    </dxf>
    <dxf>
      <font>
        <color rgb="FFF2F2F2"/>
      </font>
      <fill>
        <patternFill patternType="solid">
          <bgColor rgb="FFF2F2F2"/>
        </patternFill>
      </fill>
    </dxf>
    <dxf>
      <font>
        <color rgb="FFF2F2F2"/>
      </font>
      <fill>
        <patternFill patternType="solid">
          <bgColor rgb="FFF2F2F2"/>
        </patternFill>
      </fill>
    </dxf>
    <dxf>
      <font>
        <color rgb="FFF2F2F2"/>
      </font>
      <fill>
        <patternFill patternType="solid">
          <bgColor rgb="FFF2F2F2"/>
        </patternFill>
      </fill>
    </dxf>
    <dxf>
      <font>
        <color rgb="FFF2F2F2"/>
      </font>
      <fill>
        <patternFill patternType="solid">
          <bgColor rgb="FFF2F2F2"/>
        </patternFill>
      </fill>
    </dxf>
    <dxf>
      <font>
        <color rgb="FFF2F2F2"/>
      </font>
      <fill>
        <patternFill patternType="solid">
          <bgColor rgb="FFF2F2F2"/>
        </patternFill>
      </fill>
    </dxf>
    <dxf>
      <font>
        <color rgb="FFF2F2F2"/>
      </font>
      <fill>
        <patternFill patternType="solid">
          <bgColor rgb="FFF2F2F2"/>
        </patternFill>
      </fill>
    </dxf>
    <dxf>
      <font>
        <color rgb="FFF2F2F2"/>
      </font>
      <fill>
        <patternFill patternType="solid">
          <bgColor rgb="FFF2F2F2"/>
        </patternFill>
      </fill>
    </dxf>
    <dxf>
      <font>
        <color rgb="FFF2F2F2"/>
      </font>
      <fill>
        <patternFill patternType="solid">
          <bgColor rgb="FFF2F2F2"/>
        </patternFill>
      </fill>
    </dxf>
    <dxf>
      <font>
        <color rgb="FFF2F2F2"/>
      </font>
      <fill>
        <patternFill patternType="solid">
          <bgColor rgb="FFF2F2F2"/>
        </patternFill>
      </fill>
    </dxf>
    <dxf>
      <font>
        <color rgb="FFF2F2F2"/>
      </font>
      <fill>
        <patternFill patternType="solid">
          <bgColor rgb="FFF2F2F2"/>
        </patternFill>
      </fill>
    </dxf>
    <dxf>
      <font>
        <color rgb="FFF2F2F2"/>
      </font>
      <fill>
        <patternFill patternType="solid">
          <bgColor rgb="FFF2F2F2"/>
        </patternFill>
      </fill>
    </dxf>
    <dxf>
      <font>
        <color rgb="FFF2F2F2"/>
      </font>
      <fill>
        <patternFill patternType="solid">
          <bgColor rgb="FFF2F2F2"/>
        </patternFill>
      </fill>
    </dxf>
    <dxf>
      <font>
        <color rgb="FFF2F2F2"/>
      </font>
      <fill>
        <patternFill patternType="solid">
          <bgColor rgb="FFF2F2F2"/>
        </patternFill>
      </fill>
    </dxf>
    <dxf>
      <font>
        <color rgb="FFF2F2F2"/>
      </font>
      <fill>
        <patternFill patternType="solid">
          <bgColor rgb="FFF2F2F2"/>
        </patternFill>
      </fill>
    </dxf>
    <dxf>
      <font>
        <color rgb="FFF2F2F2"/>
      </font>
      <fill>
        <patternFill patternType="solid">
          <bgColor rgb="FFF2F2F2"/>
        </patternFill>
      </fill>
    </dxf>
    <dxf>
      <font>
        <color rgb="FFF2F2F2"/>
      </font>
      <fill>
        <patternFill patternType="solid">
          <bgColor rgb="FFF2F2F2"/>
        </patternFill>
      </fill>
    </dxf>
    <dxf>
      <font>
        <color rgb="FFF2F2F2"/>
      </font>
      <fill>
        <patternFill patternType="solid">
          <bgColor rgb="FFF2F2F2"/>
        </patternFill>
      </fill>
    </dxf>
    <dxf>
      <fill>
        <patternFill patternType="solid">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AMJ45"/>
  <sheetViews>
    <sheetView showGridLines="0" tabSelected="1" topLeftCell="A4" workbookViewId="0">
      <selection activeCell="J19" sqref="J19:L19"/>
    </sheetView>
  </sheetViews>
  <sheetFormatPr defaultRowHeight="15.75" customHeight="1"/>
  <cols>
    <col min="1" max="1" width="3.5703125" style="1"/>
    <col min="2" max="2" width="5.140625" style="1"/>
    <col min="3" max="15" width="10.140625" style="1"/>
    <col min="16" max="16" width="5.140625" style="1"/>
    <col min="17" max="1024" width="9.42578125" style="1"/>
    <col min="1025" max="1025" width="11.42578125"/>
  </cols>
  <sheetData>
    <row r="1" spans="2:16" ht="15"/>
    <row r="2" spans="2:16" s="1" customFormat="1" ht="53.25" customHeight="1">
      <c r="B2" s="502" t="s">
        <v>3796</v>
      </c>
      <c r="C2" s="503"/>
      <c r="D2" s="503"/>
      <c r="E2" s="503"/>
      <c r="F2" s="503"/>
      <c r="G2" s="503"/>
      <c r="H2" s="503"/>
      <c r="I2" s="503"/>
      <c r="J2" s="503"/>
      <c r="K2" s="503"/>
      <c r="L2" s="503"/>
      <c r="M2" s="503"/>
      <c r="N2" s="503"/>
      <c r="O2" s="503"/>
      <c r="P2" s="504"/>
    </row>
    <row r="3" spans="2:16" s="1" customFormat="1" ht="22.5" customHeight="1">
      <c r="B3" s="2"/>
      <c r="D3" s="3"/>
      <c r="E3" s="3"/>
      <c r="F3" s="4"/>
      <c r="G3" s="5"/>
      <c r="H3" s="5"/>
      <c r="I3" s="5"/>
      <c r="J3" s="5"/>
      <c r="K3" s="5"/>
      <c r="L3" s="5"/>
      <c r="P3" s="6"/>
    </row>
    <row r="4" spans="2:16" s="1" customFormat="1" ht="21" customHeight="1">
      <c r="B4" s="2"/>
      <c r="C4" s="7"/>
      <c r="D4" s="8"/>
      <c r="E4" s="8"/>
      <c r="F4" s="9"/>
      <c r="G4" s="9"/>
      <c r="H4" s="9"/>
      <c r="I4" s="9"/>
      <c r="J4" s="9"/>
      <c r="K4" s="9"/>
      <c r="L4" s="9"/>
      <c r="M4" s="7"/>
      <c r="N4" s="7"/>
      <c r="O4" s="7"/>
      <c r="P4" s="6"/>
    </row>
    <row r="5" spans="2:16" s="1" customFormat="1" ht="18.75">
      <c r="B5" s="2"/>
      <c r="C5" s="7"/>
      <c r="D5" s="8"/>
      <c r="E5" s="445" t="s">
        <v>1</v>
      </c>
      <c r="F5" s="446"/>
      <c r="G5" s="446"/>
      <c r="H5" s="446"/>
      <c r="I5" s="446"/>
      <c r="J5" s="446"/>
      <c r="K5" s="446"/>
      <c r="L5" s="446"/>
      <c r="M5" s="447"/>
      <c r="N5" s="7"/>
      <c r="O5" s="7"/>
      <c r="P5" s="6"/>
    </row>
    <row r="6" spans="2:16" s="1" customFormat="1" ht="15">
      <c r="B6" s="2"/>
      <c r="C6" s="7"/>
      <c r="D6" s="8"/>
      <c r="E6" s="10"/>
      <c r="F6" s="5"/>
      <c r="H6" s="11"/>
      <c r="I6" s="11"/>
      <c r="J6" s="5"/>
      <c r="K6" s="5"/>
      <c r="L6" s="5"/>
      <c r="M6" s="12"/>
      <c r="N6" s="7"/>
      <c r="O6" s="7"/>
      <c r="P6" s="6"/>
    </row>
    <row r="7" spans="2:16" s="1" customFormat="1" ht="15">
      <c r="B7" s="2"/>
      <c r="C7" s="7"/>
      <c r="D7" s="8"/>
      <c r="E7" s="10"/>
      <c r="F7" s="5"/>
      <c r="H7" s="11"/>
      <c r="I7" s="11"/>
      <c r="J7" s="5"/>
      <c r="K7" s="5"/>
      <c r="L7" s="5"/>
      <c r="M7" s="13"/>
      <c r="N7" s="7"/>
      <c r="O7" s="7"/>
      <c r="P7" s="6"/>
    </row>
    <row r="8" spans="2:16" s="1" customFormat="1" ht="15">
      <c r="B8" s="2"/>
      <c r="C8" s="7"/>
      <c r="D8" s="7"/>
      <c r="E8" s="2"/>
      <c r="F8" s="5"/>
      <c r="H8" s="11">
        <v>20</v>
      </c>
      <c r="I8" s="11">
        <v>10</v>
      </c>
      <c r="J8" s="5">
        <f>200-J6-J7</f>
        <v>200</v>
      </c>
      <c r="K8" s="5"/>
      <c r="L8" s="5"/>
      <c r="M8" s="12"/>
      <c r="N8" s="7"/>
      <c r="O8" s="7"/>
      <c r="P8" s="6"/>
    </row>
    <row r="9" spans="2:16" s="1" customFormat="1" ht="15">
      <c r="B9" s="2"/>
      <c r="C9" s="7"/>
      <c r="D9" s="7"/>
      <c r="E9" s="2"/>
      <c r="F9" s="5"/>
      <c r="H9" s="11">
        <v>10</v>
      </c>
      <c r="I9" s="11">
        <v>10</v>
      </c>
      <c r="J9" s="5"/>
      <c r="K9" s="5"/>
      <c r="L9" s="5"/>
      <c r="M9" s="6"/>
      <c r="N9" s="7"/>
      <c r="O9" s="7"/>
      <c r="P9" s="6"/>
    </row>
    <row r="10" spans="2:16" s="1" customFormat="1" ht="15">
      <c r="B10" s="2"/>
      <c r="C10" s="7"/>
      <c r="D10" s="7"/>
      <c r="E10" s="2"/>
      <c r="F10" s="5"/>
      <c r="H10" s="11">
        <f>SUBTOTAL(109,H6:H9)</f>
        <v>30</v>
      </c>
      <c r="I10" s="11">
        <v>10</v>
      </c>
      <c r="J10" s="5"/>
      <c r="K10" s="5"/>
      <c r="L10" s="5"/>
      <c r="M10" s="6"/>
      <c r="N10" s="7"/>
      <c r="O10" s="7"/>
      <c r="P10" s="6"/>
    </row>
    <row r="11" spans="2:16" s="1" customFormat="1" ht="15">
      <c r="B11" s="2"/>
      <c r="C11" s="7"/>
      <c r="D11" s="7"/>
      <c r="E11" s="2"/>
      <c r="F11" s="5"/>
      <c r="H11" s="11"/>
      <c r="I11" s="11"/>
      <c r="J11" s="5"/>
      <c r="K11" s="5"/>
      <c r="L11" s="5"/>
      <c r="M11" s="6"/>
      <c r="N11" s="7"/>
      <c r="O11" s="7"/>
      <c r="P11" s="6"/>
    </row>
    <row r="12" spans="2:16" s="1" customFormat="1" ht="15">
      <c r="B12" s="2"/>
      <c r="C12" s="7"/>
      <c r="D12" s="7"/>
      <c r="E12" s="14"/>
      <c r="F12" s="15"/>
      <c r="G12" s="16"/>
      <c r="H12" s="15"/>
      <c r="I12" s="17">
        <v>10</v>
      </c>
      <c r="J12" s="15"/>
      <c r="K12" s="15"/>
      <c r="L12" s="15"/>
      <c r="M12" s="18"/>
      <c r="N12" s="7"/>
      <c r="O12" s="7"/>
      <c r="P12" s="6"/>
    </row>
    <row r="13" spans="2:16" s="1" customFormat="1" ht="15">
      <c r="B13" s="2"/>
      <c r="C13" s="7"/>
      <c r="D13" s="7"/>
      <c r="E13" s="7"/>
      <c r="F13" s="7"/>
      <c r="G13" s="7"/>
      <c r="H13" s="9"/>
      <c r="I13" s="8"/>
      <c r="J13" s="9"/>
      <c r="K13" s="9"/>
      <c r="L13" s="9"/>
      <c r="M13" s="19"/>
      <c r="N13" s="7"/>
      <c r="O13" s="7"/>
      <c r="P13" s="6"/>
    </row>
    <row r="14" spans="2:16" s="1" customFormat="1" ht="15">
      <c r="B14" s="2"/>
      <c r="C14" s="7"/>
      <c r="D14" s="7"/>
      <c r="E14" s="7"/>
      <c r="F14" s="7"/>
      <c r="G14" s="7"/>
      <c r="H14" s="9"/>
      <c r="I14" s="8"/>
      <c r="J14" s="9"/>
      <c r="K14" s="9"/>
      <c r="L14" s="9"/>
      <c r="M14" s="7"/>
      <c r="N14" s="7"/>
      <c r="O14" s="7"/>
      <c r="P14" s="6"/>
    </row>
    <row r="15" spans="2:16" s="1" customFormat="1" ht="15">
      <c r="B15" s="2"/>
      <c r="P15" s="6"/>
    </row>
    <row r="16" spans="2:16" s="1" customFormat="1" ht="22.5">
      <c r="B16" s="481" t="s">
        <v>0</v>
      </c>
      <c r="C16" s="482"/>
      <c r="D16" s="482"/>
      <c r="E16" s="482"/>
      <c r="F16" s="482"/>
      <c r="G16" s="482"/>
      <c r="H16" s="482"/>
      <c r="I16" s="482"/>
      <c r="J16" s="482"/>
      <c r="K16" s="482"/>
      <c r="L16" s="482"/>
      <c r="M16" s="482"/>
      <c r="N16" s="482"/>
      <c r="O16" s="482"/>
      <c r="P16" s="483"/>
    </row>
    <row r="17" spans="2:16" s="1" customFormat="1" ht="15">
      <c r="B17" s="2"/>
      <c r="D17" s="20"/>
      <c r="E17" s="20"/>
      <c r="F17" s="20"/>
      <c r="G17" s="20"/>
      <c r="H17" s="20"/>
      <c r="I17" s="20"/>
      <c r="J17" s="20"/>
      <c r="K17" s="20"/>
      <c r="L17" s="20"/>
      <c r="M17" s="20"/>
      <c r="N17" s="20"/>
      <c r="O17" s="20"/>
      <c r="P17" s="6"/>
    </row>
    <row r="18" spans="2:16" s="1" customFormat="1" ht="15">
      <c r="B18" s="21"/>
      <c r="C18" s="7"/>
      <c r="D18" s="475" t="s">
        <v>1</v>
      </c>
      <c r="E18" s="476"/>
      <c r="F18" s="476"/>
      <c r="G18" s="476"/>
      <c r="H18" s="476"/>
      <c r="I18" s="476"/>
      <c r="J18" s="476"/>
      <c r="K18" s="476"/>
      <c r="L18" s="476"/>
      <c r="M18" s="476"/>
      <c r="N18" s="477"/>
      <c r="O18" s="22"/>
      <c r="P18" s="23"/>
    </row>
    <row r="19" spans="2:16" s="1" customFormat="1" ht="23.25">
      <c r="B19" s="2"/>
      <c r="C19" s="7"/>
      <c r="D19" s="469" t="s">
        <v>2</v>
      </c>
      <c r="E19" s="470"/>
      <c r="F19" s="470"/>
      <c r="G19" s="470"/>
      <c r="H19" s="470"/>
      <c r="I19" s="471"/>
      <c r="J19" s="496">
        <f>J26*0.4+J33*0.2+J38*0.2+J43*0.2</f>
        <v>49.071428571428569</v>
      </c>
      <c r="K19" s="497"/>
      <c r="L19" s="498"/>
      <c r="M19" s="499" t="str">
        <f>IF(J19&gt;80,"Low Risk",IF(J19&gt;=50,"Average Risk","High Risk"))</f>
        <v>High Risk</v>
      </c>
      <c r="N19" s="500"/>
      <c r="O19" s="22"/>
      <c r="P19" s="6"/>
    </row>
    <row r="20" spans="2:16" s="1" customFormat="1" ht="15">
      <c r="B20" s="21"/>
      <c r="C20" s="7"/>
      <c r="D20" s="24"/>
      <c r="E20" s="24"/>
      <c r="F20" s="24"/>
      <c r="G20" s="24"/>
      <c r="H20" s="24"/>
      <c r="I20" s="24"/>
      <c r="J20" s="24"/>
      <c r="K20" s="24"/>
      <c r="L20" s="24"/>
      <c r="M20" s="24"/>
      <c r="N20" s="24"/>
      <c r="O20" s="25"/>
      <c r="P20" s="23"/>
    </row>
    <row r="21" spans="2:16" s="1" customFormat="1" ht="15">
      <c r="B21" s="21"/>
      <c r="C21" s="7"/>
      <c r="D21" s="508" t="s">
        <v>3</v>
      </c>
      <c r="E21" s="457"/>
      <c r="F21" s="457"/>
      <c r="G21" s="457"/>
      <c r="H21" s="457"/>
      <c r="I21" s="457"/>
      <c r="J21" s="457"/>
      <c r="K21" s="457"/>
      <c r="L21" s="457"/>
      <c r="M21" s="457"/>
      <c r="N21" s="458"/>
      <c r="O21" s="22"/>
      <c r="P21" s="23"/>
    </row>
    <row r="22" spans="2:16" s="1" customFormat="1" ht="15">
      <c r="B22" s="21"/>
      <c r="C22" s="7"/>
      <c r="D22" s="469" t="s">
        <v>4</v>
      </c>
      <c r="E22" s="470"/>
      <c r="F22" s="470"/>
      <c r="G22" s="470"/>
      <c r="H22" s="470"/>
      <c r="I22" s="471"/>
      <c r="J22" s="478">
        <f>'Financial Score'!H9</f>
        <v>0</v>
      </c>
      <c r="K22" s="479"/>
      <c r="L22" s="480"/>
      <c r="M22" s="487" t="str">
        <f>IF(J26&gt;80,"Low Risk",IF(J26&gt;=50,"Average Risk","High Risk"))</f>
        <v>High Risk</v>
      </c>
      <c r="N22" s="488"/>
      <c r="O22" s="22"/>
      <c r="P22" s="23"/>
    </row>
    <row r="23" spans="2:16" s="1" customFormat="1" ht="15">
      <c r="B23" s="21"/>
      <c r="C23" s="7"/>
      <c r="D23" s="469" t="s">
        <v>5</v>
      </c>
      <c r="E23" s="470"/>
      <c r="F23" s="470"/>
      <c r="G23" s="470"/>
      <c r="H23" s="470"/>
      <c r="I23" s="471"/>
      <c r="J23" s="478">
        <f>'Financial Score'!H22</f>
        <v>1.4285714285714288</v>
      </c>
      <c r="K23" s="479"/>
      <c r="L23" s="480"/>
      <c r="M23" s="489"/>
      <c r="N23" s="490"/>
      <c r="O23" s="25"/>
      <c r="P23" s="23"/>
    </row>
    <row r="24" spans="2:16" s="1" customFormat="1" ht="15">
      <c r="B24" s="21"/>
      <c r="C24" s="7"/>
      <c r="D24" s="469" t="s">
        <v>6</v>
      </c>
      <c r="E24" s="470"/>
      <c r="F24" s="470"/>
      <c r="G24" s="470"/>
      <c r="H24" s="470"/>
      <c r="I24" s="471"/>
      <c r="J24" s="478">
        <f>'Financial Score'!H44</f>
        <v>-10</v>
      </c>
      <c r="K24" s="479"/>
      <c r="L24" s="480"/>
      <c r="M24" s="489"/>
      <c r="N24" s="490"/>
      <c r="O24" s="25"/>
      <c r="P24" s="23"/>
    </row>
    <row r="25" spans="2:16" s="1" customFormat="1" ht="15">
      <c r="B25" s="21"/>
      <c r="C25" s="7"/>
      <c r="D25" s="469" t="s">
        <v>7</v>
      </c>
      <c r="E25" s="470"/>
      <c r="F25" s="470"/>
      <c r="G25" s="470"/>
      <c r="H25" s="470"/>
      <c r="I25" s="471"/>
      <c r="J25" s="478">
        <f>'Financial Score'!H63</f>
        <v>-5.7142857142857117</v>
      </c>
      <c r="K25" s="479"/>
      <c r="L25" s="480"/>
      <c r="M25" s="489"/>
      <c r="N25" s="490"/>
      <c r="O25" s="25"/>
      <c r="P25" s="23"/>
    </row>
    <row r="26" spans="2:16" s="1" customFormat="1" ht="15">
      <c r="B26" s="21"/>
      <c r="C26" s="7"/>
      <c r="D26" s="466" t="s">
        <v>8</v>
      </c>
      <c r="E26" s="467"/>
      <c r="F26" s="467"/>
      <c r="G26" s="467"/>
      <c r="H26" s="467"/>
      <c r="I26" s="468"/>
      <c r="J26" s="472">
        <f>'Financial Score'!L2</f>
        <v>0</v>
      </c>
      <c r="K26" s="473"/>
      <c r="L26" s="474"/>
      <c r="M26" s="491"/>
      <c r="N26" s="492"/>
      <c r="O26" s="25"/>
      <c r="P26" s="23"/>
    </row>
    <row r="27" spans="2:16" s="1" customFormat="1" ht="15">
      <c r="B27" s="21"/>
      <c r="C27" s="7"/>
      <c r="D27" s="24"/>
      <c r="E27" s="24"/>
      <c r="F27" s="24"/>
      <c r="G27" s="24"/>
      <c r="H27" s="24"/>
      <c r="I27" s="24"/>
      <c r="J27" s="24"/>
      <c r="K27" s="24"/>
      <c r="L27" s="24"/>
      <c r="M27" s="24"/>
      <c r="N27" s="24"/>
      <c r="O27" s="25"/>
      <c r="P27" s="23"/>
    </row>
    <row r="28" spans="2:16" s="1" customFormat="1" ht="15">
      <c r="B28" s="21"/>
      <c r="C28" s="7"/>
      <c r="D28" s="455" t="s">
        <v>9</v>
      </c>
      <c r="E28" s="456"/>
      <c r="F28" s="456"/>
      <c r="G28" s="456"/>
      <c r="H28" s="456"/>
      <c r="I28" s="456"/>
      <c r="J28" s="456"/>
      <c r="K28" s="456"/>
      <c r="L28" s="456"/>
      <c r="M28" s="457"/>
      <c r="N28" s="458"/>
      <c r="O28" s="22"/>
      <c r="P28" s="23"/>
    </row>
    <row r="29" spans="2:16" s="1" customFormat="1" ht="15">
      <c r="B29" s="21"/>
      <c r="C29" s="7"/>
      <c r="D29" s="449" t="s">
        <v>10</v>
      </c>
      <c r="E29" s="449"/>
      <c r="F29" s="449"/>
      <c r="G29" s="449"/>
      <c r="H29" s="449"/>
      <c r="I29" s="449"/>
      <c r="J29" s="465">
        <f>('Statutory Score'!E10/3)*100</f>
        <v>100</v>
      </c>
      <c r="K29" s="465"/>
      <c r="L29" s="465"/>
      <c r="M29" s="509" t="str">
        <f>IF(J33&gt;80,"Low Risk",IF(J33&gt;=50,"Average Risk","High Risk"))</f>
        <v>Average Risk</v>
      </c>
      <c r="N29" s="510"/>
      <c r="O29" s="22"/>
      <c r="P29" s="23"/>
    </row>
    <row r="30" spans="2:16" s="1" customFormat="1" ht="15">
      <c r="B30" s="21"/>
      <c r="C30" s="7"/>
      <c r="D30" s="450" t="s">
        <v>11</v>
      </c>
      <c r="E30" s="450"/>
      <c r="F30" s="450"/>
      <c r="G30" s="450"/>
      <c r="H30" s="450"/>
      <c r="I30" s="450"/>
      <c r="J30" s="465">
        <f>('Statutory Score'!E15/3)*100</f>
        <v>33.333333333333329</v>
      </c>
      <c r="K30" s="465"/>
      <c r="L30" s="465"/>
      <c r="M30" s="511"/>
      <c r="N30" s="512"/>
      <c r="O30" s="22"/>
      <c r="P30" s="23"/>
    </row>
    <row r="31" spans="2:16" s="1" customFormat="1" ht="15">
      <c r="B31" s="21"/>
      <c r="C31" s="7"/>
      <c r="D31" s="450" t="s">
        <v>12</v>
      </c>
      <c r="E31" s="450"/>
      <c r="F31" s="450"/>
      <c r="G31" s="450"/>
      <c r="H31" s="450"/>
      <c r="I31" s="450"/>
      <c r="J31" s="465">
        <f>('Statutory Score'!E20/3)*100</f>
        <v>100</v>
      </c>
      <c r="K31" s="465"/>
      <c r="L31" s="465"/>
      <c r="M31" s="511"/>
      <c r="N31" s="512"/>
      <c r="O31" s="22"/>
      <c r="P31" s="23"/>
    </row>
    <row r="32" spans="2:16" s="1" customFormat="1" ht="15">
      <c r="B32" s="21"/>
      <c r="C32" s="7"/>
      <c r="D32" s="450" t="s">
        <v>13</v>
      </c>
      <c r="E32" s="450"/>
      <c r="F32" s="450"/>
      <c r="G32" s="450"/>
      <c r="H32" s="450"/>
      <c r="I32" s="450"/>
      <c r="J32" s="465">
        <f>('Statutory Score'!E25/3)*100</f>
        <v>66.666666666666657</v>
      </c>
      <c r="K32" s="465"/>
      <c r="L32" s="465"/>
      <c r="M32" s="511"/>
      <c r="N32" s="512"/>
      <c r="O32" s="22"/>
      <c r="P32" s="23"/>
    </row>
    <row r="33" spans="2:16" s="1" customFormat="1" ht="15">
      <c r="B33" s="21"/>
      <c r="C33" s="7"/>
      <c r="D33" s="466" t="s">
        <v>14</v>
      </c>
      <c r="E33" s="467"/>
      <c r="F33" s="467"/>
      <c r="G33" s="467"/>
      <c r="H33" s="467"/>
      <c r="I33" s="468"/>
      <c r="J33" s="505">
        <f>'Statutory Score'!D2</f>
        <v>75</v>
      </c>
      <c r="K33" s="506"/>
      <c r="L33" s="507"/>
      <c r="M33" s="513"/>
      <c r="N33" s="514"/>
      <c r="O33" s="22"/>
      <c r="P33" s="23"/>
    </row>
    <row r="34" spans="2:16" s="1" customFormat="1" ht="15">
      <c r="B34" s="21"/>
      <c r="C34" s="7"/>
      <c r="D34" s="24"/>
      <c r="E34" s="24"/>
      <c r="F34" s="24"/>
      <c r="G34" s="24"/>
      <c r="H34" s="24"/>
      <c r="I34" s="24"/>
      <c r="J34" s="24"/>
      <c r="K34" s="24"/>
      <c r="L34" s="24"/>
      <c r="M34" s="24"/>
      <c r="N34" s="24"/>
      <c r="O34" s="22"/>
      <c r="P34" s="23"/>
    </row>
    <row r="35" spans="2:16" s="1" customFormat="1" ht="15">
      <c r="B35" s="21"/>
      <c r="C35" s="7"/>
      <c r="D35" s="455" t="s">
        <v>15</v>
      </c>
      <c r="E35" s="456"/>
      <c r="F35" s="456"/>
      <c r="G35" s="456"/>
      <c r="H35" s="456"/>
      <c r="I35" s="456"/>
      <c r="J35" s="456"/>
      <c r="K35" s="456"/>
      <c r="L35" s="456"/>
      <c r="M35" s="457"/>
      <c r="N35" s="458"/>
      <c r="O35" s="22"/>
      <c r="P35" s="23"/>
    </row>
    <row r="36" spans="2:16" s="1" customFormat="1" ht="15">
      <c r="B36" s="21"/>
      <c r="C36" s="7"/>
      <c r="D36" s="449" t="s">
        <v>16</v>
      </c>
      <c r="E36" s="449"/>
      <c r="F36" s="449"/>
      <c r="G36" s="449"/>
      <c r="H36" s="449"/>
      <c r="I36" s="449"/>
      <c r="J36" s="454">
        <f>'Legal Score'!E9</f>
        <v>0</v>
      </c>
      <c r="K36" s="454"/>
      <c r="L36" s="454"/>
      <c r="M36" s="459" t="str">
        <f>IF(J38&gt;80,"Low Risk",IF(J38&gt;=60,"Avergage Risk","High Risk"))</f>
        <v>Low Risk</v>
      </c>
      <c r="N36" s="460"/>
      <c r="O36" s="22"/>
      <c r="P36" s="23"/>
    </row>
    <row r="37" spans="2:16" s="1" customFormat="1" ht="15">
      <c r="B37" s="21"/>
      <c r="C37" s="7"/>
      <c r="D37" s="450" t="s">
        <v>17</v>
      </c>
      <c r="E37" s="450"/>
      <c r="F37" s="450"/>
      <c r="G37" s="450"/>
      <c r="H37" s="450"/>
      <c r="I37" s="450"/>
      <c r="J37" s="454">
        <f>'Legal Score'!E23</f>
        <v>87.5</v>
      </c>
      <c r="K37" s="454"/>
      <c r="L37" s="454"/>
      <c r="M37" s="461"/>
      <c r="N37" s="462"/>
      <c r="O37" s="22"/>
      <c r="P37" s="23"/>
    </row>
    <row r="38" spans="2:16" s="1" customFormat="1" ht="15">
      <c r="B38" s="21"/>
      <c r="C38" s="7"/>
      <c r="D38" s="466" t="s">
        <v>18</v>
      </c>
      <c r="E38" s="467"/>
      <c r="F38" s="467"/>
      <c r="G38" s="467"/>
      <c r="H38" s="467"/>
      <c r="I38" s="468"/>
      <c r="J38" s="451">
        <f>'Legal Score'!D2</f>
        <v>87.5</v>
      </c>
      <c r="K38" s="452"/>
      <c r="L38" s="453"/>
      <c r="M38" s="463"/>
      <c r="N38" s="464"/>
      <c r="O38" s="22"/>
      <c r="P38" s="23"/>
    </row>
    <row r="39" spans="2:16" s="1" customFormat="1" ht="15">
      <c r="B39" s="21"/>
      <c r="C39" s="26"/>
      <c r="D39" s="24"/>
      <c r="E39" s="24"/>
      <c r="F39" s="24"/>
      <c r="G39" s="24"/>
      <c r="H39" s="24"/>
      <c r="I39" s="24"/>
      <c r="J39" s="24"/>
      <c r="K39" s="24"/>
      <c r="L39" s="24"/>
      <c r="M39" s="24"/>
      <c r="N39" s="24"/>
      <c r="O39" s="24"/>
      <c r="P39" s="23"/>
    </row>
    <row r="40" spans="2:16" s="1" customFormat="1" ht="15">
      <c r="B40" s="21"/>
      <c r="C40" s="26"/>
      <c r="D40" s="455" t="s">
        <v>19</v>
      </c>
      <c r="E40" s="456"/>
      <c r="F40" s="456"/>
      <c r="G40" s="456"/>
      <c r="H40" s="456"/>
      <c r="I40" s="456"/>
      <c r="J40" s="456"/>
      <c r="K40" s="456"/>
      <c r="L40" s="456"/>
      <c r="M40" s="456"/>
      <c r="N40" s="501"/>
      <c r="O40" s="24"/>
      <c r="P40" s="23"/>
    </row>
    <row r="41" spans="2:16" s="1" customFormat="1" ht="15">
      <c r="B41" s="21"/>
      <c r="C41" s="26"/>
      <c r="D41" s="449" t="s">
        <v>20</v>
      </c>
      <c r="E41" s="449"/>
      <c r="F41" s="449"/>
      <c r="G41" s="449"/>
      <c r="H41" s="449"/>
      <c r="I41" s="449"/>
      <c r="J41" s="448">
        <f>'Bureau Score'!E9</f>
        <v>70</v>
      </c>
      <c r="K41" s="448"/>
      <c r="L41" s="448"/>
      <c r="M41" s="459" t="str">
        <f>IF(J43&gt;80,"Low Risk",IF(J43&gt;=60,"Avergage Risk","High Risk"))</f>
        <v>Low Risk</v>
      </c>
      <c r="N41" s="460"/>
      <c r="O41" s="24"/>
      <c r="P41" s="23"/>
    </row>
    <row r="42" spans="2:16" s="1" customFormat="1" ht="15">
      <c r="B42" s="21"/>
      <c r="C42" s="26"/>
      <c r="D42" s="450" t="s">
        <v>21</v>
      </c>
      <c r="E42" s="450"/>
      <c r="F42" s="450"/>
      <c r="G42" s="450"/>
      <c r="H42" s="450"/>
      <c r="I42" s="450"/>
      <c r="J42" s="448">
        <f>'Bureau Score'!E27</f>
        <v>12.857142857142858</v>
      </c>
      <c r="K42" s="448"/>
      <c r="L42" s="448"/>
      <c r="M42" s="461"/>
      <c r="N42" s="462"/>
      <c r="O42" s="24"/>
      <c r="P42" s="23"/>
    </row>
    <row r="43" spans="2:16" s="1" customFormat="1" ht="15">
      <c r="B43" s="21"/>
      <c r="C43" s="26"/>
      <c r="D43" s="466" t="s">
        <v>22</v>
      </c>
      <c r="E43" s="467"/>
      <c r="F43" s="467"/>
      <c r="G43" s="467"/>
      <c r="H43" s="467"/>
      <c r="I43" s="468"/>
      <c r="J43" s="493">
        <f>'Bureau Score'!D2</f>
        <v>82.857142857142861</v>
      </c>
      <c r="K43" s="494"/>
      <c r="L43" s="495"/>
      <c r="M43" s="463"/>
      <c r="N43" s="464"/>
      <c r="O43" s="24"/>
      <c r="P43" s="23"/>
    </row>
    <row r="44" spans="2:16" s="1" customFormat="1" ht="15">
      <c r="B44" s="21"/>
      <c r="C44" s="26"/>
      <c r="D44" s="24"/>
      <c r="E44" s="24"/>
      <c r="F44" s="24"/>
      <c r="G44" s="24"/>
      <c r="H44" s="24"/>
      <c r="I44" s="24"/>
      <c r="J44" s="24"/>
      <c r="K44" s="24"/>
      <c r="L44" s="24"/>
      <c r="M44" s="24"/>
      <c r="N44" s="24"/>
      <c r="O44" s="24"/>
      <c r="P44" s="23"/>
    </row>
    <row r="45" spans="2:16" s="1" customFormat="1" ht="18.75" customHeight="1">
      <c r="B45" s="484"/>
      <c r="C45" s="485"/>
      <c r="D45" s="485"/>
      <c r="E45" s="485"/>
      <c r="F45" s="485"/>
      <c r="G45" s="485"/>
      <c r="H45" s="485"/>
      <c r="I45" s="485"/>
      <c r="J45" s="485"/>
      <c r="K45" s="485"/>
      <c r="L45" s="485"/>
      <c r="M45" s="485"/>
      <c r="N45" s="485"/>
      <c r="O45" s="485"/>
      <c r="P45" s="486"/>
    </row>
  </sheetData>
  <mergeCells count="48">
    <mergeCell ref="B2:P2"/>
    <mergeCell ref="D35:N35"/>
    <mergeCell ref="J41:L41"/>
    <mergeCell ref="D33:I33"/>
    <mergeCell ref="M41:N43"/>
    <mergeCell ref="J37:L37"/>
    <mergeCell ref="D31:I31"/>
    <mergeCell ref="D29:I29"/>
    <mergeCell ref="J33:L33"/>
    <mergeCell ref="J31:L31"/>
    <mergeCell ref="D25:I25"/>
    <mergeCell ref="D23:I23"/>
    <mergeCell ref="J29:L29"/>
    <mergeCell ref="D21:N21"/>
    <mergeCell ref="M29:N33"/>
    <mergeCell ref="D19:I19"/>
    <mergeCell ref="J24:L24"/>
    <mergeCell ref="B16:P16"/>
    <mergeCell ref="J22:L22"/>
    <mergeCell ref="B45:P45"/>
    <mergeCell ref="M22:N26"/>
    <mergeCell ref="D43:I43"/>
    <mergeCell ref="D41:I41"/>
    <mergeCell ref="D37:I37"/>
    <mergeCell ref="J43:L43"/>
    <mergeCell ref="J25:L25"/>
    <mergeCell ref="J23:L23"/>
    <mergeCell ref="J19:L19"/>
    <mergeCell ref="M19:N19"/>
    <mergeCell ref="D42:I42"/>
    <mergeCell ref="D40:N40"/>
    <mergeCell ref="D38:I38"/>
    <mergeCell ref="E5:M5"/>
    <mergeCell ref="J42:L42"/>
    <mergeCell ref="D36:I36"/>
    <mergeCell ref="D32:I32"/>
    <mergeCell ref="J38:L38"/>
    <mergeCell ref="J36:L36"/>
    <mergeCell ref="D30:I30"/>
    <mergeCell ref="D28:N28"/>
    <mergeCell ref="M36:N38"/>
    <mergeCell ref="J32:L32"/>
    <mergeCell ref="D26:I26"/>
    <mergeCell ref="D24:I24"/>
    <mergeCell ref="J30:L30"/>
    <mergeCell ref="D22:I22"/>
    <mergeCell ref="J26:L26"/>
    <mergeCell ref="D18:N18"/>
  </mergeCells>
  <conditionalFormatting sqref="M19:N19">
    <cfRule type="expression" dxfId="3" priority="3">
      <formula>$M$19="High Risk"</formula>
    </cfRule>
    <cfRule type="expression" dxfId="4" priority="2">
      <formula>$M$19="Average Risk"</formula>
    </cfRule>
    <cfRule type="expression" dxfId="2" priority="1">
      <formula>$M$19="Low Risk"</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tabColor rgb="FF0F243F"/>
  </sheetPr>
  <dimension ref="A1:AMJ28"/>
  <sheetViews>
    <sheetView showGridLines="0" workbookViewId="0"/>
  </sheetViews>
  <sheetFormatPr defaultRowHeight="15.75" customHeight="1"/>
  <cols>
    <col min="1" max="1" width="2.42578125" style="180"/>
    <col min="2" max="2" width="14.28515625" style="180"/>
    <col min="3" max="3" width="17.7109375" style="180"/>
    <col min="4" max="4" width="9.85546875" style="180"/>
    <col min="5" max="5" width="16.140625" style="180"/>
    <col min="6" max="6" width="22.5703125" style="180"/>
    <col min="7" max="8" width="9.85546875" style="180"/>
    <col min="9" max="9" width="28.85546875" style="180"/>
    <col min="10" max="10" width="27.42578125" style="180"/>
    <col min="11" max="11" width="19.5703125" style="180"/>
    <col min="12" max="12" width="38.85546875" style="180"/>
    <col min="13" max="13" width="43.5703125" style="180"/>
    <col min="14" max="1024" width="9.85546875" style="180"/>
    <col min="1025" max="1025" width="11.42578125"/>
  </cols>
  <sheetData>
    <row r="1" spans="2:27" s="180" customFormat="1" ht="14.25">
      <c r="B1" s="46"/>
      <c r="C1" s="46"/>
      <c r="D1" s="46"/>
      <c r="E1" s="46"/>
      <c r="F1" s="46"/>
      <c r="G1" s="46"/>
      <c r="H1" s="46"/>
      <c r="I1" s="46"/>
      <c r="J1" s="46"/>
      <c r="K1" s="46"/>
      <c r="L1" s="46"/>
      <c r="M1" s="46"/>
    </row>
    <row r="2" spans="2:27" s="180" customFormat="1" ht="16.5">
      <c r="B2" s="591" t="s">
        <v>1708</v>
      </c>
      <c r="C2" s="591"/>
      <c r="D2" s="591"/>
      <c r="E2" s="591"/>
      <c r="F2" s="591"/>
      <c r="G2" s="591"/>
      <c r="H2" s="591"/>
      <c r="I2" s="591"/>
      <c r="J2" s="46"/>
      <c r="K2" s="46"/>
      <c r="L2" s="46"/>
      <c r="M2" s="46"/>
    </row>
    <row r="3" spans="2:27" s="180" customFormat="1" ht="14.25">
      <c r="B3" s="598" t="s">
        <v>1709</v>
      </c>
      <c r="C3" s="598"/>
      <c r="D3" s="600" t="s">
        <v>1710</v>
      </c>
      <c r="E3" s="601"/>
      <c r="F3" s="601"/>
      <c r="G3" s="601"/>
      <c r="H3" s="601"/>
      <c r="I3" s="601"/>
      <c r="J3" s="46"/>
      <c r="K3" s="46" t="s">
        <v>1711</v>
      </c>
      <c r="L3" s="46">
        <f>COUNTIF(M:M,"&gt;2021")</f>
        <v>8</v>
      </c>
      <c r="M3" s="46"/>
    </row>
    <row r="4" spans="2:27" s="180" customFormat="1" ht="36.75" customHeight="1">
      <c r="B4" s="602" t="s">
        <v>1712</v>
      </c>
      <c r="C4" s="602"/>
      <c r="D4" s="600" t="s">
        <v>1713</v>
      </c>
      <c r="E4" s="601"/>
      <c r="F4" s="601"/>
      <c r="G4" s="601"/>
      <c r="H4" s="601"/>
      <c r="I4" s="601"/>
      <c r="J4" s="46"/>
      <c r="K4" s="46"/>
      <c r="L4" s="46"/>
      <c r="M4" s="46"/>
    </row>
    <row r="5" spans="2:27" s="180" customFormat="1" ht="14.25">
      <c r="B5" s="602" t="s">
        <v>1714</v>
      </c>
      <c r="C5" s="602"/>
      <c r="D5" s="599" t="s">
        <v>1715</v>
      </c>
      <c r="E5" s="599"/>
      <c r="F5" s="599"/>
      <c r="G5" s="599"/>
      <c r="H5" s="599"/>
      <c r="I5" s="599"/>
      <c r="J5" s="46"/>
      <c r="K5" s="46"/>
      <c r="L5" s="46"/>
      <c r="M5" s="46"/>
    </row>
    <row r="6" spans="2:27" s="180" customFormat="1" ht="39.75" customHeight="1">
      <c r="B6" s="602" t="s">
        <v>1716</v>
      </c>
      <c r="C6" s="602"/>
      <c r="D6" s="600" t="s">
        <v>1717</v>
      </c>
      <c r="E6" s="601"/>
      <c r="F6" s="601"/>
      <c r="G6" s="601"/>
      <c r="H6" s="601"/>
      <c r="I6" s="601"/>
      <c r="J6" s="46"/>
      <c r="K6" s="46"/>
      <c r="L6" s="46"/>
      <c r="M6" s="46"/>
    </row>
    <row r="7" spans="2:27" s="180" customFormat="1" ht="16.5" customHeight="1">
      <c r="B7" s="602" t="s">
        <v>1718</v>
      </c>
      <c r="C7" s="602"/>
      <c r="D7" s="605"/>
      <c r="E7" s="606"/>
      <c r="F7" s="606"/>
      <c r="G7" s="606"/>
      <c r="H7" s="606"/>
      <c r="I7" s="607"/>
      <c r="J7" s="46"/>
      <c r="K7" s="46"/>
      <c r="L7" s="46"/>
      <c r="M7" s="46"/>
    </row>
    <row r="8" spans="2:27" s="180" customFormat="1" ht="16.5" customHeight="1">
      <c r="B8" s="181"/>
      <c r="C8" s="181"/>
      <c r="D8" s="182"/>
      <c r="E8" s="183"/>
      <c r="F8" s="183"/>
      <c r="G8" s="183"/>
      <c r="H8" s="183"/>
      <c r="I8" s="183"/>
      <c r="J8" s="46"/>
      <c r="K8" s="46"/>
      <c r="L8" s="46"/>
      <c r="M8" s="46"/>
    </row>
    <row r="9" spans="2:27" s="180" customFormat="1" ht="16.5" customHeight="1">
      <c r="B9" s="181"/>
      <c r="C9" s="181"/>
      <c r="D9" s="182"/>
      <c r="E9" s="183"/>
      <c r="F9" s="183"/>
      <c r="G9" s="183"/>
      <c r="H9" s="183"/>
      <c r="I9" s="183"/>
      <c r="J9" s="46"/>
      <c r="K9" s="46"/>
      <c r="L9" s="46"/>
      <c r="M9" s="46"/>
    </row>
    <row r="10" spans="2:27" s="180" customFormat="1" ht="15">
      <c r="B10" s="603" t="s">
        <v>1719</v>
      </c>
      <c r="C10" s="604"/>
      <c r="D10" s="604"/>
      <c r="E10" s="604"/>
      <c r="F10" s="604"/>
      <c r="G10" s="604"/>
      <c r="H10" s="604"/>
      <c r="I10" s="604"/>
      <c r="J10" s="604"/>
      <c r="K10" s="604"/>
      <c r="L10" s="604"/>
      <c r="M10" s="604"/>
    </row>
    <row r="11" spans="2:27" ht="36">
      <c r="B11" s="184" t="s">
        <v>1720</v>
      </c>
      <c r="C11" s="184" t="s">
        <v>1721</v>
      </c>
      <c r="D11" s="184" t="s">
        <v>1722</v>
      </c>
      <c r="E11" s="184" t="s">
        <v>1723</v>
      </c>
      <c r="F11" s="184" t="s">
        <v>1724</v>
      </c>
      <c r="G11" s="184" t="s">
        <v>1725</v>
      </c>
      <c r="H11" s="184" t="s">
        <v>1726</v>
      </c>
      <c r="I11" s="184" t="s">
        <v>1727</v>
      </c>
      <c r="J11" s="184" t="s">
        <v>1728</v>
      </c>
      <c r="K11" s="184" t="s">
        <v>1729</v>
      </c>
      <c r="L11" s="184" t="s">
        <v>1730</v>
      </c>
      <c r="M11" s="184" t="s">
        <v>1731</v>
      </c>
      <c r="N11" s="184" t="s">
        <v>1732</v>
      </c>
      <c r="O11" s="184" t="s">
        <v>1733</v>
      </c>
      <c r="P11" s="184" t="s">
        <v>1734</v>
      </c>
      <c r="Q11" s="184" t="s">
        <v>1735</v>
      </c>
      <c r="R11" s="184" t="s">
        <v>1736</v>
      </c>
      <c r="S11" s="184" t="s">
        <v>1737</v>
      </c>
      <c r="T11" s="184" t="s">
        <v>1738</v>
      </c>
      <c r="U11" s="184" t="s">
        <v>1739</v>
      </c>
      <c r="V11" s="184" t="s">
        <v>1740</v>
      </c>
      <c r="W11" s="184" t="s">
        <v>1741</v>
      </c>
      <c r="X11" s="184" t="s">
        <v>1742</v>
      </c>
      <c r="Y11" s="184" t="s">
        <v>1743</v>
      </c>
      <c r="Z11" s="184" t="s">
        <v>1744</v>
      </c>
      <c r="AA11" s="184" t="s">
        <v>1745</v>
      </c>
    </row>
    <row r="12" spans="2:27" ht="240">
      <c r="B12" s="185">
        <v>1</v>
      </c>
      <c r="C12" s="185" t="s">
        <v>1746</v>
      </c>
      <c r="D12" s="185" t="s">
        <v>1747</v>
      </c>
      <c r="E12" s="185" t="s">
        <v>1748</v>
      </c>
      <c r="F12" s="185" t="s">
        <v>1749</v>
      </c>
      <c r="G12" s="185" t="s">
        <v>1750</v>
      </c>
      <c r="H12" s="185" t="s">
        <v>1751</v>
      </c>
      <c r="I12" s="185" t="s">
        <v>1752</v>
      </c>
      <c r="J12" s="185" t="s">
        <v>1753</v>
      </c>
      <c r="K12" s="185" t="s">
        <v>1754</v>
      </c>
      <c r="L12" s="185" t="s">
        <v>1755</v>
      </c>
      <c r="M12" s="185">
        <v>2019</v>
      </c>
      <c r="N12" s="185" t="s">
        <v>1756</v>
      </c>
      <c r="O12" s="185" t="s">
        <v>1757</v>
      </c>
      <c r="P12" s="185" t="s">
        <v>1758</v>
      </c>
      <c r="Q12" s="185" t="s">
        <v>1759</v>
      </c>
      <c r="R12" s="185"/>
      <c r="S12" s="185" t="s">
        <v>1760</v>
      </c>
      <c r="T12" s="185" t="s">
        <v>1761</v>
      </c>
      <c r="U12" s="185"/>
      <c r="V12" s="185" t="s">
        <v>1762</v>
      </c>
      <c r="W12" s="185"/>
      <c r="X12" s="185"/>
      <c r="Y12" s="185" t="s">
        <v>1763</v>
      </c>
      <c r="Z12" s="185" t="s">
        <v>1764</v>
      </c>
      <c r="AA12" s="185" t="s">
        <v>1765</v>
      </c>
    </row>
    <row r="13" spans="2:27" ht="240">
      <c r="B13" s="185">
        <v>2</v>
      </c>
      <c r="C13" s="185" t="s">
        <v>1766</v>
      </c>
      <c r="D13" s="185" t="s">
        <v>1767</v>
      </c>
      <c r="E13" s="185" t="s">
        <v>1768</v>
      </c>
      <c r="F13" s="185" t="s">
        <v>1769</v>
      </c>
      <c r="G13" s="185" t="s">
        <v>1770</v>
      </c>
      <c r="H13" s="185" t="s">
        <v>1771</v>
      </c>
      <c r="I13" s="185" t="s">
        <v>1772</v>
      </c>
      <c r="J13" s="185" t="s">
        <v>1773</v>
      </c>
      <c r="K13" s="185" t="s">
        <v>1774</v>
      </c>
      <c r="L13" s="185" t="s">
        <v>1775</v>
      </c>
      <c r="M13" s="185">
        <v>2019</v>
      </c>
      <c r="N13" s="185" t="s">
        <v>1776</v>
      </c>
      <c r="O13" s="185" t="s">
        <v>1777</v>
      </c>
      <c r="P13" s="185" t="s">
        <v>1778</v>
      </c>
      <c r="Q13" s="185" t="s">
        <v>1779</v>
      </c>
      <c r="R13" s="185"/>
      <c r="S13" s="185" t="s">
        <v>1780</v>
      </c>
      <c r="T13" s="185" t="s">
        <v>1781</v>
      </c>
      <c r="U13" s="185"/>
      <c r="V13" s="185" t="s">
        <v>1782</v>
      </c>
      <c r="W13" s="185"/>
      <c r="X13" s="185"/>
      <c r="Y13" s="185" t="s">
        <v>1783</v>
      </c>
      <c r="Z13" s="185" t="s">
        <v>1784</v>
      </c>
      <c r="AA13" s="185" t="s">
        <v>1785</v>
      </c>
    </row>
    <row r="14" spans="2:27" ht="240">
      <c r="B14" s="185">
        <v>3</v>
      </c>
      <c r="C14" s="185" t="s">
        <v>1786</v>
      </c>
      <c r="D14" s="185" t="s">
        <v>1787</v>
      </c>
      <c r="E14" s="185" t="s">
        <v>1788</v>
      </c>
      <c r="F14" s="185" t="s">
        <v>1789</v>
      </c>
      <c r="G14" s="185" t="s">
        <v>1790</v>
      </c>
      <c r="H14" s="185" t="s">
        <v>1791</v>
      </c>
      <c r="I14" s="185" t="s">
        <v>1792</v>
      </c>
      <c r="J14" s="185" t="s">
        <v>1793</v>
      </c>
      <c r="K14" s="185" t="s">
        <v>1794</v>
      </c>
      <c r="L14" s="185" t="s">
        <v>1795</v>
      </c>
      <c r="M14" s="185">
        <v>2022</v>
      </c>
      <c r="N14" s="185" t="s">
        <v>1796</v>
      </c>
      <c r="O14" s="185"/>
      <c r="P14" s="185" t="s">
        <v>1797</v>
      </c>
      <c r="Q14" s="185" t="s">
        <v>1798</v>
      </c>
      <c r="R14" s="185"/>
      <c r="S14" s="185" t="s">
        <v>1799</v>
      </c>
      <c r="T14" s="185" t="s">
        <v>1800</v>
      </c>
      <c r="U14" s="185"/>
      <c r="V14" s="185"/>
      <c r="W14" s="185"/>
      <c r="X14" s="185"/>
      <c r="Y14" s="185" t="s">
        <v>1801</v>
      </c>
      <c r="Z14" s="185" t="s">
        <v>1802</v>
      </c>
      <c r="AA14" s="185" t="s">
        <v>1803</v>
      </c>
    </row>
    <row r="15" spans="2:27" ht="228">
      <c r="B15" s="185">
        <v>4</v>
      </c>
      <c r="C15" s="185" t="s">
        <v>1804</v>
      </c>
      <c r="D15" s="185" t="s">
        <v>1805</v>
      </c>
      <c r="E15" s="185" t="s">
        <v>1806</v>
      </c>
      <c r="F15" s="185" t="s">
        <v>1807</v>
      </c>
      <c r="G15" s="185" t="s">
        <v>1808</v>
      </c>
      <c r="H15" s="185" t="s">
        <v>1809</v>
      </c>
      <c r="I15" s="185" t="s">
        <v>1810</v>
      </c>
      <c r="J15" s="185" t="s">
        <v>1811</v>
      </c>
      <c r="K15" s="185" t="s">
        <v>1812</v>
      </c>
      <c r="L15" s="185" t="s">
        <v>1813</v>
      </c>
      <c r="M15" s="185">
        <v>2022</v>
      </c>
      <c r="N15" s="185" t="s">
        <v>1814</v>
      </c>
      <c r="O15" s="185"/>
      <c r="P15" s="185" t="s">
        <v>1815</v>
      </c>
      <c r="Q15" s="185" t="s">
        <v>1816</v>
      </c>
      <c r="R15" s="185"/>
      <c r="S15" s="185" t="s">
        <v>1817</v>
      </c>
      <c r="T15" s="185" t="s">
        <v>1818</v>
      </c>
      <c r="U15" s="185"/>
      <c r="V15" s="185"/>
      <c r="W15" s="185"/>
      <c r="X15" s="185"/>
      <c r="Y15" s="185" t="s">
        <v>1819</v>
      </c>
      <c r="Z15" s="185" t="s">
        <v>1820</v>
      </c>
      <c r="AA15" s="185" t="s">
        <v>1821</v>
      </c>
    </row>
    <row r="16" spans="2:27" ht="240">
      <c r="B16" s="185">
        <v>5</v>
      </c>
      <c r="C16" s="185" t="s">
        <v>1822</v>
      </c>
      <c r="D16" s="185" t="s">
        <v>1823</v>
      </c>
      <c r="E16" s="185" t="s">
        <v>1824</v>
      </c>
      <c r="F16" s="185" t="s">
        <v>1825</v>
      </c>
      <c r="G16" s="185" t="s">
        <v>1826</v>
      </c>
      <c r="H16" s="185" t="s">
        <v>1827</v>
      </c>
      <c r="I16" s="185" t="s">
        <v>1828</v>
      </c>
      <c r="J16" s="185" t="s">
        <v>1829</v>
      </c>
      <c r="K16" s="185" t="s">
        <v>1830</v>
      </c>
      <c r="L16" s="185" t="s">
        <v>1831</v>
      </c>
      <c r="M16" s="185">
        <v>2022</v>
      </c>
      <c r="N16" s="185" t="s">
        <v>1832</v>
      </c>
      <c r="O16" s="185" t="s">
        <v>1833</v>
      </c>
      <c r="P16" s="185" t="s">
        <v>1834</v>
      </c>
      <c r="Q16" s="185" t="s">
        <v>1835</v>
      </c>
      <c r="R16" s="185"/>
      <c r="S16" s="185" t="s">
        <v>1836</v>
      </c>
      <c r="T16" s="185" t="s">
        <v>1837</v>
      </c>
      <c r="U16" s="185"/>
      <c r="V16" s="185"/>
      <c r="W16" s="185"/>
      <c r="X16" s="185"/>
      <c r="Y16" s="185" t="s">
        <v>1838</v>
      </c>
      <c r="Z16" s="185" t="s">
        <v>1839</v>
      </c>
      <c r="AA16" s="185" t="s">
        <v>1840</v>
      </c>
    </row>
    <row r="17" spans="2:27" ht="240">
      <c r="B17" s="185">
        <v>6</v>
      </c>
      <c r="C17" s="185" t="s">
        <v>1841</v>
      </c>
      <c r="D17" s="185" t="s">
        <v>1842</v>
      </c>
      <c r="E17" s="185" t="s">
        <v>1843</v>
      </c>
      <c r="F17" s="185" t="s">
        <v>1844</v>
      </c>
      <c r="G17" s="185" t="s">
        <v>1845</v>
      </c>
      <c r="H17" s="185" t="s">
        <v>1846</v>
      </c>
      <c r="I17" s="185" t="s">
        <v>1847</v>
      </c>
      <c r="J17" s="185" t="s">
        <v>1848</v>
      </c>
      <c r="K17" s="185" t="s">
        <v>1849</v>
      </c>
      <c r="L17" s="185" t="s">
        <v>1850</v>
      </c>
      <c r="M17" s="185">
        <v>2022</v>
      </c>
      <c r="N17" s="185" t="s">
        <v>1851</v>
      </c>
      <c r="O17" s="185" t="s">
        <v>1852</v>
      </c>
      <c r="P17" s="185" t="s">
        <v>1853</v>
      </c>
      <c r="Q17" s="185" t="s">
        <v>1854</v>
      </c>
      <c r="R17" s="185"/>
      <c r="S17" s="185" t="s">
        <v>1855</v>
      </c>
      <c r="T17" s="185" t="s">
        <v>1856</v>
      </c>
      <c r="U17" s="185"/>
      <c r="V17" s="185"/>
      <c r="W17" s="185"/>
      <c r="X17" s="185"/>
      <c r="Y17" s="185" t="s">
        <v>1857</v>
      </c>
      <c r="Z17" s="185" t="s">
        <v>1858</v>
      </c>
      <c r="AA17" s="185" t="s">
        <v>1859</v>
      </c>
    </row>
    <row r="18" spans="2:27" ht="240">
      <c r="B18" s="185">
        <v>7</v>
      </c>
      <c r="C18" s="185" t="s">
        <v>1860</v>
      </c>
      <c r="D18" s="185" t="s">
        <v>1861</v>
      </c>
      <c r="E18" s="185" t="s">
        <v>1862</v>
      </c>
      <c r="F18" s="185" t="s">
        <v>1863</v>
      </c>
      <c r="G18" s="185" t="s">
        <v>1864</v>
      </c>
      <c r="H18" s="185" t="s">
        <v>1865</v>
      </c>
      <c r="I18" s="185" t="s">
        <v>1866</v>
      </c>
      <c r="J18" s="185" t="s">
        <v>1867</v>
      </c>
      <c r="K18" s="185" t="s">
        <v>1868</v>
      </c>
      <c r="L18" s="185" t="s">
        <v>1869</v>
      </c>
      <c r="M18" s="185">
        <v>2022</v>
      </c>
      <c r="N18" s="185" t="s">
        <v>1870</v>
      </c>
      <c r="O18" s="185" t="s">
        <v>1871</v>
      </c>
      <c r="P18" s="185" t="s">
        <v>1872</v>
      </c>
      <c r="Q18" s="185" t="s">
        <v>1873</v>
      </c>
      <c r="R18" s="185"/>
      <c r="S18" s="185" t="s">
        <v>1874</v>
      </c>
      <c r="T18" s="185" t="s">
        <v>1875</v>
      </c>
      <c r="U18" s="185"/>
      <c r="V18" s="185"/>
      <c r="W18" s="185"/>
      <c r="X18" s="185"/>
      <c r="Y18" s="185" t="s">
        <v>1876</v>
      </c>
      <c r="Z18" s="185" t="s">
        <v>1877</v>
      </c>
      <c r="AA18" s="185" t="s">
        <v>1878</v>
      </c>
    </row>
    <row r="19" spans="2:27" ht="240">
      <c r="B19" s="185">
        <v>8</v>
      </c>
      <c r="C19" s="185" t="s">
        <v>1879</v>
      </c>
      <c r="D19" s="185" t="s">
        <v>1880</v>
      </c>
      <c r="E19" s="185" t="s">
        <v>1881</v>
      </c>
      <c r="F19" s="185" t="s">
        <v>1882</v>
      </c>
      <c r="G19" s="185" t="s">
        <v>1883</v>
      </c>
      <c r="H19" s="185" t="s">
        <v>1884</v>
      </c>
      <c r="I19" s="185" t="s">
        <v>1885</v>
      </c>
      <c r="J19" s="185" t="s">
        <v>1886</v>
      </c>
      <c r="K19" s="185" t="s">
        <v>1887</v>
      </c>
      <c r="L19" s="185" t="s">
        <v>1888</v>
      </c>
      <c r="M19" s="185" t="s">
        <v>1889</v>
      </c>
      <c r="N19" s="185" t="s">
        <v>1890</v>
      </c>
      <c r="O19" s="185"/>
      <c r="P19" s="185" t="s">
        <v>1891</v>
      </c>
      <c r="Q19" s="185" t="s">
        <v>1892</v>
      </c>
      <c r="R19" s="185"/>
      <c r="S19" s="185" t="s">
        <v>1893</v>
      </c>
      <c r="T19" s="185"/>
      <c r="U19" s="185"/>
      <c r="V19" s="185"/>
      <c r="W19" s="185"/>
      <c r="X19" s="185"/>
      <c r="Y19" s="185" t="s">
        <v>1894</v>
      </c>
      <c r="Z19" s="185" t="s">
        <v>1895</v>
      </c>
      <c r="AA19" s="185" t="s">
        <v>1896</v>
      </c>
    </row>
    <row r="20" spans="2:27" ht="228">
      <c r="B20" s="185">
        <v>9</v>
      </c>
      <c r="C20" s="185" t="s">
        <v>1897</v>
      </c>
      <c r="D20" s="185" t="s">
        <v>1898</v>
      </c>
      <c r="E20" s="185" t="s">
        <v>1899</v>
      </c>
      <c r="F20" s="185" t="s">
        <v>1900</v>
      </c>
      <c r="G20" s="185" t="s">
        <v>1901</v>
      </c>
      <c r="H20" s="185" t="s">
        <v>1902</v>
      </c>
      <c r="I20" s="185" t="s">
        <v>1903</v>
      </c>
      <c r="J20" s="185" t="s">
        <v>1904</v>
      </c>
      <c r="K20" s="185" t="s">
        <v>1905</v>
      </c>
      <c r="L20" s="185" t="s">
        <v>1906</v>
      </c>
      <c r="M20" s="185">
        <v>2023</v>
      </c>
      <c r="N20" s="185" t="s">
        <v>1907</v>
      </c>
      <c r="O20" s="185"/>
      <c r="P20" s="185" t="s">
        <v>1908</v>
      </c>
      <c r="Q20" s="185" t="s">
        <v>1909</v>
      </c>
      <c r="R20" s="185"/>
      <c r="S20" s="185" t="s">
        <v>1910</v>
      </c>
      <c r="T20" s="185" t="s">
        <v>1911</v>
      </c>
      <c r="U20" s="185"/>
      <c r="V20" s="185"/>
      <c r="W20" s="185"/>
      <c r="X20" s="185"/>
      <c r="Y20" s="185" t="s">
        <v>1912</v>
      </c>
      <c r="Z20" s="185" t="s">
        <v>1913</v>
      </c>
      <c r="AA20" s="185" t="s">
        <v>1914</v>
      </c>
    </row>
    <row r="21" spans="2:27" ht="240">
      <c r="B21" s="185">
        <v>10</v>
      </c>
      <c r="C21" s="185" t="s">
        <v>1915</v>
      </c>
      <c r="D21" s="185" t="s">
        <v>1916</v>
      </c>
      <c r="E21" s="185" t="s">
        <v>1917</v>
      </c>
      <c r="F21" s="185" t="s">
        <v>1918</v>
      </c>
      <c r="G21" s="185" t="s">
        <v>1919</v>
      </c>
      <c r="H21" s="185" t="s">
        <v>1920</v>
      </c>
      <c r="I21" s="185" t="s">
        <v>1921</v>
      </c>
      <c r="J21" s="185" t="s">
        <v>1922</v>
      </c>
      <c r="K21" s="185" t="s">
        <v>1923</v>
      </c>
      <c r="L21" s="185" t="s">
        <v>1924</v>
      </c>
      <c r="M21" s="185">
        <v>2023</v>
      </c>
      <c r="N21" s="185" t="s">
        <v>1925</v>
      </c>
      <c r="O21" s="185"/>
      <c r="P21" s="185" t="s">
        <v>1926</v>
      </c>
      <c r="Q21" s="185" t="s">
        <v>1927</v>
      </c>
      <c r="R21" s="185"/>
      <c r="S21" s="185" t="s">
        <v>1928</v>
      </c>
      <c r="T21" s="185" t="s">
        <v>1929</v>
      </c>
      <c r="U21" s="185"/>
      <c r="V21" s="185"/>
      <c r="W21" s="185"/>
      <c r="X21" s="185"/>
      <c r="Y21" s="185" t="s">
        <v>1930</v>
      </c>
      <c r="Z21" s="185" t="s">
        <v>1931</v>
      </c>
      <c r="AA21" s="185" t="s">
        <v>1932</v>
      </c>
    </row>
    <row r="22" spans="2:27" ht="240">
      <c r="B22" s="185">
        <v>11</v>
      </c>
      <c r="C22" s="185" t="s">
        <v>1933</v>
      </c>
      <c r="D22" s="185" t="s">
        <v>1934</v>
      </c>
      <c r="E22" s="185" t="s">
        <v>1935</v>
      </c>
      <c r="F22" s="185" t="s">
        <v>1936</v>
      </c>
      <c r="G22" s="185" t="s">
        <v>1937</v>
      </c>
      <c r="H22" s="185" t="s">
        <v>1938</v>
      </c>
      <c r="I22" s="185" t="s">
        <v>1939</v>
      </c>
      <c r="J22" s="185" t="s">
        <v>1940</v>
      </c>
      <c r="K22" s="185" t="s">
        <v>1941</v>
      </c>
      <c r="L22" s="185" t="s">
        <v>1942</v>
      </c>
      <c r="M22" s="185">
        <v>2023</v>
      </c>
      <c r="N22" s="185" t="s">
        <v>1943</v>
      </c>
      <c r="O22" s="185"/>
      <c r="P22" s="185" t="s">
        <v>1944</v>
      </c>
      <c r="Q22" s="185" t="s">
        <v>1945</v>
      </c>
      <c r="R22" s="185"/>
      <c r="S22" s="185" t="s">
        <v>1946</v>
      </c>
      <c r="T22" s="185" t="s">
        <v>1947</v>
      </c>
      <c r="U22" s="185"/>
      <c r="V22" s="185"/>
      <c r="W22" s="185"/>
      <c r="X22" s="185"/>
      <c r="Y22" s="185" t="s">
        <v>1948</v>
      </c>
      <c r="Z22" s="185" t="s">
        <v>1949</v>
      </c>
      <c r="AA22" s="185" t="s">
        <v>1950</v>
      </c>
    </row>
    <row r="23" spans="2:27" ht="372">
      <c r="B23" s="185">
        <v>12</v>
      </c>
      <c r="C23" s="185" t="s">
        <v>1951</v>
      </c>
      <c r="D23" s="185" t="s">
        <v>1952</v>
      </c>
      <c r="E23" s="185" t="s">
        <v>1953</v>
      </c>
      <c r="F23" s="185" t="s">
        <v>1954</v>
      </c>
      <c r="G23" s="185" t="s">
        <v>1955</v>
      </c>
      <c r="H23" s="185" t="s">
        <v>1956</v>
      </c>
      <c r="I23" s="185"/>
      <c r="J23" s="185" t="s">
        <v>1957</v>
      </c>
      <c r="K23" s="185" t="s">
        <v>1958</v>
      </c>
      <c r="L23" s="185" t="s">
        <v>1959</v>
      </c>
      <c r="M23" s="185">
        <v>2019</v>
      </c>
      <c r="N23" s="185" t="s">
        <v>1960</v>
      </c>
      <c r="O23" s="185"/>
      <c r="P23" s="185" t="s">
        <v>1961</v>
      </c>
      <c r="Q23" s="185" t="s">
        <v>1962</v>
      </c>
      <c r="R23" s="185" t="s">
        <v>1963</v>
      </c>
      <c r="S23" s="185" t="s">
        <v>1964</v>
      </c>
      <c r="T23" s="185" t="s">
        <v>1965</v>
      </c>
      <c r="U23" s="185"/>
      <c r="V23" s="185"/>
      <c r="W23" s="185"/>
      <c r="X23" s="185"/>
      <c r="Y23" s="185" t="s">
        <v>1966</v>
      </c>
      <c r="Z23" s="185" t="s">
        <v>1967</v>
      </c>
      <c r="AA23" s="185" t="s">
        <v>1968</v>
      </c>
    </row>
    <row r="24" spans="2:27" ht="372">
      <c r="B24" s="185">
        <v>13</v>
      </c>
      <c r="C24" s="185" t="s">
        <v>1969</v>
      </c>
      <c r="D24" s="185" t="s">
        <v>1970</v>
      </c>
      <c r="E24" s="185" t="s">
        <v>1971</v>
      </c>
      <c r="F24" s="185" t="s">
        <v>1972</v>
      </c>
      <c r="G24" s="185" t="s">
        <v>1973</v>
      </c>
      <c r="H24" s="185" t="s">
        <v>1974</v>
      </c>
      <c r="I24" s="185"/>
      <c r="J24" s="185" t="s">
        <v>1975</v>
      </c>
      <c r="K24" s="185" t="s">
        <v>1976</v>
      </c>
      <c r="L24" s="185" t="s">
        <v>1977</v>
      </c>
      <c r="M24" s="185">
        <v>2019</v>
      </c>
      <c r="N24" s="185" t="s">
        <v>1978</v>
      </c>
      <c r="O24" s="185"/>
      <c r="P24" s="185" t="s">
        <v>1979</v>
      </c>
      <c r="Q24" s="185" t="s">
        <v>1980</v>
      </c>
      <c r="R24" s="185" t="s">
        <v>1981</v>
      </c>
      <c r="S24" s="185" t="s">
        <v>1982</v>
      </c>
      <c r="T24" s="185" t="s">
        <v>1983</v>
      </c>
      <c r="U24" s="185"/>
      <c r="V24" s="185"/>
      <c r="W24" s="185"/>
      <c r="X24" s="185"/>
      <c r="Y24" s="185" t="s">
        <v>1984</v>
      </c>
      <c r="Z24" s="185" t="s">
        <v>1985</v>
      </c>
      <c r="AA24" s="185" t="s">
        <v>1986</v>
      </c>
    </row>
    <row r="25" spans="2:27" ht="288">
      <c r="B25" s="185">
        <v>14</v>
      </c>
      <c r="C25" s="185" t="s">
        <v>1987</v>
      </c>
      <c r="D25" s="185" t="s">
        <v>1988</v>
      </c>
      <c r="E25" s="185" t="s">
        <v>1989</v>
      </c>
      <c r="F25" s="185" t="s">
        <v>1990</v>
      </c>
      <c r="G25" s="185" t="s">
        <v>1991</v>
      </c>
      <c r="H25" s="185" t="s">
        <v>1992</v>
      </c>
      <c r="I25" s="185"/>
      <c r="J25" s="185" t="s">
        <v>1993</v>
      </c>
      <c r="K25" s="185" t="s">
        <v>1994</v>
      </c>
      <c r="L25" s="185" t="s">
        <v>1995</v>
      </c>
      <c r="M25" s="185">
        <v>2019</v>
      </c>
      <c r="N25" s="185" t="s">
        <v>1996</v>
      </c>
      <c r="O25" s="185"/>
      <c r="P25" s="185" t="s">
        <v>1997</v>
      </c>
      <c r="Q25" s="185" t="s">
        <v>1998</v>
      </c>
      <c r="R25" s="185"/>
      <c r="S25" s="185" t="s">
        <v>1999</v>
      </c>
      <c r="T25" s="185"/>
      <c r="U25" s="185"/>
      <c r="V25" s="185"/>
      <c r="W25" s="185"/>
      <c r="X25" s="185"/>
      <c r="Y25" s="185" t="s">
        <v>2000</v>
      </c>
      <c r="Z25" s="185" t="s">
        <v>2001</v>
      </c>
      <c r="AA25" s="185" t="s">
        <v>2002</v>
      </c>
    </row>
    <row r="26" spans="2:27" ht="288">
      <c r="B26" s="185">
        <v>15</v>
      </c>
      <c r="C26" s="185" t="s">
        <v>2003</v>
      </c>
      <c r="D26" s="185" t="s">
        <v>2004</v>
      </c>
      <c r="E26" s="185" t="s">
        <v>2005</v>
      </c>
      <c r="F26" s="185" t="s">
        <v>2006</v>
      </c>
      <c r="G26" s="185" t="s">
        <v>2007</v>
      </c>
      <c r="H26" s="185" t="s">
        <v>2008</v>
      </c>
      <c r="I26" s="185"/>
      <c r="J26" s="185" t="s">
        <v>2009</v>
      </c>
      <c r="K26" s="185" t="s">
        <v>2010</v>
      </c>
      <c r="L26" s="185" t="s">
        <v>2011</v>
      </c>
      <c r="M26" s="185" t="s">
        <v>2012</v>
      </c>
      <c r="N26" s="185" t="s">
        <v>2013</v>
      </c>
      <c r="O26" s="185"/>
      <c r="P26" s="185" t="s">
        <v>2014</v>
      </c>
      <c r="Q26" s="185" t="s">
        <v>2015</v>
      </c>
      <c r="R26" s="185"/>
      <c r="S26" s="185" t="s">
        <v>2016</v>
      </c>
      <c r="T26" s="185"/>
      <c r="U26" s="185"/>
      <c r="V26" s="185"/>
      <c r="W26" s="185"/>
      <c r="X26" s="185"/>
      <c r="Y26" s="185" t="s">
        <v>2017</v>
      </c>
      <c r="Z26" s="185" t="s">
        <v>2018</v>
      </c>
      <c r="AA26" s="185" t="s">
        <v>2019</v>
      </c>
    </row>
    <row r="27" spans="2:27" ht="240">
      <c r="B27" s="185">
        <v>16</v>
      </c>
      <c r="C27" s="185" t="s">
        <v>2020</v>
      </c>
      <c r="D27" s="185" t="s">
        <v>2021</v>
      </c>
      <c r="E27" s="185" t="s">
        <v>2022</v>
      </c>
      <c r="F27" s="185" t="s">
        <v>2023</v>
      </c>
      <c r="G27" s="185" t="s">
        <v>2024</v>
      </c>
      <c r="H27" s="185" t="s">
        <v>2025</v>
      </c>
      <c r="I27" s="185" t="s">
        <v>2026</v>
      </c>
      <c r="J27" s="185" t="s">
        <v>2027</v>
      </c>
      <c r="K27" s="185" t="s">
        <v>2028</v>
      </c>
      <c r="L27" s="185" t="s">
        <v>2029</v>
      </c>
      <c r="M27" s="185" t="s">
        <v>2030</v>
      </c>
      <c r="N27" s="185" t="s">
        <v>2031</v>
      </c>
      <c r="O27" s="185" t="s">
        <v>2032</v>
      </c>
      <c r="P27" s="185" t="s">
        <v>2033</v>
      </c>
      <c r="Q27" s="185" t="s">
        <v>2034</v>
      </c>
      <c r="R27" s="185"/>
      <c r="S27" s="185" t="s">
        <v>2035</v>
      </c>
      <c r="T27" s="185" t="s">
        <v>2036</v>
      </c>
      <c r="U27" s="185"/>
      <c r="V27" s="185" t="s">
        <v>2037</v>
      </c>
      <c r="W27" s="185"/>
      <c r="X27" s="185"/>
      <c r="Y27" s="185" t="s">
        <v>2038</v>
      </c>
      <c r="Z27" s="185" t="s">
        <v>2039</v>
      </c>
      <c r="AA27" s="185" t="s">
        <v>2040</v>
      </c>
    </row>
    <row r="28" spans="2:27" ht="228">
      <c r="B28" s="185">
        <v>17</v>
      </c>
      <c r="C28" s="185" t="s">
        <v>2041</v>
      </c>
      <c r="D28" s="185" t="s">
        <v>2042</v>
      </c>
      <c r="E28" s="185" t="s">
        <v>2043</v>
      </c>
      <c r="F28" s="185" t="s">
        <v>2044</v>
      </c>
      <c r="G28" s="185" t="s">
        <v>2045</v>
      </c>
      <c r="H28" s="185" t="s">
        <v>2046</v>
      </c>
      <c r="I28" s="185" t="s">
        <v>2047</v>
      </c>
      <c r="J28" s="185" t="s">
        <v>2048</v>
      </c>
      <c r="K28" s="185" t="s">
        <v>2049</v>
      </c>
      <c r="L28" s="185" t="s">
        <v>2050</v>
      </c>
      <c r="M28" s="185">
        <v>2020</v>
      </c>
      <c r="N28" s="185" t="s">
        <v>2051</v>
      </c>
      <c r="O28" s="185" t="s">
        <v>2052</v>
      </c>
      <c r="P28" s="185" t="s">
        <v>2053</v>
      </c>
      <c r="Q28" s="185" t="s">
        <v>2054</v>
      </c>
      <c r="R28" s="185"/>
      <c r="S28" s="185" t="s">
        <v>2055</v>
      </c>
      <c r="T28" s="185" t="s">
        <v>2056</v>
      </c>
      <c r="U28" s="185"/>
      <c r="V28" s="185"/>
      <c r="W28" s="185"/>
      <c r="X28" s="185"/>
      <c r="Y28" s="185" t="s">
        <v>2057</v>
      </c>
      <c r="Z28" s="185" t="s">
        <v>2058</v>
      </c>
      <c r="AA28" s="185" t="s">
        <v>2059</v>
      </c>
    </row>
  </sheetData>
  <mergeCells count="12">
    <mergeCell ref="B10:M10"/>
    <mergeCell ref="B7:C7"/>
    <mergeCell ref="B6:C6"/>
    <mergeCell ref="B5:C5"/>
    <mergeCell ref="D7:I7"/>
    <mergeCell ref="D6:I6"/>
    <mergeCell ref="B3:C3"/>
    <mergeCell ref="D5:I5"/>
    <mergeCell ref="B2:I2"/>
    <mergeCell ref="D4:I4"/>
    <mergeCell ref="D3:I3"/>
    <mergeCell ref="B4:C4"/>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tabColor rgb="FF0F243F"/>
  </sheetPr>
  <dimension ref="A1:AMJ13"/>
  <sheetViews>
    <sheetView showGridLines="0" workbookViewId="0"/>
  </sheetViews>
  <sheetFormatPr defaultRowHeight="15.75" customHeight="1"/>
  <cols>
    <col min="1" max="1" width="2.42578125" style="180"/>
    <col min="2" max="2" width="14.28515625" style="180"/>
    <col min="3" max="3" width="17.7109375" style="180"/>
    <col min="4" max="4" width="9.85546875" style="180"/>
    <col min="5" max="5" width="16.140625" style="180"/>
    <col min="6" max="6" width="22.5703125" style="180"/>
    <col min="7" max="8" width="9.85546875" style="180"/>
    <col min="9" max="9" width="28.85546875" style="180"/>
    <col min="10" max="10" width="27.42578125" style="180"/>
    <col min="11" max="11" width="19.5703125" style="180"/>
    <col min="12" max="12" width="38.85546875" style="180"/>
    <col min="13" max="13" width="43.5703125" style="180"/>
    <col min="14" max="1024" width="9.85546875" style="180"/>
    <col min="1025" max="1025" width="11.42578125"/>
  </cols>
  <sheetData>
    <row r="1" spans="2:27" s="180" customFormat="1" ht="14.25">
      <c r="B1" s="46"/>
      <c r="C1" s="46"/>
      <c r="D1" s="46"/>
      <c r="E1" s="46"/>
      <c r="F1" s="46"/>
      <c r="G1" s="46"/>
      <c r="H1" s="46"/>
      <c r="I1" s="46"/>
      <c r="J1" s="46"/>
      <c r="K1" s="46"/>
      <c r="L1" s="46"/>
      <c r="M1" s="46"/>
    </row>
    <row r="2" spans="2:27" s="180" customFormat="1" ht="16.5">
      <c r="B2" s="591" t="s">
        <v>2060</v>
      </c>
      <c r="C2" s="591"/>
      <c r="D2" s="591"/>
      <c r="E2" s="591"/>
      <c r="F2" s="591"/>
      <c r="G2" s="591"/>
      <c r="H2" s="591"/>
      <c r="I2" s="591"/>
      <c r="J2" s="46"/>
      <c r="K2" s="46"/>
      <c r="L2" s="46"/>
      <c r="M2" s="46"/>
    </row>
    <row r="3" spans="2:27" s="180" customFormat="1" ht="14.25">
      <c r="B3" s="598" t="s">
        <v>2061</v>
      </c>
      <c r="C3" s="598"/>
      <c r="D3" s="600" t="s">
        <v>2062</v>
      </c>
      <c r="E3" s="601"/>
      <c r="F3" s="601"/>
      <c r="G3" s="601"/>
      <c r="H3" s="601"/>
      <c r="I3" s="601"/>
      <c r="J3" s="46"/>
      <c r="K3" s="46" t="s">
        <v>2063</v>
      </c>
      <c r="L3" s="46">
        <f>COUNTIF(M:M,"&gt;2021")</f>
        <v>0</v>
      </c>
      <c r="M3" s="46"/>
    </row>
    <row r="4" spans="2:27" s="180" customFormat="1" ht="36.75" customHeight="1">
      <c r="B4" s="602" t="s">
        <v>2064</v>
      </c>
      <c r="C4" s="602"/>
      <c r="D4" s="600" t="s">
        <v>2065</v>
      </c>
      <c r="E4" s="601"/>
      <c r="F4" s="601"/>
      <c r="G4" s="601"/>
      <c r="H4" s="601"/>
      <c r="I4" s="601"/>
      <c r="J4" s="46"/>
      <c r="K4" s="46"/>
      <c r="L4" s="46"/>
      <c r="M4" s="46"/>
    </row>
    <row r="5" spans="2:27" s="180" customFormat="1" ht="14.25">
      <c r="B5" s="602" t="s">
        <v>2066</v>
      </c>
      <c r="C5" s="602"/>
      <c r="D5" s="599" t="s">
        <v>2067</v>
      </c>
      <c r="E5" s="599"/>
      <c r="F5" s="599"/>
      <c r="G5" s="599"/>
      <c r="H5" s="599"/>
      <c r="I5" s="599"/>
      <c r="J5" s="46"/>
      <c r="K5" s="46"/>
      <c r="L5" s="46"/>
      <c r="M5" s="46"/>
    </row>
    <row r="6" spans="2:27" s="180" customFormat="1" ht="39.75" customHeight="1">
      <c r="B6" s="602" t="s">
        <v>2068</v>
      </c>
      <c r="C6" s="602"/>
      <c r="D6" s="600" t="s">
        <v>2069</v>
      </c>
      <c r="E6" s="601"/>
      <c r="F6" s="601"/>
      <c r="G6" s="601"/>
      <c r="H6" s="601"/>
      <c r="I6" s="601"/>
      <c r="J6" s="46"/>
      <c r="K6" s="46"/>
      <c r="L6" s="46"/>
      <c r="M6" s="46"/>
    </row>
    <row r="7" spans="2:27" s="180" customFormat="1" ht="16.5" customHeight="1">
      <c r="B7" s="602" t="s">
        <v>2070</v>
      </c>
      <c r="C7" s="602"/>
      <c r="D7" s="605"/>
      <c r="E7" s="606"/>
      <c r="F7" s="606"/>
      <c r="G7" s="606"/>
      <c r="H7" s="606"/>
      <c r="I7" s="607"/>
      <c r="J7" s="46"/>
      <c r="K7" s="46"/>
      <c r="L7" s="46"/>
      <c r="M7" s="46"/>
    </row>
    <row r="8" spans="2:27" s="180" customFormat="1" ht="16.5" customHeight="1">
      <c r="B8" s="181"/>
      <c r="C8" s="181"/>
      <c r="D8" s="182"/>
      <c r="E8" s="183"/>
      <c r="F8" s="183"/>
      <c r="G8" s="183"/>
      <c r="H8" s="183"/>
      <c r="I8" s="183"/>
      <c r="J8" s="46"/>
      <c r="K8" s="46"/>
      <c r="L8" s="46"/>
      <c r="M8" s="46"/>
    </row>
    <row r="9" spans="2:27" s="180" customFormat="1" ht="16.5" customHeight="1">
      <c r="B9" s="181"/>
      <c r="C9" s="181"/>
      <c r="D9" s="182"/>
      <c r="E9" s="183"/>
      <c r="F9" s="183"/>
      <c r="G9" s="183"/>
      <c r="H9" s="183"/>
      <c r="I9" s="183"/>
      <c r="J9" s="46"/>
      <c r="K9" s="46"/>
      <c r="L9" s="46"/>
      <c r="M9" s="46"/>
    </row>
    <row r="10" spans="2:27" s="180" customFormat="1" ht="15">
      <c r="B10" s="603" t="s">
        <v>2071</v>
      </c>
      <c r="C10" s="604"/>
      <c r="D10" s="604"/>
      <c r="E10" s="604"/>
      <c r="F10" s="604"/>
      <c r="G10" s="604"/>
      <c r="H10" s="604"/>
      <c r="I10" s="604"/>
      <c r="J10" s="604"/>
      <c r="K10" s="604"/>
      <c r="L10" s="604"/>
      <c r="M10" s="604"/>
    </row>
    <row r="11" spans="2:27" ht="36">
      <c r="B11" s="184" t="s">
        <v>2072</v>
      </c>
      <c r="C11" s="184" t="s">
        <v>2073</v>
      </c>
      <c r="D11" s="184" t="s">
        <v>2074</v>
      </c>
      <c r="E11" s="184" t="s">
        <v>2075</v>
      </c>
      <c r="F11" s="184" t="s">
        <v>2076</v>
      </c>
      <c r="G11" s="184" t="s">
        <v>2077</v>
      </c>
      <c r="H11" s="184" t="s">
        <v>2078</v>
      </c>
      <c r="I11" s="184" t="s">
        <v>2079</v>
      </c>
      <c r="J11" s="184" t="s">
        <v>2080</v>
      </c>
      <c r="K11" s="184" t="s">
        <v>2081</v>
      </c>
      <c r="L11" s="184" t="s">
        <v>2082</v>
      </c>
      <c r="M11" s="184" t="s">
        <v>2083</v>
      </c>
      <c r="N11" s="184" t="s">
        <v>2084</v>
      </c>
      <c r="O11" s="184" t="s">
        <v>2085</v>
      </c>
      <c r="P11" s="184" t="s">
        <v>2086</v>
      </c>
      <c r="Q11" s="184" t="s">
        <v>2087</v>
      </c>
      <c r="R11" s="184" t="s">
        <v>2088</v>
      </c>
      <c r="S11" s="184" t="s">
        <v>2089</v>
      </c>
      <c r="T11" s="184" t="s">
        <v>2090</v>
      </c>
      <c r="U11" s="184" t="s">
        <v>2091</v>
      </c>
      <c r="V11" s="184" t="s">
        <v>2092</v>
      </c>
      <c r="W11" s="184" t="s">
        <v>2093</v>
      </c>
      <c r="X11" s="184" t="s">
        <v>2094</v>
      </c>
      <c r="Y11" s="184" t="s">
        <v>2095</v>
      </c>
      <c r="Z11" s="184" t="s">
        <v>2096</v>
      </c>
      <c r="AA11" s="184" t="s">
        <v>2097</v>
      </c>
    </row>
    <row r="12" spans="2:27" ht="15">
      <c r="B12" s="185"/>
      <c r="C12" s="185"/>
      <c r="D12" s="185"/>
      <c r="E12" s="185"/>
      <c r="F12" s="185"/>
      <c r="G12" s="185"/>
      <c r="H12" s="185"/>
      <c r="I12" s="185"/>
      <c r="J12" s="185"/>
      <c r="K12" s="185"/>
      <c r="L12" s="185"/>
      <c r="M12" s="185"/>
      <c r="N12" s="185"/>
      <c r="O12" s="185"/>
      <c r="P12" s="185"/>
      <c r="Q12" s="185"/>
      <c r="R12" s="185"/>
      <c r="S12" s="185"/>
      <c r="T12" s="185"/>
      <c r="U12" s="185"/>
      <c r="V12" s="185"/>
      <c r="W12" s="185"/>
      <c r="X12" s="185"/>
      <c r="Y12" s="185"/>
      <c r="Z12" s="185"/>
      <c r="AA12" s="185"/>
    </row>
    <row r="13" spans="2:27" ht="15">
      <c r="B13" s="185"/>
      <c r="C13" s="185"/>
      <c r="D13" s="185"/>
      <c r="E13" s="185"/>
      <c r="F13" s="185"/>
      <c r="G13" s="185"/>
      <c r="H13" s="185"/>
      <c r="I13" s="185"/>
      <c r="J13" s="185"/>
      <c r="K13" s="185"/>
      <c r="L13" s="185"/>
      <c r="M13" s="185"/>
      <c r="N13" s="185"/>
      <c r="O13" s="185"/>
      <c r="P13" s="185"/>
      <c r="Q13" s="185"/>
      <c r="R13" s="185"/>
      <c r="S13" s="185"/>
      <c r="T13" s="185"/>
      <c r="U13" s="185"/>
      <c r="V13" s="185"/>
      <c r="W13" s="185"/>
      <c r="X13" s="185"/>
      <c r="Y13" s="185"/>
      <c r="Z13" s="185"/>
      <c r="AA13" s="185"/>
    </row>
  </sheetData>
  <mergeCells count="12">
    <mergeCell ref="B10:M10"/>
    <mergeCell ref="B7:C7"/>
    <mergeCell ref="B6:C6"/>
    <mergeCell ref="D7:I7"/>
    <mergeCell ref="B5:C5"/>
    <mergeCell ref="D6:I6"/>
    <mergeCell ref="D5:I5"/>
    <mergeCell ref="B3:C3"/>
    <mergeCell ref="D4:I4"/>
    <mergeCell ref="B2:I2"/>
    <mergeCell ref="D3:I3"/>
    <mergeCell ref="B4:C4"/>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tabColor rgb="FF0F243F"/>
  </sheetPr>
  <dimension ref="A2:AMJ265"/>
  <sheetViews>
    <sheetView workbookViewId="0"/>
  </sheetViews>
  <sheetFormatPr defaultRowHeight="15.75" customHeight="1" outlineLevelRow="2"/>
  <cols>
    <col min="1" max="5" width="2.5703125" style="124"/>
    <col min="6" max="6" width="49.28515625" style="126"/>
    <col min="7" max="7" width="16.140625" style="124"/>
    <col min="8" max="8" width="19.7109375" style="124"/>
    <col min="9" max="9" width="18.42578125" style="124"/>
    <col min="10" max="11" width="16.140625" style="124"/>
    <col min="12" max="12" width="2" style="124"/>
    <col min="13" max="13" width="8" style="124"/>
    <col min="14" max="14" width="32.85546875" style="124"/>
    <col min="15" max="15" width="39" style="124"/>
    <col min="16" max="1024" width="9.85546875" style="124"/>
    <col min="1025" max="1025" width="11.42578125"/>
  </cols>
  <sheetData>
    <row r="2" spans="2:16" ht="26.25" customHeight="1">
      <c r="B2" s="738" t="s">
        <v>2098</v>
      </c>
      <c r="C2" s="739"/>
      <c r="D2" s="739"/>
      <c r="E2" s="739"/>
      <c r="F2" s="739"/>
      <c r="G2" s="739"/>
      <c r="H2" s="739"/>
      <c r="I2" s="739"/>
      <c r="J2" s="739"/>
      <c r="K2" s="739"/>
      <c r="L2" s="740"/>
      <c r="N2" s="186" t="s">
        <v>2099</v>
      </c>
      <c r="O2" s="187">
        <f>3-COUNT(O3:O5)</f>
        <v>0</v>
      </c>
      <c r="P2" s="188"/>
    </row>
    <row r="3" spans="2:16" s="124" customFormat="1" ht="14.25">
      <c r="B3" s="189"/>
      <c r="G3" s="125"/>
      <c r="L3" s="128"/>
      <c r="N3" s="608" t="s">
        <v>2100</v>
      </c>
      <c r="O3" s="190">
        <f>'Financial 1'!F4</f>
        <v>0</v>
      </c>
    </row>
    <row r="4" spans="2:16" s="124" customFormat="1" ht="14.25">
      <c r="B4" s="189"/>
      <c r="C4" s="628"/>
      <c r="D4" s="628"/>
      <c r="E4" s="628"/>
      <c r="F4" s="628"/>
      <c r="G4" s="628"/>
      <c r="H4" s="628"/>
      <c r="I4" s="629"/>
      <c r="J4" s="191" t="s">
        <v>2101</v>
      </c>
      <c r="K4" s="192" t="s">
        <v>2102</v>
      </c>
      <c r="L4" s="128"/>
      <c r="N4" s="608"/>
      <c r="O4" s="190">
        <f>'Financial 2'!F4</f>
        <v>0</v>
      </c>
    </row>
    <row r="5" spans="2:16" s="124" customFormat="1" ht="19.5">
      <c r="B5" s="127"/>
      <c r="C5" s="630" t="s">
        <v>2103</v>
      </c>
      <c r="D5" s="631"/>
      <c r="E5" s="631"/>
      <c r="F5" s="631"/>
      <c r="G5" s="631"/>
      <c r="H5" s="631"/>
      <c r="I5" s="631"/>
      <c r="J5" s="631"/>
      <c r="K5" s="632"/>
      <c r="L5" s="128"/>
      <c r="N5" s="608"/>
      <c r="O5" s="190">
        <f>'Financial 3'!F4</f>
        <v>0</v>
      </c>
    </row>
    <row r="6" spans="2:16" s="193" customFormat="1" ht="19.5" customHeight="1">
      <c r="B6" s="194"/>
      <c r="C6" s="633" t="s">
        <v>2104</v>
      </c>
      <c r="D6" s="634"/>
      <c r="E6" s="634"/>
      <c r="F6" s="634"/>
      <c r="G6" s="195">
        <f>IFERROR(EDATE(H6,-12),"-")</f>
        <v>43921</v>
      </c>
      <c r="H6" s="195">
        <f>IFERROR(EDATE(I6,-12),"-")</f>
        <v>44286</v>
      </c>
      <c r="I6" s="195">
        <f>'Financial 1'!I6</f>
        <v>44651</v>
      </c>
      <c r="J6" s="195">
        <f>IFERROR(EDATE(I6,12),"-")</f>
        <v>45016</v>
      </c>
      <c r="K6" s="196">
        <f>IFERROR(EDATE(J6,12),"-")</f>
        <v>45382</v>
      </c>
      <c r="L6" s="197"/>
      <c r="O6" s="198"/>
      <c r="P6" s="124"/>
    </row>
    <row r="7" spans="2:16" s="125" customFormat="1" ht="16.5" customHeight="1">
      <c r="B7" s="189"/>
      <c r="C7" s="635" t="s">
        <v>2105</v>
      </c>
      <c r="D7" s="636"/>
      <c r="E7" s="636"/>
      <c r="F7" s="637"/>
      <c r="G7" s="199" t="s">
        <v>2106</v>
      </c>
      <c r="H7" s="199" t="s">
        <v>2107</v>
      </c>
      <c r="I7" s="199" t="s">
        <v>2108</v>
      </c>
      <c r="J7" s="199" t="s">
        <v>2109</v>
      </c>
      <c r="K7" s="199" t="s">
        <v>2110</v>
      </c>
      <c r="L7" s="200"/>
      <c r="O7" s="188"/>
      <c r="P7" s="124"/>
    </row>
    <row r="8" spans="2:16" s="201" customFormat="1" ht="14.25">
      <c r="B8" s="202"/>
      <c r="C8" s="638" t="s">
        <v>2111</v>
      </c>
      <c r="D8" s="639"/>
      <c r="E8" s="639"/>
      <c r="F8" s="640"/>
      <c r="G8" s="203"/>
      <c r="H8" s="203"/>
      <c r="I8" s="203"/>
      <c r="J8" s="203"/>
      <c r="K8" s="204"/>
      <c r="L8" s="205"/>
      <c r="O8" s="188"/>
      <c r="P8" s="124"/>
    </row>
    <row r="9" spans="2:16" s="201" customFormat="1" ht="14.25">
      <c r="B9" s="202"/>
      <c r="C9" s="641" t="s">
        <v>2112</v>
      </c>
      <c r="D9" s="642"/>
      <c r="E9" s="642"/>
      <c r="F9" s="643"/>
      <c r="G9" s="206"/>
      <c r="H9" s="206"/>
      <c r="I9" s="206"/>
      <c r="J9" s="206"/>
      <c r="K9" s="207"/>
      <c r="L9" s="205"/>
      <c r="P9" s="124"/>
    </row>
    <row r="10" spans="2:16" ht="17.25" customHeight="1">
      <c r="B10" s="127"/>
      <c r="C10" s="644" t="s">
        <v>2113</v>
      </c>
      <c r="D10" s="645"/>
      <c r="E10" s="645"/>
      <c r="F10" s="645"/>
      <c r="G10" s="208"/>
      <c r="H10" s="208"/>
      <c r="I10" s="208"/>
      <c r="J10" s="208"/>
      <c r="K10" s="209"/>
      <c r="L10" s="128"/>
    </row>
    <row r="11" spans="2:16" ht="17.25" customHeight="1">
      <c r="B11" s="127"/>
      <c r="C11" s="210"/>
      <c r="D11" s="611" t="s">
        <v>2114</v>
      </c>
      <c r="E11" s="612"/>
      <c r="F11" s="613"/>
      <c r="G11" s="212">
        <f>SUM(G12,G16,G20)</f>
        <v>0</v>
      </c>
      <c r="H11" s="212">
        <f>SUM(H12,H16,H20)</f>
        <v>1292538191</v>
      </c>
      <c r="I11" s="212">
        <f>SUM(I12,I16,I20)</f>
        <v>1293520776</v>
      </c>
      <c r="J11" s="212">
        <f>SUM(J12,J16,J20)</f>
        <v>0</v>
      </c>
      <c r="K11" s="213">
        <f>SUM(K12,K16,K20)</f>
        <v>0</v>
      </c>
      <c r="L11" s="128"/>
    </row>
    <row r="12" spans="2:16" s="125" customFormat="1" ht="12.75" outlineLevel="1">
      <c r="B12" s="214"/>
      <c r="C12" s="657"/>
      <c r="D12" s="215"/>
      <c r="E12" s="659" t="s">
        <v>2115</v>
      </c>
      <c r="F12" s="660"/>
      <c r="G12" s="216"/>
      <c r="H12" s="216">
        <f>SUM(H13:H15)</f>
        <v>1292538191</v>
      </c>
      <c r="I12" s="216">
        <f>SUM(I13:I15)</f>
        <v>1293520776</v>
      </c>
      <c r="J12" s="216">
        <f>SUM(J13:J15)</f>
        <v>0</v>
      </c>
      <c r="K12" s="217">
        <f>SUM(K13:K15)</f>
        <v>0</v>
      </c>
      <c r="L12" s="200"/>
    </row>
    <row r="13" spans="2:16" s="218" customFormat="1" ht="14.25" customHeight="1" outlineLevel="2">
      <c r="B13" s="219"/>
      <c r="C13" s="657"/>
      <c r="D13" s="661"/>
      <c r="E13" s="220"/>
      <c r="F13" s="221" t="s">
        <v>2116</v>
      </c>
      <c r="G13" s="222">
        <f>'Financial 1'!G13+'Financial 2'!G13+'Financial 3'!G13</f>
        <v>0</v>
      </c>
      <c r="H13" s="223">
        <f>'Financial 1'!H13+'Financial 2'!H13+'Financial 3'!H13</f>
        <v>0</v>
      </c>
      <c r="I13" s="223">
        <f>'Financial 1'!I13+'Financial 2'!I13+'Financial 3'!I13</f>
        <v>0</v>
      </c>
      <c r="J13" s="223">
        <f>'Financial 1'!J13+'Financial 2'!J13+'Financial 3'!J13</f>
        <v>0</v>
      </c>
      <c r="K13" s="224">
        <f>'Financial 1'!K13+'Financial 2'!K13+'Financial 3'!K13</f>
        <v>0</v>
      </c>
      <c r="L13" s="225"/>
    </row>
    <row r="14" spans="2:16" s="218" customFormat="1" ht="14.25" customHeight="1" outlineLevel="2">
      <c r="B14" s="219"/>
      <c r="C14" s="657"/>
      <c r="D14" s="661"/>
      <c r="F14" s="226" t="s">
        <v>2117</v>
      </c>
      <c r="G14" s="227">
        <f>'Financial 1'!G14+'Financial 2'!G14+'Financial 3'!G14</f>
        <v>38650763</v>
      </c>
      <c r="H14" s="227">
        <f>'Financial 1'!H14+'Financial 2'!H14+'Financial 3'!H14</f>
        <v>81759373</v>
      </c>
      <c r="I14" s="227">
        <f>'Financial 1'!I14+'Financial 2'!I14+'Financial 3'!I14</f>
        <v>118219526</v>
      </c>
      <c r="J14" s="227">
        <f>'Financial 1'!J14+'Financial 2'!J14+'Financial 3'!J14</f>
        <v>0</v>
      </c>
      <c r="K14" s="228">
        <f>'Financial 1'!K14+'Financial 2'!K14+'Financial 3'!K14</f>
        <v>0</v>
      </c>
      <c r="L14" s="225"/>
    </row>
    <row r="15" spans="2:16" s="218" customFormat="1" ht="14.25" customHeight="1" outlineLevel="2">
      <c r="B15" s="219"/>
      <c r="C15" s="657"/>
      <c r="D15" s="661"/>
      <c r="F15" s="226" t="s">
        <v>2118</v>
      </c>
      <c r="G15" s="227">
        <f>'Financial 1'!G15+'Financial 2'!G15+'Financial 3'!G15</f>
        <v>1165271181</v>
      </c>
      <c r="H15" s="227">
        <f>'Financial 1'!H15+'Financial 2'!H15+'Financial 3'!H15</f>
        <v>1210778818</v>
      </c>
      <c r="I15" s="227">
        <f>'Financial 1'!I15+'Financial 2'!I15+'Financial 3'!I15</f>
        <v>1175301250</v>
      </c>
      <c r="J15" s="227">
        <f>'Financial 1'!J15+'Financial 2'!J15+'Financial 3'!J15</f>
        <v>0</v>
      </c>
      <c r="K15" s="228">
        <f>'Financial 1'!K15+'Financial 2'!K15+'Financial 3'!K15</f>
        <v>0</v>
      </c>
      <c r="L15" s="225"/>
    </row>
    <row r="16" spans="2:16" s="125" customFormat="1" ht="12.75" outlineLevel="1">
      <c r="B16" s="214"/>
      <c r="C16" s="657"/>
      <c r="E16" s="611" t="s">
        <v>2119</v>
      </c>
      <c r="F16" s="613"/>
      <c r="G16" s="229" t="s">
        <v>2120</v>
      </c>
      <c r="H16" s="229">
        <f>SUM(H17:H19)</f>
        <v>0</v>
      </c>
      <c r="I16" s="229">
        <f>SUM(I17:I19)</f>
        <v>0</v>
      </c>
      <c r="J16" s="229">
        <f>SUM(J17:J19)</f>
        <v>0</v>
      </c>
      <c r="K16" s="230">
        <f>SUM(K17:K19)</f>
        <v>0</v>
      </c>
      <c r="L16" s="200"/>
    </row>
    <row r="17" spans="2:12" s="218" customFormat="1" ht="14.25" customHeight="1" outlineLevel="2">
      <c r="B17" s="219"/>
      <c r="C17" s="657"/>
      <c r="D17" s="661"/>
      <c r="E17" s="220"/>
      <c r="F17" s="221" t="s">
        <v>2121</v>
      </c>
      <c r="G17" s="222">
        <f>'Financial 1'!G17+'Financial 2'!G17+'Financial 3'!G17</f>
        <v>0</v>
      </c>
      <c r="H17" s="223">
        <f>'Financial 1'!H17+'Financial 2'!H17+'Financial 3'!H17</f>
        <v>0</v>
      </c>
      <c r="I17" s="223">
        <f>'Financial 1'!I17+'Financial 2'!I17+'Financial 3'!I17</f>
        <v>0</v>
      </c>
      <c r="J17" s="223">
        <f>'Financial 1'!J17+'Financial 2'!J17+'Financial 3'!J17</f>
        <v>0</v>
      </c>
      <c r="K17" s="224">
        <f>'Financial 1'!K17+'Financial 2'!K17+'Financial 3'!K17</f>
        <v>0</v>
      </c>
      <c r="L17" s="225"/>
    </row>
    <row r="18" spans="2:12" s="218" customFormat="1" ht="14.25" customHeight="1" outlineLevel="2">
      <c r="B18" s="219"/>
      <c r="C18" s="657"/>
      <c r="D18" s="661"/>
      <c r="F18" s="226" t="s">
        <v>2122</v>
      </c>
      <c r="G18" s="227" t="s">
        <v>2123</v>
      </c>
      <c r="H18" s="227">
        <f>'Financial 1'!H18+'Financial 2'!H18+'Financial 3'!H18</f>
        <v>0</v>
      </c>
      <c r="I18" s="227">
        <f>'Financial 1'!I18+'Financial 2'!I18+'Financial 3'!I18</f>
        <v>0</v>
      </c>
      <c r="J18" s="227">
        <f>'Financial 1'!J18+'Financial 2'!J18+'Financial 3'!J18</f>
        <v>0</v>
      </c>
      <c r="K18" s="228">
        <f>'Financial 1'!K18+'Financial 2'!K18+'Financial 3'!K18</f>
        <v>0</v>
      </c>
      <c r="L18" s="225"/>
    </row>
    <row r="19" spans="2:12" s="218" customFormat="1" ht="14.25" customHeight="1" outlineLevel="2">
      <c r="B19" s="219"/>
      <c r="C19" s="657"/>
      <c r="D19" s="661"/>
      <c r="F19" s="226" t="s">
        <v>2124</v>
      </c>
      <c r="G19" s="227">
        <f>'Financial 1'!G19+'Financial 2'!G19+'Financial 3'!G19</f>
        <v>0</v>
      </c>
      <c r="H19" s="227">
        <f>'Financial 1'!H19+'Financial 2'!H19+'Financial 3'!H19</f>
        <v>0</v>
      </c>
      <c r="I19" s="227">
        <f>'Financial 1'!I19+'Financial 2'!I19+'Financial 3'!I19</f>
        <v>0</v>
      </c>
      <c r="J19" s="227">
        <f>'Financial 1'!J19+'Financial 2'!J19+'Financial 3'!J19</f>
        <v>0</v>
      </c>
      <c r="K19" s="228">
        <f>'Financial 1'!K19+'Financial 2'!K19+'Financial 3'!K19</f>
        <v>0</v>
      </c>
      <c r="L19" s="225"/>
    </row>
    <row r="20" spans="2:12" s="218" customFormat="1" ht="14.25" customHeight="1" outlineLevel="1">
      <c r="B20" s="219"/>
      <c r="C20" s="657"/>
      <c r="E20" s="611" t="s">
        <v>2125</v>
      </c>
      <c r="F20" s="613"/>
      <c r="G20" s="227">
        <f>'Financial 1'!G20+'Financial 2'!G20+'Financial 3'!G20</f>
        <v>0</v>
      </c>
      <c r="H20" s="227">
        <f>'Financial 1'!H20+'Financial 2'!H20+'Financial 3'!H20</f>
        <v>0</v>
      </c>
      <c r="I20" s="227">
        <f>'Financial 1'!I20+'Financial 2'!I20+'Financial 3'!I20</f>
        <v>0</v>
      </c>
      <c r="J20" s="227">
        <f>'Financial 1'!J20+'Financial 2'!J20+'Financial 3'!J20</f>
        <v>0</v>
      </c>
      <c r="K20" s="228">
        <f>'Financial 1'!K20+'Financial 2'!K20+'Financial 3'!K20</f>
        <v>0</v>
      </c>
      <c r="L20" s="225"/>
    </row>
    <row r="21" spans="2:12" s="125" customFormat="1" ht="12.75">
      <c r="B21" s="214"/>
      <c r="C21" s="657"/>
      <c r="D21" s="611" t="s">
        <v>2126</v>
      </c>
      <c r="E21" s="612"/>
      <c r="F21" s="613"/>
      <c r="G21" s="227">
        <f>'Financial 1'!G21+'Financial 2'!G21+'Financial 3'!G21</f>
        <v>225170</v>
      </c>
      <c r="H21" s="227">
        <f>'Financial 1'!H21+'Financial 2'!H21+'Financial 3'!H21</f>
        <v>0</v>
      </c>
      <c r="I21" s="227">
        <f>'Financial 1'!I21+'Financial 2'!I21+'Financial 3'!I21</f>
        <v>0</v>
      </c>
      <c r="J21" s="227">
        <f>'Financial 1'!J21+'Financial 2'!J21+'Financial 3'!J21</f>
        <v>0</v>
      </c>
      <c r="K21" s="228">
        <f>'Financial 1'!K21+'Financial 2'!K21+'Financial 3'!K21</f>
        <v>0</v>
      </c>
      <c r="L21" s="200"/>
    </row>
    <row r="22" spans="2:12" s="125" customFormat="1" ht="12.75">
      <c r="B22" s="214"/>
      <c r="C22" s="658"/>
      <c r="D22" s="646" t="s">
        <v>2127</v>
      </c>
      <c r="E22" s="647"/>
      <c r="F22" s="648"/>
      <c r="G22" s="231">
        <f>'Financial 1'!G22+'Financial 2'!G22+'Financial 3'!G22</f>
        <v>0</v>
      </c>
      <c r="H22" s="231">
        <f>'Financial 1'!H22+'Financial 2'!H22+'Financial 3'!H22</f>
        <v>0</v>
      </c>
      <c r="I22" s="231">
        <f>'Financial 1'!I22+'Financial 2'!I22+'Financial 3'!I22</f>
        <v>0</v>
      </c>
      <c r="J22" s="231">
        <f>'Financial 1'!J22+'Financial 2'!J22+'Financial 3'!J22</f>
        <v>0</v>
      </c>
      <c r="K22" s="232">
        <f>'Financial 1'!K22+'Financial 2'!K22+'Financial 3'!K22</f>
        <v>0</v>
      </c>
      <c r="L22" s="200"/>
    </row>
    <row r="23" spans="2:12" ht="17.25" customHeight="1">
      <c r="B23" s="127"/>
      <c r="C23" s="609" t="s">
        <v>2128</v>
      </c>
      <c r="D23" s="610"/>
      <c r="E23" s="610"/>
      <c r="F23" s="610"/>
      <c r="G23" s="233">
        <f>SUM(G11+G21)-G22</f>
        <v>225170</v>
      </c>
      <c r="H23" s="233">
        <f>SUM(H11+H21)-H22</f>
        <v>1292538191</v>
      </c>
      <c r="I23" s="233">
        <f>SUM(I11+I21)-I22</f>
        <v>1293520776</v>
      </c>
      <c r="J23" s="233">
        <f>SUM(J11+J21)-J22</f>
        <v>0</v>
      </c>
      <c r="K23" s="234">
        <f>SUM(K11+K21)-K22</f>
        <v>0</v>
      </c>
      <c r="L23" s="128"/>
    </row>
    <row r="24" spans="2:12" ht="7.5" customHeight="1">
      <c r="B24" s="127"/>
      <c r="C24" s="671"/>
      <c r="D24" s="672"/>
      <c r="E24" s="672"/>
      <c r="F24" s="672"/>
      <c r="G24" s="672"/>
      <c r="H24" s="672"/>
      <c r="I24" s="672"/>
      <c r="J24" s="672"/>
      <c r="K24" s="673"/>
      <c r="L24" s="128"/>
    </row>
    <row r="25" spans="2:12" ht="17.25" customHeight="1">
      <c r="B25" s="127"/>
      <c r="C25" s="684" t="s">
        <v>2129</v>
      </c>
      <c r="D25" s="685"/>
      <c r="E25" s="685"/>
      <c r="F25" s="685"/>
      <c r="G25" s="218"/>
      <c r="H25" s="218"/>
      <c r="I25" s="218"/>
      <c r="J25" s="218"/>
      <c r="K25" s="225"/>
      <c r="L25" s="225"/>
    </row>
    <row r="26" spans="2:12" ht="17.25" customHeight="1">
      <c r="B26" s="127"/>
      <c r="C26" s="236"/>
      <c r="D26" s="611" t="s">
        <v>2130</v>
      </c>
      <c r="E26" s="612"/>
      <c r="F26" s="613"/>
      <c r="G26" s="229">
        <f>G27+G31+G34</f>
        <v>514707523</v>
      </c>
      <c r="H26" s="229">
        <f>H27+H31+H34</f>
        <v>531534988</v>
      </c>
      <c r="I26" s="229">
        <f>I27+I31+I34</f>
        <v>477608999</v>
      </c>
      <c r="J26" s="229">
        <f>J27+J31+J34</f>
        <v>0</v>
      </c>
      <c r="K26" s="230">
        <f>K27+K31+K34</f>
        <v>0</v>
      </c>
      <c r="L26" s="225"/>
    </row>
    <row r="27" spans="2:12" s="125" customFormat="1" ht="12.75" outlineLevel="1">
      <c r="B27" s="214"/>
      <c r="C27" s="657"/>
      <c r="D27" s="215"/>
      <c r="E27" s="718" t="s">
        <v>2131</v>
      </c>
      <c r="F27" s="719"/>
      <c r="G27" s="216">
        <f>G29+G28-G30</f>
        <v>524810415</v>
      </c>
      <c r="H27" s="216">
        <f>H29+H28-H30</f>
        <v>541676619</v>
      </c>
      <c r="I27" s="216">
        <f>I29+I28-I30</f>
        <v>558348209</v>
      </c>
      <c r="J27" s="216">
        <f>J29+J28-J30</f>
        <v>0</v>
      </c>
      <c r="K27" s="217">
        <f>K29+K28-K30</f>
        <v>0</v>
      </c>
      <c r="L27" s="200"/>
    </row>
    <row r="28" spans="2:12" s="218" customFormat="1" ht="14.25" customHeight="1" outlineLevel="2">
      <c r="B28" s="219"/>
      <c r="C28" s="657"/>
      <c r="D28" s="661"/>
      <c r="E28" s="220"/>
      <c r="F28" s="221" t="s">
        <v>2132</v>
      </c>
      <c r="G28" s="222">
        <f>'Financial 1'!G28+'Financial 2'!G28+'Financial 3'!G28</f>
        <v>0</v>
      </c>
      <c r="H28" s="223">
        <f>'Financial 1'!H28+'Financial 2'!H28+'Financial 3'!H28</f>
        <v>0</v>
      </c>
      <c r="I28" s="223">
        <f>'Financial 1'!I28+'Financial 2'!I28+'Financial 3'!I28</f>
        <v>0</v>
      </c>
      <c r="J28" s="223">
        <f>'Financial 1'!J28+'Financial 2'!J28+'Financial 3'!J28</f>
        <v>0</v>
      </c>
      <c r="K28" s="224">
        <f>'Financial 1'!K28+'Financial 2'!K28+'Financial 3'!K28</f>
        <v>0</v>
      </c>
      <c r="L28" s="225"/>
    </row>
    <row r="29" spans="2:12" s="218" customFormat="1" ht="17.25" customHeight="1" outlineLevel="2">
      <c r="B29" s="219"/>
      <c r="C29" s="657"/>
      <c r="D29" s="661"/>
      <c r="F29" s="226" t="s">
        <v>2133</v>
      </c>
      <c r="G29" s="238">
        <f>'Financial 1'!G29+'Financial 2'!G29+'Financial 3'!G29</f>
        <v>524810415</v>
      </c>
      <c r="H29" s="227">
        <f>'Financial 1'!H29+'Financial 2'!H29+'Financial 3'!H29</f>
        <v>541676619</v>
      </c>
      <c r="I29" s="227">
        <f>'Financial 1'!I29+'Financial 2'!I29+'Financial 3'!I29</f>
        <v>558348209</v>
      </c>
      <c r="J29" s="227">
        <f>'Financial 1'!J29+'Financial 2'!J29+'Financial 3'!J29</f>
        <v>0</v>
      </c>
      <c r="K29" s="228">
        <f>'Financial 1'!K29+'Financial 2'!K29+'Financial 3'!K29</f>
        <v>0</v>
      </c>
      <c r="L29" s="225"/>
    </row>
    <row r="30" spans="2:12" s="218" customFormat="1" ht="17.25" customHeight="1" outlineLevel="2">
      <c r="B30" s="219"/>
      <c r="C30" s="657"/>
      <c r="D30" s="661"/>
      <c r="F30" s="226" t="s">
        <v>2134</v>
      </c>
      <c r="G30" s="227">
        <f>'Financial 1'!G30+'Financial 2'!G30+'Financial 3'!G30</f>
        <v>0</v>
      </c>
      <c r="H30" s="227">
        <f>'Financial 1'!H30+'Financial 2'!H30+'Financial 3'!H30</f>
        <v>0</v>
      </c>
      <c r="I30" s="227">
        <f>'Financial 1'!I30+'Financial 2'!I30+'Financial 3'!I30</f>
        <v>0</v>
      </c>
      <c r="J30" s="227">
        <f>'Financial 1'!J30+'Financial 2'!J30+'Financial 3'!J30</f>
        <v>0</v>
      </c>
      <c r="K30" s="228">
        <f>'Financial 1'!K30+'Financial 2'!K30+'Financial 3'!K30</f>
        <v>0</v>
      </c>
      <c r="L30" s="225"/>
    </row>
    <row r="31" spans="2:12" s="125" customFormat="1" ht="17.25" customHeight="1" outlineLevel="1">
      <c r="B31" s="214"/>
      <c r="C31" s="657"/>
      <c r="E31" s="724" t="s">
        <v>2135</v>
      </c>
      <c r="F31" s="725"/>
      <c r="G31" s="229">
        <f>G32-G33</f>
        <v>-10102892</v>
      </c>
      <c r="H31" s="229">
        <f>H32-H33</f>
        <v>-10141631</v>
      </c>
      <c r="I31" s="229">
        <f>I32-I33</f>
        <v>-80739210</v>
      </c>
      <c r="J31" s="229">
        <f>J32-J33</f>
        <v>0</v>
      </c>
      <c r="K31" s="230">
        <f>K32-K33</f>
        <v>0</v>
      </c>
      <c r="L31" s="200"/>
    </row>
    <row r="32" spans="2:12" s="218" customFormat="1" ht="14.25" customHeight="1" outlineLevel="2">
      <c r="B32" s="219"/>
      <c r="C32" s="657"/>
      <c r="D32" s="661"/>
      <c r="E32" s="220"/>
      <c r="F32" s="221" t="s">
        <v>2136</v>
      </c>
      <c r="G32" s="222">
        <f>'Financial 1'!G32+'Financial 2'!G32+'Financial 3'!G32</f>
        <v>0</v>
      </c>
      <c r="H32" s="223">
        <f>'Financial 1'!H32+'Financial 2'!H32+'Financial 3'!H32</f>
        <v>0</v>
      </c>
      <c r="I32" s="223">
        <f>'Financial 1'!I32+'Financial 2'!I32+'Financial 3'!I32</f>
        <v>0</v>
      </c>
      <c r="J32" s="223">
        <f>'Financial 1'!J32+'Financial 2'!J32+'Financial 3'!J32</f>
        <v>0</v>
      </c>
      <c r="K32" s="224">
        <f>'Financial 1'!K32+'Financial 2'!K32+'Financial 3'!K32</f>
        <v>0</v>
      </c>
      <c r="L32" s="225"/>
    </row>
    <row r="33" spans="2:12" s="218" customFormat="1" ht="14.25" customHeight="1" outlineLevel="2">
      <c r="B33" s="219"/>
      <c r="C33" s="657"/>
      <c r="D33" s="661"/>
      <c r="F33" s="226" t="s">
        <v>2137</v>
      </c>
      <c r="G33" s="238">
        <f>'Financial 1'!G33+'Financial 2'!G33+'Financial 3'!G33</f>
        <v>10102892</v>
      </c>
      <c r="H33" s="227">
        <f>'Financial 1'!H33+'Financial 2'!H33+'Financial 3'!H33</f>
        <v>10141631</v>
      </c>
      <c r="I33" s="227">
        <f>'Financial 1'!I33+'Financial 2'!I33+'Financial 3'!I33</f>
        <v>80739210</v>
      </c>
      <c r="J33" s="227">
        <f>'Financial 1'!J33+'Financial 2'!J33+'Financial 3'!J33</f>
        <v>0</v>
      </c>
      <c r="K33" s="228">
        <f>'Financial 1'!K33+'Financial 2'!K33+'Financial 3'!K33</f>
        <v>0</v>
      </c>
      <c r="L33" s="225"/>
    </row>
    <row r="34" spans="2:12" s="125" customFormat="1" ht="12.75" outlineLevel="1">
      <c r="B34" s="214"/>
      <c r="C34" s="657"/>
      <c r="E34" s="724" t="s">
        <v>2138</v>
      </c>
      <c r="F34" s="725"/>
      <c r="G34" s="229">
        <f>G36+G35-G37</f>
        <v>0</v>
      </c>
      <c r="H34" s="229">
        <f>H36+H35-H37</f>
        <v>0</v>
      </c>
      <c r="I34" s="229">
        <f>I36+I35-I37</f>
        <v>0</v>
      </c>
      <c r="J34" s="229">
        <f>J36+J35-J37</f>
        <v>0</v>
      </c>
      <c r="K34" s="230">
        <f>K36+K35-K37</f>
        <v>0</v>
      </c>
      <c r="L34" s="200"/>
    </row>
    <row r="35" spans="2:12" s="218" customFormat="1" ht="14.25" customHeight="1" outlineLevel="1">
      <c r="B35" s="219"/>
      <c r="C35" s="657"/>
      <c r="D35" s="661"/>
      <c r="E35" s="220"/>
      <c r="F35" s="221" t="s">
        <v>2139</v>
      </c>
      <c r="G35" s="222">
        <f>'Financial 1'!G35+'Financial 2'!G35+'Financial 3'!G35</f>
        <v>0</v>
      </c>
      <c r="H35" s="223">
        <f>'Financial 1'!H35+'Financial 2'!H35+'Financial 3'!H35</f>
        <v>0</v>
      </c>
      <c r="I35" s="223">
        <f>'Financial 1'!I35+'Financial 2'!I35+'Financial 3'!I35</f>
        <v>0</v>
      </c>
      <c r="J35" s="223">
        <f>'Financial 1'!J35+'Financial 2'!J35+'Financial 3'!J35</f>
        <v>0</v>
      </c>
      <c r="K35" s="224">
        <f>'Financial 1'!K35+'Financial 2'!K35+'Financial 3'!K35</f>
        <v>0</v>
      </c>
      <c r="L35" s="225"/>
    </row>
    <row r="36" spans="2:12" s="218" customFormat="1" ht="14.25" customHeight="1" outlineLevel="1">
      <c r="B36" s="219"/>
      <c r="C36" s="657"/>
      <c r="D36" s="661"/>
      <c r="F36" s="226" t="s">
        <v>2140</v>
      </c>
      <c r="G36" s="238">
        <f>'Financial 1'!G36+'Financial 2'!G36+'Financial 3'!G36</f>
        <v>0</v>
      </c>
      <c r="H36" s="227">
        <f>'Financial 1'!H36+'Financial 2'!H36+'Financial 3'!H36</f>
        <v>0</v>
      </c>
      <c r="I36" s="227">
        <f>'Financial 1'!I36+'Financial 2'!I36+'Financial 3'!I36</f>
        <v>0</v>
      </c>
      <c r="J36" s="227">
        <f>'Financial 1'!J36+'Financial 2'!J36+'Financial 3'!J36</f>
        <v>0</v>
      </c>
      <c r="K36" s="228">
        <f>'Financial 1'!K36+'Financial 2'!K36+'Financial 3'!K36</f>
        <v>0</v>
      </c>
      <c r="L36" s="225"/>
    </row>
    <row r="37" spans="2:12" s="218" customFormat="1" ht="14.25" customHeight="1" outlineLevel="1">
      <c r="B37" s="219"/>
      <c r="C37" s="657"/>
      <c r="D37" s="661"/>
      <c r="F37" s="226" t="s">
        <v>2141</v>
      </c>
      <c r="G37" s="227">
        <f>'Financial 1'!G37+'Financial 2'!G37+'Financial 3'!G37</f>
        <v>0</v>
      </c>
      <c r="H37" s="227">
        <f>'Financial 1'!H37+'Financial 2'!H37+'Financial 3'!H37</f>
        <v>0</v>
      </c>
      <c r="I37" s="227">
        <f>'Financial 1'!I37+'Financial 2'!I37+'Financial 3'!I37</f>
        <v>0</v>
      </c>
      <c r="J37" s="227">
        <f>'Financial 1'!J37+'Financial 2'!J37+'Financial 3'!J37</f>
        <v>0</v>
      </c>
      <c r="K37" s="228">
        <f>'Financial 1'!K37+'Financial 2'!K37+'Financial 3'!K37</f>
        <v>0</v>
      </c>
      <c r="L37" s="225"/>
    </row>
    <row r="38" spans="2:12" s="218" customFormat="1" ht="14.25" customHeight="1">
      <c r="B38" s="219"/>
      <c r="C38" s="657"/>
      <c r="D38" s="611" t="s">
        <v>2142</v>
      </c>
      <c r="E38" s="612"/>
      <c r="F38" s="613"/>
      <c r="G38" s="227">
        <f>SUM(G39:G42)</f>
        <v>46088303</v>
      </c>
      <c r="H38" s="227">
        <f>SUM(H39:H42)</f>
        <v>71582598</v>
      </c>
      <c r="I38" s="227">
        <f>SUM(I39:I42)</f>
        <v>114762089</v>
      </c>
      <c r="J38" s="227">
        <f>SUM(J39:J42)</f>
        <v>0</v>
      </c>
      <c r="K38" s="228">
        <f>SUM(K39:K42)</f>
        <v>0</v>
      </c>
      <c r="L38" s="225"/>
    </row>
    <row r="39" spans="2:12" s="218" customFormat="1" ht="12" outlineLevel="1">
      <c r="B39" s="219"/>
      <c r="C39" s="657"/>
      <c r="D39" s="220"/>
      <c r="E39" s="616" t="s">
        <v>2143</v>
      </c>
      <c r="F39" s="617"/>
      <c r="G39" s="222">
        <f>'Financial 1'!G39+'Financial 2'!G39+'Financial 3'!G39</f>
        <v>0</v>
      </c>
      <c r="H39" s="223">
        <f>'Financial 1'!H39+'Financial 2'!H39+'Financial 3'!H39</f>
        <v>0</v>
      </c>
      <c r="I39" s="223">
        <f>'Financial 1'!I39+'Financial 2'!I39+'Financial 3'!I39</f>
        <v>0</v>
      </c>
      <c r="J39" s="223">
        <f>'Financial 1'!J39+'Financial 2'!J39+'Financial 3'!J39</f>
        <v>0</v>
      </c>
      <c r="K39" s="224">
        <f>'Financial 1'!K39+'Financial 2'!K39+'Financial 3'!K39</f>
        <v>0</v>
      </c>
      <c r="L39" s="225"/>
    </row>
    <row r="40" spans="2:12" s="218" customFormat="1" ht="12" outlineLevel="1">
      <c r="B40" s="219"/>
      <c r="C40" s="657"/>
      <c r="E40" s="626" t="s">
        <v>2144</v>
      </c>
      <c r="F40" s="627"/>
      <c r="G40" s="227">
        <f>'Financial 1'!G40+'Financial 2'!G40+'Financial 3'!G40</f>
        <v>38851198</v>
      </c>
      <c r="H40" s="227">
        <f>'Financial 1'!H40+'Financial 2'!H40+'Financial 3'!H40</f>
        <v>63088537</v>
      </c>
      <c r="I40" s="227">
        <f>'Financial 1'!I40+'Financial 2'!I40+'Financial 3'!I40</f>
        <v>108115269</v>
      </c>
      <c r="J40" s="227">
        <f>'Financial 1'!J40+'Financial 2'!J40+'Financial 3'!J40</f>
        <v>0</v>
      </c>
      <c r="K40" s="228">
        <f>'Financial 1'!K40+'Financial 2'!K40+'Financial 3'!K40</f>
        <v>0</v>
      </c>
      <c r="L40" s="225"/>
    </row>
    <row r="41" spans="2:12" s="218" customFormat="1" ht="12" outlineLevel="1">
      <c r="B41" s="219"/>
      <c r="C41" s="657"/>
      <c r="E41" s="626" t="s">
        <v>2145</v>
      </c>
      <c r="F41" s="627"/>
      <c r="G41" s="227">
        <f>'Financial 1'!G41+'Financial 2'!G41+'Financial 3'!G41</f>
        <v>7237105</v>
      </c>
      <c r="H41" s="227">
        <f>'Financial 1'!H41+'Financial 2'!H41+'Financial 3'!H41</f>
        <v>8494061</v>
      </c>
      <c r="I41" s="227">
        <f>'Financial 1'!I41+'Financial 2'!I41+'Financial 3'!I41</f>
        <v>6646820</v>
      </c>
      <c r="J41" s="227">
        <f>'Financial 1'!J41+'Financial 2'!J41+'Financial 3'!J41</f>
        <v>0</v>
      </c>
      <c r="K41" s="228">
        <f>'Financial 1'!K41+'Financial 2'!K41+'Financial 3'!K41</f>
        <v>0</v>
      </c>
      <c r="L41" s="225"/>
    </row>
    <row r="42" spans="2:12" s="218" customFormat="1" ht="12" outlineLevel="1">
      <c r="B42" s="219"/>
      <c r="C42" s="658"/>
      <c r="D42" s="241"/>
      <c r="E42" s="663" t="s">
        <v>2146</v>
      </c>
      <c r="F42" s="664"/>
      <c r="G42" s="231">
        <f>'Financial 1'!G42+'Financial 2'!G42+'Financial 3'!G42</f>
        <v>0</v>
      </c>
      <c r="H42" s="231">
        <f>'Financial 1'!H42+'Financial 2'!H42+'Financial 3'!H42</f>
        <v>0</v>
      </c>
      <c r="I42" s="231">
        <f>'Financial 1'!I42+'Financial 2'!I42+'Financial 3'!I42</f>
        <v>0</v>
      </c>
      <c r="J42" s="231">
        <f>'Financial 1'!J42+'Financial 2'!J42+'Financial 3'!J42</f>
        <v>0</v>
      </c>
      <c r="K42" s="232">
        <f>'Financial 1'!K42+'Financial 2'!K42+'Financial 3'!K42</f>
        <v>0</v>
      </c>
      <c r="L42" s="225"/>
    </row>
    <row r="43" spans="2:12" ht="17.25" customHeight="1">
      <c r="B43" s="127"/>
      <c r="C43" s="609" t="s">
        <v>2147</v>
      </c>
      <c r="D43" s="610"/>
      <c r="E43" s="610"/>
      <c r="F43" s="610" t="s">
        <v>2148</v>
      </c>
      <c r="G43" s="233">
        <f>G23-SUM(G26,G38)</f>
        <v>-560570656</v>
      </c>
      <c r="H43" s="233">
        <f>H23-SUM(H26,H38)</f>
        <v>689420605</v>
      </c>
      <c r="I43" s="233">
        <f>I23-SUM(I26,I38)</f>
        <v>701149688</v>
      </c>
      <c r="J43" s="233">
        <f>J23-SUM(J26,J38)</f>
        <v>0</v>
      </c>
      <c r="K43" s="234">
        <f>K23-SUM(K26,K38)</f>
        <v>0</v>
      </c>
      <c r="L43" s="128"/>
    </row>
    <row r="44" spans="2:12" ht="7.5" customHeight="1">
      <c r="B44" s="127"/>
      <c r="C44" s="671"/>
      <c r="D44" s="672"/>
      <c r="E44" s="672"/>
      <c r="F44" s="672"/>
      <c r="G44" s="672"/>
      <c r="H44" s="672"/>
      <c r="I44" s="672"/>
      <c r="J44" s="672"/>
      <c r="K44" s="673"/>
      <c r="L44" s="128"/>
    </row>
    <row r="45" spans="2:12" s="125" customFormat="1" ht="12.75">
      <c r="B45" s="214"/>
      <c r="C45" s="214"/>
      <c r="D45" s="714" t="s">
        <v>2149</v>
      </c>
      <c r="E45" s="715"/>
      <c r="F45" s="660"/>
      <c r="G45" s="244">
        <f>SUM(G46,G47,G48)</f>
        <v>474618448</v>
      </c>
      <c r="H45" s="244">
        <f>SUM(H46,H47,H48)</f>
        <v>508665441</v>
      </c>
      <c r="I45" s="244">
        <f>SUM(I46,I47,I48)</f>
        <v>482069778</v>
      </c>
      <c r="J45" s="244">
        <f>SUM(J46,J47,J48)</f>
        <v>0</v>
      </c>
      <c r="K45" s="245">
        <f>SUM(K46,K47,K48)</f>
        <v>0</v>
      </c>
      <c r="L45" s="200"/>
    </row>
    <row r="46" spans="2:12" s="218" customFormat="1" ht="12" outlineLevel="1">
      <c r="B46" s="219"/>
      <c r="C46" s="618"/>
      <c r="D46" s="246"/>
      <c r="E46" s="701" t="s">
        <v>2150</v>
      </c>
      <c r="F46" s="702"/>
      <c r="G46" s="222">
        <f>'Financial 1'!G46+'Financial 2'!G46+'Financial 3'!G46</f>
        <v>99129945</v>
      </c>
      <c r="H46" s="223">
        <f>'Financial 1'!H46+'Financial 2'!H46+'Financial 3'!H46</f>
        <v>101902642</v>
      </c>
      <c r="I46" s="223">
        <f>'Financial 1'!I46+'Financial 2'!I46+'Financial 3'!I46</f>
        <v>117039637</v>
      </c>
      <c r="J46" s="223">
        <f>'Financial 1'!J46+'Financial 2'!J46+'Financial 3'!J46</f>
        <v>0</v>
      </c>
      <c r="K46" s="224">
        <f>'Financial 1'!K46+'Financial 2'!K46+'Financial 3'!K46</f>
        <v>0</v>
      </c>
      <c r="L46" s="225"/>
    </row>
    <row r="47" spans="2:12" s="218" customFormat="1" ht="12" outlineLevel="1">
      <c r="B47" s="219"/>
      <c r="C47" s="618"/>
      <c r="D47" s="249"/>
      <c r="E47" s="626" t="s">
        <v>2151</v>
      </c>
      <c r="F47" s="627"/>
      <c r="G47" s="227">
        <f>'Financial 1'!G47+'Financial 2'!G47+'Financial 3'!G47</f>
        <v>10000</v>
      </c>
      <c r="H47" s="227">
        <f>'Financial 1'!H47+'Financial 2'!H47+'Financial 3'!H47</f>
        <v>0</v>
      </c>
      <c r="I47" s="227">
        <f>'Financial 1'!I47+'Financial 2'!I47+'Financial 3'!I47</f>
        <v>0</v>
      </c>
      <c r="J47" s="227">
        <f>'Financial 1'!J47+'Financial 2'!J47+'Financial 3'!J47</f>
        <v>0</v>
      </c>
      <c r="K47" s="228">
        <f>'Financial 1'!K47+'Financial 2'!K47+'Financial 3'!K47</f>
        <v>0</v>
      </c>
      <c r="L47" s="225"/>
    </row>
    <row r="48" spans="2:12" s="218" customFormat="1" ht="12" outlineLevel="1">
      <c r="B48" s="219"/>
      <c r="C48" s="618"/>
      <c r="D48" s="249"/>
      <c r="E48" s="621" t="s">
        <v>2152</v>
      </c>
      <c r="F48" s="622"/>
      <c r="G48" s="227">
        <f>'Financial 1'!G48+'Financial 2'!G48+'Financial 3'!G48</f>
        <v>375478503</v>
      </c>
      <c r="H48" s="227">
        <f>'Financial 1'!H48+'Financial 2'!H48+'Financial 3'!H48</f>
        <v>406762799</v>
      </c>
      <c r="I48" s="227">
        <f>'Financial 1'!I48+'Financial 2'!I48+'Financial 3'!I48</f>
        <v>365030141</v>
      </c>
      <c r="J48" s="227">
        <f>'Financial 1'!J48+'Financial 2'!J48+'Financial 3'!J48</f>
        <v>0</v>
      </c>
      <c r="K48" s="228">
        <f>'Financial 1'!K48+'Financial 2'!K48+'Financial 3'!K48</f>
        <v>0</v>
      </c>
      <c r="L48" s="225"/>
    </row>
    <row r="49" spans="1:12" s="125" customFormat="1" ht="12.75">
      <c r="B49" s="214"/>
      <c r="C49" s="618"/>
      <c r="D49" s="723" t="s">
        <v>2153</v>
      </c>
      <c r="E49" s="612"/>
      <c r="F49" s="613"/>
      <c r="G49" s="229">
        <f>SUM(G50:G51)</f>
        <v>10524000</v>
      </c>
      <c r="H49" s="229">
        <f>SUM(H50:H51)</f>
        <v>10911400</v>
      </c>
      <c r="I49" s="229">
        <f>SUM(I50:I51)</f>
        <v>15420000</v>
      </c>
      <c r="J49" s="229">
        <f>SUM(J50:J51)</f>
        <v>0</v>
      </c>
      <c r="K49" s="230">
        <f>SUM(K50:K51)</f>
        <v>0</v>
      </c>
      <c r="L49" s="200"/>
    </row>
    <row r="50" spans="1:12" s="218" customFormat="1" ht="14.25" customHeight="1" outlineLevel="1">
      <c r="B50" s="219"/>
      <c r="C50" s="618"/>
      <c r="D50" s="246"/>
      <c r="E50" s="616" t="s">
        <v>2154</v>
      </c>
      <c r="F50" s="617"/>
      <c r="G50" s="222">
        <f>'Financial 1'!G50+'Financial 2'!G50+'Financial 3'!G50</f>
        <v>10524000</v>
      </c>
      <c r="H50" s="223">
        <f>'Financial 1'!H50+'Financial 2'!H50+'Financial 3'!H50</f>
        <v>10911400</v>
      </c>
      <c r="I50" s="223">
        <f>'Financial 1'!I50+'Financial 2'!I50+'Financial 3'!I50</f>
        <v>15420000</v>
      </c>
      <c r="J50" s="223">
        <f>'Financial 1'!J50+'Financial 2'!J50+'Financial 3'!J50</f>
        <v>0</v>
      </c>
      <c r="K50" s="224">
        <f>'Financial 1'!K50+'Financial 2'!K50+'Financial 3'!K50</f>
        <v>0</v>
      </c>
      <c r="L50" s="225"/>
    </row>
    <row r="51" spans="1:12" s="218" customFormat="1" ht="14.25" customHeight="1" outlineLevel="1">
      <c r="B51" s="219"/>
      <c r="C51" s="618"/>
      <c r="D51" s="219"/>
      <c r="E51" s="626" t="s">
        <v>2155</v>
      </c>
      <c r="F51" s="627"/>
      <c r="G51" s="227">
        <f>'Financial 1'!G51+'Financial 2'!G51+'Financial 3'!G51</f>
        <v>0</v>
      </c>
      <c r="H51" s="227">
        <f>'Financial 1'!H51+'Financial 2'!H51+'Financial 3'!H51</f>
        <v>0</v>
      </c>
      <c r="I51" s="227">
        <f>'Financial 1'!I51+'Financial 2'!I51+'Financial 3'!I51</f>
        <v>0</v>
      </c>
      <c r="J51" s="227">
        <f>'Financial 1'!J51+'Financial 2'!J51+'Financial 3'!J51</f>
        <v>0</v>
      </c>
      <c r="K51" s="228">
        <f>'Financial 1'!K51+'Financial 2'!K51+'Financial 3'!K51</f>
        <v>0</v>
      </c>
      <c r="L51" s="225"/>
    </row>
    <row r="52" spans="1:12" s="125" customFormat="1" ht="12.75">
      <c r="A52" s="218"/>
      <c r="B52" s="214"/>
      <c r="C52" s="618"/>
      <c r="D52" s="723" t="s">
        <v>2156</v>
      </c>
      <c r="E52" s="612"/>
      <c r="F52" s="613"/>
      <c r="G52" s="229">
        <f>SUM(G53:G54)</f>
        <v>4480245</v>
      </c>
      <c r="H52" s="229">
        <f>SUM(H53:H54)</f>
        <v>5910579</v>
      </c>
      <c r="I52" s="229">
        <f>SUM(I53:I54)</f>
        <v>6956370</v>
      </c>
      <c r="J52" s="229">
        <f>SUM(J53:J54)</f>
        <v>0</v>
      </c>
      <c r="K52" s="230">
        <f>SUM(K53:K54)</f>
        <v>0</v>
      </c>
      <c r="L52" s="225"/>
    </row>
    <row r="53" spans="1:12" s="218" customFormat="1" ht="14.25" customHeight="1" outlineLevel="1">
      <c r="B53" s="219"/>
      <c r="C53" s="618"/>
      <c r="D53" s="246"/>
      <c r="E53" s="616" t="s">
        <v>2157</v>
      </c>
      <c r="F53" s="617"/>
      <c r="G53" s="253">
        <f>'Financial 1'!G53+'Financial 2'!G53+'Financial 3'!G53</f>
        <v>4480245</v>
      </c>
      <c r="H53" s="223">
        <f>'Financial 1'!H53+'Financial 2'!H53+'Financial 3'!H53</f>
        <v>5910579</v>
      </c>
      <c r="I53" s="223">
        <f>'Financial 1'!I53+'Financial 2'!I53+'Financial 3'!I53</f>
        <v>6956370</v>
      </c>
      <c r="J53" s="223">
        <f>'Financial 1'!J53+'Financial 2'!J53+'Financial 3'!J53</f>
        <v>0</v>
      </c>
      <c r="K53" s="223">
        <f>'Financial 1'!K53+'Financial 2'!K53+'Financial 3'!K53</f>
        <v>0</v>
      </c>
      <c r="L53" s="225"/>
    </row>
    <row r="54" spans="1:12" s="218" customFormat="1" ht="14.25" customHeight="1" outlineLevel="1">
      <c r="B54" s="219"/>
      <c r="C54" s="686"/>
      <c r="D54" s="255"/>
      <c r="E54" s="663" t="s">
        <v>2158</v>
      </c>
      <c r="F54" s="664"/>
      <c r="G54" s="231">
        <f>'Financial 1'!G54+'Financial 2'!G54+'Financial 3'!G54</f>
        <v>0</v>
      </c>
      <c r="H54" s="231">
        <f>'Financial 1'!H54+'Financial 2'!H54+'Financial 3'!H54</f>
        <v>0</v>
      </c>
      <c r="I54" s="231">
        <f>'Financial 1'!I54+'Financial 2'!I54+'Financial 3'!I54</f>
        <v>0</v>
      </c>
      <c r="J54" s="231">
        <f>'Financial 1'!J54+'Financial 2'!J54+'Financial 3'!J54</f>
        <v>0</v>
      </c>
      <c r="K54" s="232">
        <f>'Financial 1'!K54+'Financial 2'!K54+'Financial 3'!K54</f>
        <v>0</v>
      </c>
      <c r="L54" s="225"/>
    </row>
    <row r="55" spans="1:12" ht="17.25" customHeight="1">
      <c r="A55" s="218"/>
      <c r="B55" s="127"/>
      <c r="C55" s="682" t="s">
        <v>2159</v>
      </c>
      <c r="D55" s="683"/>
      <c r="E55" s="683"/>
      <c r="F55" s="683"/>
      <c r="G55" s="256">
        <f>G43-SUM(G45,G49,G52)</f>
        <v>-1050193349</v>
      </c>
      <c r="H55" s="256">
        <f>H43-SUM(H45,H49,H52)</f>
        <v>163933185</v>
      </c>
      <c r="I55" s="256">
        <f>I43-SUM(I45,I49,I52)</f>
        <v>196703540</v>
      </c>
      <c r="J55" s="256">
        <f>J43-SUM(J45,J49,J52)</f>
        <v>0</v>
      </c>
      <c r="K55" s="256">
        <f>K43-SUM(K45,K49,K52)</f>
        <v>0</v>
      </c>
      <c r="L55" s="128"/>
    </row>
    <row r="56" spans="1:12" ht="7.5" customHeight="1">
      <c r="B56" s="127"/>
      <c r="C56" s="671"/>
      <c r="D56" s="672"/>
      <c r="E56" s="672"/>
      <c r="F56" s="672"/>
      <c r="G56" s="672"/>
      <c r="H56" s="672"/>
      <c r="I56" s="672"/>
      <c r="J56" s="672"/>
      <c r="K56" s="673"/>
      <c r="L56" s="128"/>
    </row>
    <row r="57" spans="1:12" s="125" customFormat="1" ht="14.25">
      <c r="A57" s="124"/>
      <c r="B57" s="214"/>
      <c r="C57" s="618"/>
      <c r="D57" s="611" t="s">
        <v>2160</v>
      </c>
      <c r="E57" s="612"/>
      <c r="F57" s="613"/>
      <c r="G57" s="227">
        <f>'Financial 1'!G57+'Financial 2'!G57+'Financial 3'!G57</f>
        <v>16107667</v>
      </c>
      <c r="H57" s="227">
        <f>'Financial 1'!H57+'Financial 2'!H57+'Financial 3'!H57</f>
        <v>19976454</v>
      </c>
      <c r="I57" s="227">
        <f>'Financial 1'!I57+'Financial 2'!I57+'Financial 3'!I57</f>
        <v>38913031</v>
      </c>
      <c r="J57" s="227">
        <f>'Financial 1'!J57+'Financial 2'!J57+'Financial 3'!J57</f>
        <v>0</v>
      </c>
      <c r="K57" s="228">
        <f>'Financial 1'!K57+'Financial 2'!K57+'Financial 3'!K57</f>
        <v>0</v>
      </c>
      <c r="L57" s="200"/>
    </row>
    <row r="58" spans="1:12" s="125" customFormat="1" ht="12.75">
      <c r="B58" s="214"/>
      <c r="C58" s="618"/>
      <c r="D58" s="611" t="s">
        <v>2161</v>
      </c>
      <c r="E58" s="612"/>
      <c r="F58" s="613"/>
      <c r="G58" s="212">
        <f>SUM(G60:G60)</f>
        <v>0</v>
      </c>
      <c r="H58" s="212">
        <f>SUM(H59:H60)</f>
        <v>0</v>
      </c>
      <c r="I58" s="212">
        <f>SUM(I59:I60)</f>
        <v>0</v>
      </c>
      <c r="J58" s="212">
        <f>SUM(J59:J60)</f>
        <v>0</v>
      </c>
      <c r="K58" s="213">
        <f>SUM(K60:K60)</f>
        <v>0</v>
      </c>
      <c r="L58" s="200"/>
    </row>
    <row r="59" spans="1:12" s="218" customFormat="1" ht="12" outlineLevel="1">
      <c r="B59" s="219"/>
      <c r="C59" s="618"/>
      <c r="D59" s="220"/>
      <c r="E59" s="616" t="s">
        <v>2162</v>
      </c>
      <c r="F59" s="617"/>
      <c r="G59" s="222">
        <f>'Financial 1'!G59+'Financial 2'!G59+'Financial 3'!G59</f>
        <v>0</v>
      </c>
      <c r="H59" s="222">
        <f>'Financial 1'!H59+'Financial 2'!H59+'Financial 3'!H59</f>
        <v>0</v>
      </c>
      <c r="I59" s="222">
        <f>'Financial 1'!I59+'Financial 2'!I59+'Financial 3'!I59</f>
        <v>0</v>
      </c>
      <c r="J59" s="222">
        <f>'Financial 1'!J59+'Financial 2'!J59+'Financial 3'!J59</f>
        <v>0</v>
      </c>
      <c r="K59" s="257">
        <f>'Financial 1'!K59+'Financial 2'!K59+'Financial 3'!K59</f>
        <v>0</v>
      </c>
      <c r="L59" s="225"/>
    </row>
    <row r="60" spans="1:12" s="218" customFormat="1" ht="12" outlineLevel="1">
      <c r="B60" s="219"/>
      <c r="C60" s="618"/>
      <c r="E60" s="626" t="s">
        <v>2163</v>
      </c>
      <c r="F60" s="627"/>
      <c r="G60" s="227">
        <f>'Financial 1'!G60+'Financial 2'!G60+'Financial 3'!G60</f>
        <v>0</v>
      </c>
      <c r="H60" s="227">
        <f>'Financial 1'!H60+'Financial 2'!H60+'Financial 3'!H60</f>
        <v>0</v>
      </c>
      <c r="I60" s="227">
        <f>'Financial 1'!I60+'Financial 2'!I60+'Financial 3'!I60</f>
        <v>0</v>
      </c>
      <c r="J60" s="227">
        <f>'Financial 1'!J60+'Financial 2'!J60+'Financial 3'!J60</f>
        <v>0</v>
      </c>
      <c r="K60" s="228">
        <f>'Financial 1'!K60+'Financial 2'!K60+'Financial 3'!K60</f>
        <v>0</v>
      </c>
      <c r="L60" s="225"/>
    </row>
    <row r="61" spans="1:12" s="125" customFormat="1" ht="12.75">
      <c r="B61" s="214"/>
      <c r="C61" s="618"/>
      <c r="D61" s="611" t="s">
        <v>2164</v>
      </c>
      <c r="E61" s="612"/>
      <c r="F61" s="613"/>
      <c r="G61" s="212">
        <f>SUM(G62:G63)</f>
        <v>0</v>
      </c>
      <c r="H61" s="212">
        <f>SUM(H62:H63)</f>
        <v>0</v>
      </c>
      <c r="I61" s="212">
        <f>SUM(I62:I63)</f>
        <v>0</v>
      </c>
      <c r="J61" s="212">
        <f>SUM(J62:J63)</f>
        <v>0</v>
      </c>
      <c r="K61" s="213">
        <f>SUM(K62:K63)</f>
        <v>0</v>
      </c>
      <c r="L61" s="200"/>
    </row>
    <row r="62" spans="1:12" s="218" customFormat="1" ht="12" outlineLevel="1">
      <c r="B62" s="219"/>
      <c r="C62" s="618"/>
      <c r="D62" s="239"/>
      <c r="E62" s="701" t="s">
        <v>2165</v>
      </c>
      <c r="F62" s="702"/>
      <c r="G62" s="222">
        <f>'Financial 1'!G62+'Financial 2'!G62+'Financial 3'!G62</f>
        <v>0</v>
      </c>
      <c r="H62" s="223">
        <f>'Financial 1'!H62+'Financial 2'!H62+'Financial 3'!H62</f>
        <v>0</v>
      </c>
      <c r="I62" s="223">
        <f>'Financial 1'!I62+'Financial 2'!I62+'Financial 3'!I62</f>
        <v>0</v>
      </c>
      <c r="J62" s="223">
        <f>'Financial 1'!J62+'Financial 2'!J62+'Financial 3'!J62</f>
        <v>0</v>
      </c>
      <c r="K62" s="224">
        <f>'Financial 1'!K62+'Financial 2'!K62+'Financial 3'!K62</f>
        <v>0</v>
      </c>
      <c r="L62" s="225"/>
    </row>
    <row r="63" spans="1:12" s="218" customFormat="1" ht="12" outlineLevel="1">
      <c r="B63" s="219"/>
      <c r="C63" s="618"/>
      <c r="D63" s="240"/>
      <c r="E63" s="626" t="s">
        <v>2166</v>
      </c>
      <c r="F63" s="627"/>
      <c r="G63" s="227">
        <f>'Financial 1'!G63+'Financial 2'!G63+'Financial 3'!G63</f>
        <v>0</v>
      </c>
      <c r="H63" s="227">
        <f>'Financial 1'!H63+'Financial 2'!H63+'Financial 3'!H63</f>
        <v>0</v>
      </c>
      <c r="I63" s="227">
        <f>'Financial 1'!I63+'Financial 2'!I63+'Financial 3'!I63</f>
        <v>0</v>
      </c>
      <c r="J63" s="227">
        <f>'Financial 1'!J63+'Financial 2'!J63+'Financial 3'!J63</f>
        <v>0</v>
      </c>
      <c r="K63" s="228">
        <f>'Financial 1'!K63+'Financial 2'!K63+'Financial 3'!K63</f>
        <v>0</v>
      </c>
      <c r="L63" s="225"/>
    </row>
    <row r="64" spans="1:12" s="125" customFormat="1" ht="12.75">
      <c r="B64" s="214"/>
      <c r="C64" s="686"/>
      <c r="D64" s="646" t="s">
        <v>2167</v>
      </c>
      <c r="E64" s="647"/>
      <c r="F64" s="648"/>
      <c r="G64" s="231">
        <f>'Financial 1'!G64+'Financial 2'!G64+'Financial 3'!G64</f>
        <v>0</v>
      </c>
      <c r="H64" s="231">
        <f>'Financial 1'!H64+'Financial 2'!H64+'Financial 3'!H64</f>
        <v>0</v>
      </c>
      <c r="I64" s="231">
        <f>'Financial 1'!I64+'Financial 2'!I64+'Financial 3'!I64</f>
        <v>0</v>
      </c>
      <c r="J64" s="231">
        <f>'Financial 1'!J64+'Financial 2'!J64+'Financial 3'!J64</f>
        <v>0</v>
      </c>
      <c r="K64" s="232">
        <f>'Financial 1'!K64+'Financial 2'!K64+'Financial 3'!K64</f>
        <v>0</v>
      </c>
      <c r="L64" s="200"/>
    </row>
    <row r="65" spans="1:12" ht="17.25" customHeight="1">
      <c r="A65" s="125"/>
      <c r="B65" s="127"/>
      <c r="C65" s="609" t="s">
        <v>2168</v>
      </c>
      <c r="D65" s="610"/>
      <c r="E65" s="610"/>
      <c r="F65" s="610"/>
      <c r="G65" s="233">
        <f>G55-SUM(G57,G58,G61,G64)</f>
        <v>-1066301016</v>
      </c>
      <c r="H65" s="233">
        <f>H55-SUM(H57,H58,H61,H64)</f>
        <v>143956731</v>
      </c>
      <c r="I65" s="233">
        <f>I55-SUM(I57,I58,I61,I64)</f>
        <v>157790509</v>
      </c>
      <c r="J65" s="233">
        <f>J55-SUM(J57,J58,J61,J64)</f>
        <v>0</v>
      </c>
      <c r="K65" s="233">
        <f>K55-SUM(K57,K58,K61,K64)</f>
        <v>0</v>
      </c>
      <c r="L65" s="128"/>
    </row>
    <row r="66" spans="1:12" ht="7.5" customHeight="1">
      <c r="B66" s="127"/>
      <c r="C66" s="671"/>
      <c r="D66" s="672"/>
      <c r="E66" s="672"/>
      <c r="F66" s="672"/>
      <c r="G66" s="672"/>
      <c r="H66" s="672"/>
      <c r="I66" s="672"/>
      <c r="J66" s="672"/>
      <c r="K66" s="673"/>
      <c r="L66" s="128"/>
    </row>
    <row r="67" spans="1:12" s="125" customFormat="1" ht="14.25">
      <c r="A67" s="124"/>
      <c r="B67" s="214"/>
      <c r="C67" s="618"/>
      <c r="D67" s="611" t="s">
        <v>2169</v>
      </c>
      <c r="E67" s="612"/>
      <c r="F67" s="613"/>
      <c r="G67" s="258">
        <f>SUM(G68:G72)</f>
        <v>22003898</v>
      </c>
      <c r="H67" s="229">
        <f>SUM(H68:H72)</f>
        <v>22321151</v>
      </c>
      <c r="I67" s="229">
        <f>SUM(I68:I72)</f>
        <v>25669905</v>
      </c>
      <c r="J67" s="229">
        <f>SUM(J68:J72)</f>
        <v>0</v>
      </c>
      <c r="K67" s="230">
        <f>SUM(K68:K72)</f>
        <v>0</v>
      </c>
      <c r="L67" s="200"/>
    </row>
    <row r="68" spans="1:12" s="218" customFormat="1" ht="14.25" customHeight="1" outlineLevel="1">
      <c r="A68" s="125"/>
      <c r="B68" s="219"/>
      <c r="C68" s="618"/>
      <c r="D68" s="699"/>
      <c r="E68" s="616" t="s">
        <v>2170</v>
      </c>
      <c r="F68" s="617"/>
      <c r="G68" s="222">
        <f>'Financial 1'!G68+'Financial 2'!G68+'Financial 3'!G68</f>
        <v>22003898</v>
      </c>
      <c r="H68" s="223">
        <f>'Financial 1'!H68+'Financial 2'!H68+'Financial 3'!H68</f>
        <v>22321151</v>
      </c>
      <c r="I68" s="223">
        <f>'Financial 1'!I68+'Financial 2'!I68+'Financial 3'!I68</f>
        <v>25669905</v>
      </c>
      <c r="J68" s="223">
        <f>'Financial 1'!J68+'Financial 2'!J68+'Financial 3'!J68</f>
        <v>0</v>
      </c>
      <c r="K68" s="224">
        <f>'Financial 1'!K68+'Financial 2'!K68+'Financial 3'!K68</f>
        <v>0</v>
      </c>
      <c r="L68" s="225"/>
    </row>
    <row r="69" spans="1:12" s="218" customFormat="1" ht="14.25" customHeight="1" outlineLevel="1">
      <c r="B69" s="219"/>
      <c r="C69" s="618"/>
      <c r="D69" s="680"/>
      <c r="E69" s="626" t="s">
        <v>2171</v>
      </c>
      <c r="F69" s="627"/>
      <c r="G69" s="227">
        <f>'Financial 1'!G69+'Financial 2'!G69+'Financial 3'!G69</f>
        <v>0</v>
      </c>
      <c r="H69" s="227">
        <f>'Financial 1'!H69+'Financial 2'!H69+'Financial 3'!H69</f>
        <v>0</v>
      </c>
      <c r="I69" s="227">
        <f>'Financial 1'!I69+'Financial 2'!I69+'Financial 3'!I69</f>
        <v>0</v>
      </c>
      <c r="J69" s="227">
        <f>'Financial 1'!J69+'Financial 2'!J69+'Financial 3'!J69</f>
        <v>0</v>
      </c>
      <c r="K69" s="228">
        <f>'Financial 1'!K69+'Financial 2'!K69+'Financial 3'!K69</f>
        <v>0</v>
      </c>
      <c r="L69" s="225"/>
    </row>
    <row r="70" spans="1:12" s="218" customFormat="1" ht="14.25" customHeight="1" outlineLevel="1">
      <c r="B70" s="219"/>
      <c r="C70" s="618"/>
      <c r="D70" s="680"/>
      <c r="E70" s="626" t="s">
        <v>2172</v>
      </c>
      <c r="F70" s="627"/>
      <c r="G70" s="227">
        <f>'Financial 1'!G70+'Financial 2'!G70+'Financial 3'!G70</f>
        <v>0</v>
      </c>
      <c r="H70" s="227">
        <f>'Financial 1'!H70+'Financial 2'!H70+'Financial 3'!H70</f>
        <v>0</v>
      </c>
      <c r="I70" s="227">
        <f>'Financial 1'!I70+'Financial 2'!I70+'Financial 3'!I70</f>
        <v>0</v>
      </c>
      <c r="J70" s="227">
        <f>'Financial 1'!J70+'Financial 2'!J70+'Financial 3'!J70</f>
        <v>0</v>
      </c>
      <c r="K70" s="228">
        <f>'Financial 1'!K70+'Financial 2'!K70+'Financial 3'!K70</f>
        <v>0</v>
      </c>
      <c r="L70" s="225"/>
    </row>
    <row r="71" spans="1:12" s="218" customFormat="1" ht="14.25" customHeight="1" outlineLevel="1">
      <c r="B71" s="219"/>
      <c r="C71" s="618"/>
      <c r="D71" s="680"/>
      <c r="E71" s="626" t="s">
        <v>2173</v>
      </c>
      <c r="F71" s="627"/>
      <c r="G71" s="227">
        <f>'Financial 1'!G71+'Financial 2'!G71+'Financial 3'!G71</f>
        <v>0</v>
      </c>
      <c r="H71" s="227">
        <f>'Financial 1'!H71+'Financial 2'!H71+'Financial 3'!H71</f>
        <v>0</v>
      </c>
      <c r="I71" s="227">
        <f>'Financial 1'!I71+'Financial 2'!I71+'Financial 3'!I71</f>
        <v>0</v>
      </c>
      <c r="J71" s="227">
        <f>'Financial 1'!J71+'Financial 2'!J71+'Financial 3'!J71</f>
        <v>0</v>
      </c>
      <c r="K71" s="228">
        <f>'Financial 1'!K71+'Financial 2'!K71+'Financial 3'!K71</f>
        <v>0</v>
      </c>
      <c r="L71" s="225"/>
    </row>
    <row r="72" spans="1:12" s="218" customFormat="1" ht="14.25" customHeight="1" outlineLevel="1">
      <c r="B72" s="219"/>
      <c r="C72" s="618"/>
      <c r="E72" s="626" t="s">
        <v>2174</v>
      </c>
      <c r="F72" s="627"/>
      <c r="G72" s="227">
        <f>'Financial 1'!G72+'Financial 2'!G72+'Financial 3'!G72</f>
        <v>0</v>
      </c>
      <c r="H72" s="227">
        <f>'Financial 1'!H72+'Financial 2'!H72+'Financial 3'!H72</f>
        <v>0</v>
      </c>
      <c r="I72" s="227">
        <f>'Financial 1'!I72+'Financial 2'!I72+'Financial 3'!I72</f>
        <v>0</v>
      </c>
      <c r="J72" s="227">
        <f>'Financial 1'!J72+'Financial 2'!J72+'Financial 3'!J72</f>
        <v>0</v>
      </c>
      <c r="K72" s="228">
        <f>'Financial 1'!K72+'Financial 2'!K72+'Financial 3'!K72</f>
        <v>0</v>
      </c>
      <c r="L72" s="225"/>
    </row>
    <row r="73" spans="1:12" s="125" customFormat="1" ht="12.75">
      <c r="A73" s="218"/>
      <c r="B73" s="214"/>
      <c r="C73" s="618"/>
      <c r="D73" s="611" t="s">
        <v>2175</v>
      </c>
      <c r="E73" s="612"/>
      <c r="F73" s="613"/>
      <c r="G73" s="229">
        <f>SUM(G74:G80)</f>
        <v>3466894</v>
      </c>
      <c r="H73" s="229">
        <f>SUM(H74:H80)</f>
        <v>5461060</v>
      </c>
      <c r="I73" s="229">
        <f>SUM(I74:I80)</f>
        <v>6002307</v>
      </c>
      <c r="J73" s="229">
        <f>SUM(J74:J80)</f>
        <v>0</v>
      </c>
      <c r="K73" s="230">
        <f>SUM(K74:K80)</f>
        <v>0</v>
      </c>
      <c r="L73" s="200"/>
    </row>
    <row r="74" spans="1:12" s="218" customFormat="1" ht="14.25" customHeight="1" outlineLevel="1">
      <c r="A74" s="125"/>
      <c r="B74" s="219"/>
      <c r="C74" s="618"/>
      <c r="D74" s="699"/>
      <c r="E74" s="701" t="s">
        <v>2176</v>
      </c>
      <c r="F74" s="702"/>
      <c r="G74" s="222">
        <f>'Financial 1'!G74+'Financial 2'!G74+'Financial 3'!G74</f>
        <v>3466654</v>
      </c>
      <c r="H74" s="223">
        <f>'Financial 1'!H74+'Financial 2'!H74+'Financial 3'!H74</f>
        <v>5376308</v>
      </c>
      <c r="I74" s="223">
        <f>'Financial 1'!I74+'Financial 2'!I74+'Financial 3'!I74</f>
        <v>6002307</v>
      </c>
      <c r="J74" s="223">
        <f>'Financial 1'!J74+'Financial 2'!J74+'Financial 3'!J74</f>
        <v>0</v>
      </c>
      <c r="K74" s="224">
        <f>'Financial 1'!K74+'Financial 2'!K74+'Financial 3'!K74</f>
        <v>0</v>
      </c>
      <c r="L74" s="225"/>
    </row>
    <row r="75" spans="1:12" s="218" customFormat="1" ht="14.25" customHeight="1" outlineLevel="1">
      <c r="B75" s="219"/>
      <c r="C75" s="618"/>
      <c r="D75" s="680"/>
      <c r="E75" s="621" t="s">
        <v>2177</v>
      </c>
      <c r="F75" s="622"/>
      <c r="G75" s="227">
        <f>'Financial 1'!G75+'Financial 2'!G75+'Financial 3'!G75</f>
        <v>0</v>
      </c>
      <c r="H75" s="227">
        <f>'Financial 1'!H75+'Financial 2'!H75+'Financial 3'!H75</f>
        <v>0</v>
      </c>
      <c r="I75" s="227">
        <f>'Financial 1'!I75+'Financial 2'!I75+'Financial 3'!I75</f>
        <v>0</v>
      </c>
      <c r="J75" s="227">
        <f>'Financial 1'!J75+'Financial 2'!J75+'Financial 3'!J75</f>
        <v>0</v>
      </c>
      <c r="K75" s="228">
        <f>'Financial 1'!K75+'Financial 2'!K75+'Financial 3'!K75</f>
        <v>0</v>
      </c>
      <c r="L75" s="225"/>
    </row>
    <row r="76" spans="1:12" s="218" customFormat="1" ht="14.25" customHeight="1" outlineLevel="1">
      <c r="B76" s="219"/>
      <c r="C76" s="618"/>
      <c r="D76" s="680"/>
      <c r="E76" s="621" t="s">
        <v>2178</v>
      </c>
      <c r="F76" s="622"/>
      <c r="G76" s="227">
        <f>'Financial 1'!G76+'Financial 2'!G76+'Financial 3'!G76</f>
        <v>0</v>
      </c>
      <c r="H76" s="227">
        <f>'Financial 1'!H76+'Financial 2'!H76+'Financial 3'!H76</f>
        <v>0</v>
      </c>
      <c r="I76" s="227">
        <f>'Financial 1'!I76+'Financial 2'!I76+'Financial 3'!I76</f>
        <v>0</v>
      </c>
      <c r="J76" s="227">
        <f>'Financial 1'!J76+'Financial 2'!J76+'Financial 3'!J76</f>
        <v>0</v>
      </c>
      <c r="K76" s="228">
        <f>'Financial 1'!K76+'Financial 2'!K76+'Financial 3'!K76</f>
        <v>0</v>
      </c>
      <c r="L76" s="225"/>
    </row>
    <row r="77" spans="1:12" s="218" customFormat="1" ht="14.25" customHeight="1" outlineLevel="1">
      <c r="B77" s="219"/>
      <c r="C77" s="618"/>
      <c r="D77" s="680"/>
      <c r="E77" s="621" t="s">
        <v>2179</v>
      </c>
      <c r="F77" s="622"/>
      <c r="G77" s="227">
        <f>'Financial 1'!G77+'Financial 2'!G77+'Financial 3'!G77</f>
        <v>0</v>
      </c>
      <c r="H77" s="227">
        <f>'Financial 1'!H77+'Financial 2'!H77+'Financial 3'!H77</f>
        <v>0</v>
      </c>
      <c r="I77" s="227">
        <f>'Financial 1'!I77+'Financial 2'!I77+'Financial 3'!I77</f>
        <v>0</v>
      </c>
      <c r="J77" s="227">
        <f>'Financial 1'!J77+'Financial 2'!J77+'Financial 3'!J77</f>
        <v>0</v>
      </c>
      <c r="K77" s="228">
        <f>'Financial 1'!K77+'Financial 2'!K77+'Financial 3'!K77</f>
        <v>0</v>
      </c>
      <c r="L77" s="225"/>
    </row>
    <row r="78" spans="1:12" s="218" customFormat="1" ht="14.25" customHeight="1" outlineLevel="1">
      <c r="B78" s="219"/>
      <c r="C78" s="618"/>
      <c r="D78" s="680"/>
      <c r="E78" s="621" t="s">
        <v>2180</v>
      </c>
      <c r="F78" s="622"/>
      <c r="G78" s="227">
        <f>'Financial 1'!G78+'Financial 2'!G78+'Financial 3'!G78</f>
        <v>0</v>
      </c>
      <c r="H78" s="227">
        <f>'Financial 1'!H78+'Financial 2'!H78+'Financial 3'!H78</f>
        <v>0</v>
      </c>
      <c r="I78" s="227">
        <f>'Financial 1'!I78+'Financial 2'!I78+'Financial 3'!I78</f>
        <v>0</v>
      </c>
      <c r="J78" s="227">
        <f>'Financial 1'!J78+'Financial 2'!J78+'Financial 3'!J78</f>
        <v>0</v>
      </c>
      <c r="K78" s="228">
        <f>'Financial 1'!K78+'Financial 2'!K78+'Financial 3'!K78</f>
        <v>0</v>
      </c>
      <c r="L78" s="225"/>
    </row>
    <row r="79" spans="1:12" s="218" customFormat="1" ht="14.25" customHeight="1" outlineLevel="1">
      <c r="B79" s="219"/>
      <c r="C79" s="618"/>
      <c r="D79" s="680"/>
      <c r="E79" s="621" t="s">
        <v>2181</v>
      </c>
      <c r="F79" s="622"/>
      <c r="G79" s="227">
        <f>'Financial 1'!G79+'Financial 2'!G79+'Financial 3'!G79</f>
        <v>0</v>
      </c>
      <c r="H79" s="227">
        <f>'Financial 1'!H79+'Financial 2'!H79+'Financial 3'!H79</f>
        <v>0</v>
      </c>
      <c r="I79" s="227">
        <f>'Financial 1'!I79+'Financial 2'!I79+'Financial 3'!I79</f>
        <v>0</v>
      </c>
      <c r="J79" s="227">
        <f>'Financial 1'!J79+'Financial 2'!J79+'Financial 3'!J79</f>
        <v>0</v>
      </c>
      <c r="K79" s="228">
        <f>'Financial 1'!K79+'Financial 2'!K79+'Financial 3'!K79</f>
        <v>0</v>
      </c>
      <c r="L79" s="225"/>
    </row>
    <row r="80" spans="1:12" s="218" customFormat="1" ht="14.25" customHeight="1" outlineLevel="1">
      <c r="B80" s="219"/>
      <c r="C80" s="686"/>
      <c r="D80" s="700"/>
      <c r="E80" s="716" t="s">
        <v>2182</v>
      </c>
      <c r="F80" s="717"/>
      <c r="G80" s="231">
        <f>'Financial 1'!G80+'Financial 2'!G80+'Financial 3'!G80</f>
        <v>240</v>
      </c>
      <c r="H80" s="231">
        <f>'Financial 1'!H80+'Financial 2'!H80+'Financial 3'!H80</f>
        <v>84752</v>
      </c>
      <c r="I80" s="231">
        <f>'Financial 1'!I80+'Financial 2'!I80+'Financial 3'!I80</f>
        <v>0</v>
      </c>
      <c r="J80" s="231">
        <f>'Financial 1'!J80+'Financial 2'!J80+'Financial 3'!J80</f>
        <v>0</v>
      </c>
      <c r="K80" s="232">
        <f>'Financial 1'!K80+'Financial 2'!K80+'Financial 3'!K80</f>
        <v>0</v>
      </c>
      <c r="L80" s="225"/>
    </row>
    <row r="81" spans="1:1024" ht="17.25" customHeight="1">
      <c r="A81" s="218"/>
      <c r="B81" s="127"/>
      <c r="C81" s="682" t="s">
        <v>2183</v>
      </c>
      <c r="D81" s="683"/>
      <c r="E81" s="683"/>
      <c r="F81" s="683"/>
      <c r="G81" s="256">
        <f>G65-G67+G73</f>
        <v>-1084838020</v>
      </c>
      <c r="H81" s="256">
        <f>H65-H67+H73</f>
        <v>127096640</v>
      </c>
      <c r="I81" s="256">
        <f>I65-I67+I73</f>
        <v>138122911</v>
      </c>
      <c r="J81" s="256">
        <f>J65-J67+J73</f>
        <v>0</v>
      </c>
      <c r="K81" s="259">
        <f>K65-K67+K73</f>
        <v>0</v>
      </c>
      <c r="L81" s="128"/>
    </row>
    <row r="82" spans="1:1024" ht="7.5" customHeight="1">
      <c r="B82" s="127"/>
      <c r="C82" s="671"/>
      <c r="D82" s="672"/>
      <c r="E82" s="672"/>
      <c r="F82" s="672"/>
      <c r="G82" s="672"/>
      <c r="H82" s="672"/>
      <c r="I82" s="672"/>
      <c r="J82" s="672"/>
      <c r="K82" s="673"/>
      <c r="L82" s="128"/>
    </row>
    <row r="83" spans="1:1024" s="125" customFormat="1" ht="14.25">
      <c r="A83" s="124"/>
      <c r="B83" s="214"/>
      <c r="C83" s="254"/>
      <c r="D83" s="735" t="s">
        <v>2184</v>
      </c>
      <c r="E83" s="736"/>
      <c r="F83" s="737"/>
      <c r="G83" s="231">
        <f>'Financial 1'!G83+'Financial 2'!G83+'Financial 3'!G83</f>
        <v>0</v>
      </c>
      <c r="H83" s="231">
        <f>'Financial 1'!H83+'Financial 2'!H83+'Financial 3'!H83</f>
        <v>0</v>
      </c>
      <c r="I83" s="231">
        <f>'Financial 1'!I83+'Financial 2'!I83+'Financial 3'!I83</f>
        <v>0</v>
      </c>
      <c r="J83" s="231">
        <f>'Financial 1'!J83+'Financial 2'!J83+'Financial 3'!J83</f>
        <v>0</v>
      </c>
      <c r="K83" s="232">
        <f>'Financial 1'!K83+'Financial 2'!K83+'Financial 3'!K83</f>
        <v>0</v>
      </c>
      <c r="L83" s="260"/>
    </row>
    <row r="84" spans="1:1024" ht="17.25" customHeight="1">
      <c r="A84" s="125"/>
      <c r="B84" s="127"/>
      <c r="C84" s="609" t="s">
        <v>2185</v>
      </c>
      <c r="D84" s="610"/>
      <c r="E84" s="610"/>
      <c r="F84" s="610"/>
      <c r="G84" s="233">
        <f>G81+G83</f>
        <v>-1084838020</v>
      </c>
      <c r="H84" s="233">
        <f>H81+H83</f>
        <v>127096640</v>
      </c>
      <c r="I84" s="233">
        <f>I81+I83</f>
        <v>138122911</v>
      </c>
      <c r="J84" s="233">
        <f>J81+J83</f>
        <v>0</v>
      </c>
      <c r="K84" s="234">
        <f>K81+K83</f>
        <v>0</v>
      </c>
      <c r="L84" s="128"/>
    </row>
    <row r="85" spans="1:1024" ht="7.5" customHeight="1">
      <c r="B85" s="127"/>
      <c r="C85" s="671"/>
      <c r="D85" s="672"/>
      <c r="E85" s="672"/>
      <c r="F85" s="672"/>
      <c r="G85" s="672"/>
      <c r="H85" s="672"/>
      <c r="I85" s="672"/>
      <c r="J85" s="672"/>
      <c r="K85" s="673"/>
      <c r="L85" s="128"/>
    </row>
    <row r="86" spans="1:1024" s="125" customFormat="1" ht="12.75">
      <c r="B86" s="214"/>
      <c r="C86" s="214"/>
      <c r="D86" s="614" t="s">
        <v>2186</v>
      </c>
      <c r="E86" s="614"/>
      <c r="F86" s="615"/>
      <c r="G86" s="212">
        <f>SUM(G87,G88)</f>
        <v>31017172</v>
      </c>
      <c r="H86" s="212">
        <f>SUM(H87,H88)</f>
        <v>33222910</v>
      </c>
      <c r="I86" s="212">
        <f>SUM(I87,I88)</f>
        <v>36026914</v>
      </c>
      <c r="J86" s="212">
        <f>SUM(J87,J88)</f>
        <v>0</v>
      </c>
      <c r="K86" s="213">
        <f>SUM(K87,K88)</f>
        <v>0</v>
      </c>
      <c r="L86" s="200"/>
    </row>
    <row r="87" spans="1:1024" s="218" customFormat="1" ht="12" outlineLevel="1">
      <c r="B87" s="219"/>
      <c r="C87" s="618"/>
      <c r="D87" s="220"/>
      <c r="E87" s="616" t="s">
        <v>2187</v>
      </c>
      <c r="F87" s="617"/>
      <c r="G87" s="222">
        <f>'Financial 1'!G87+'Financial 2'!G87+'Financial 3'!G87</f>
        <v>31200000</v>
      </c>
      <c r="H87" s="223">
        <f>'Financial 1'!H87+'Financial 2'!H87+'Financial 3'!H87</f>
        <v>32705920</v>
      </c>
      <c r="I87" s="223">
        <f>'Financial 1'!I87+'Financial 2'!I87+'Financial 3'!I87</f>
        <v>35595769</v>
      </c>
      <c r="J87" s="223">
        <f>'Financial 1'!J87+'Financial 2'!J87+'Financial 3'!J87</f>
        <v>0</v>
      </c>
      <c r="K87" s="224">
        <f>'Financial 1'!K87+'Financial 2'!K87+'Financial 3'!K87</f>
        <v>0</v>
      </c>
      <c r="L87" s="225"/>
    </row>
    <row r="88" spans="1:1024" s="218" customFormat="1" ht="12" outlineLevel="1">
      <c r="B88" s="219"/>
      <c r="C88" s="618"/>
      <c r="E88" s="626" t="s">
        <v>2188</v>
      </c>
      <c r="F88" s="627"/>
      <c r="G88" s="227">
        <f>'Financial 1'!G88+'Financial 2'!G88+'Financial 3'!G88</f>
        <v>-182828</v>
      </c>
      <c r="H88" s="227">
        <f>'Financial 1'!H88+'Financial 2'!H88+'Financial 3'!H88</f>
        <v>516990</v>
      </c>
      <c r="I88" s="227">
        <f>'Financial 1'!I88+'Financial 2'!I88+'Financial 3'!I88</f>
        <v>431145</v>
      </c>
      <c r="J88" s="227">
        <f>'Financial 1'!J88+'Financial 2'!J88+'Financial 3'!J88</f>
        <v>0</v>
      </c>
      <c r="K88" s="228">
        <f>'Financial 1'!K88+'Financial 2'!K88+'Financial 3'!K88</f>
        <v>0</v>
      </c>
      <c r="L88" s="225"/>
    </row>
    <row r="89" spans="1:1024" s="125" customFormat="1" ht="12.75">
      <c r="B89" s="214"/>
      <c r="C89" s="618"/>
      <c r="D89" s="611" t="s">
        <v>2189</v>
      </c>
      <c r="E89" s="612"/>
      <c r="F89" s="613"/>
      <c r="G89" s="261">
        <f>IFERROR(G87/G84,"-")</f>
        <v>-2.8760053966397674E-2</v>
      </c>
      <c r="H89" s="261">
        <f>IFERROR(H87/H84,"-")</f>
        <v>0.25733111433945066</v>
      </c>
      <c r="I89" s="261">
        <f>IFERROR(I87/I84,"-")</f>
        <v>0.25771082250069288</v>
      </c>
      <c r="J89" s="261" t="str">
        <f>IFERROR(J87/J84,"-")</f>
        <v>-</v>
      </c>
      <c r="K89" s="262" t="str">
        <f>IFERROR(K87/K84,"-")</f>
        <v>-</v>
      </c>
      <c r="L89" s="200"/>
    </row>
    <row r="90" spans="1:1024" ht="15">
      <c r="A90" s="263"/>
      <c r="B90" s="264"/>
      <c r="C90" s="691"/>
      <c r="D90" s="695"/>
      <c r="E90" s="695"/>
      <c r="F90" s="696"/>
      <c r="G90" s="674"/>
      <c r="H90" s="675"/>
      <c r="I90" s="675"/>
      <c r="J90" s="675"/>
      <c r="K90" s="676"/>
      <c r="L90" s="266"/>
      <c r="M90" s="267"/>
      <c r="N90" s="267"/>
      <c r="O90" s="267"/>
      <c r="P90" s="267"/>
      <c r="Q90" s="267"/>
      <c r="R90" s="267"/>
      <c r="S90" s="267"/>
      <c r="T90" s="267"/>
      <c r="U90" s="267"/>
      <c r="V90" s="267"/>
      <c r="W90" s="267"/>
      <c r="X90" s="267"/>
      <c r="Y90" s="267"/>
      <c r="Z90" s="267"/>
      <c r="AA90" s="267"/>
      <c r="AB90" s="267"/>
      <c r="AC90" s="267"/>
      <c r="AD90" s="267"/>
      <c r="AE90" s="267"/>
      <c r="AF90" s="267"/>
      <c r="AG90" s="267"/>
      <c r="AH90" s="267"/>
      <c r="AI90" s="267"/>
      <c r="AJ90" s="267"/>
      <c r="AK90" s="267"/>
      <c r="AL90" s="267"/>
      <c r="AM90" s="267"/>
      <c r="AN90" s="267"/>
      <c r="AO90" s="267"/>
      <c r="AP90" s="267"/>
      <c r="AQ90" s="267"/>
      <c r="AR90" s="267"/>
      <c r="AS90" s="267"/>
      <c r="AT90" s="267"/>
      <c r="AU90" s="267"/>
      <c r="AV90" s="267"/>
      <c r="AW90" s="267"/>
      <c r="AX90" s="267"/>
      <c r="AY90" s="267"/>
      <c r="AZ90" s="267"/>
      <c r="BA90" s="267"/>
      <c r="BB90" s="267"/>
      <c r="BC90" s="267"/>
      <c r="BD90" s="267"/>
      <c r="BE90" s="267"/>
      <c r="BF90" s="267"/>
      <c r="BG90" s="267"/>
      <c r="BH90" s="267"/>
      <c r="BI90" s="267"/>
      <c r="BJ90" s="267"/>
      <c r="BK90" s="267"/>
      <c r="BL90" s="267"/>
      <c r="BM90" s="267"/>
      <c r="BN90" s="267"/>
      <c r="BO90" s="267"/>
      <c r="BP90" s="267"/>
      <c r="BQ90" s="267"/>
      <c r="BR90" s="267"/>
      <c r="BS90" s="267"/>
      <c r="BT90" s="267"/>
      <c r="BU90" s="267"/>
      <c r="BV90" s="267"/>
      <c r="BW90" s="267"/>
      <c r="BX90" s="267"/>
      <c r="BY90" s="267"/>
      <c r="BZ90" s="267"/>
      <c r="CA90" s="267"/>
      <c r="CB90" s="267"/>
      <c r="CC90" s="267"/>
      <c r="CD90" s="267"/>
      <c r="CE90" s="267"/>
      <c r="CF90" s="267"/>
      <c r="CG90" s="267"/>
      <c r="CH90" s="267"/>
      <c r="CI90" s="267"/>
      <c r="CJ90" s="267"/>
      <c r="CK90" s="267"/>
      <c r="CL90" s="267"/>
      <c r="CM90" s="267"/>
      <c r="CN90" s="267"/>
      <c r="CO90" s="267"/>
      <c r="CP90" s="267"/>
      <c r="CQ90" s="267"/>
      <c r="CR90" s="267"/>
      <c r="CS90" s="267"/>
      <c r="CT90" s="267"/>
      <c r="CU90" s="267"/>
      <c r="CV90" s="267"/>
      <c r="CW90" s="267"/>
      <c r="CX90" s="267"/>
      <c r="CY90" s="267"/>
      <c r="CZ90" s="267"/>
      <c r="DA90" s="267"/>
      <c r="DB90" s="267"/>
      <c r="DC90" s="267"/>
      <c r="DD90" s="267"/>
      <c r="DE90" s="267"/>
      <c r="DF90" s="267"/>
      <c r="DG90" s="267"/>
      <c r="DH90" s="267"/>
      <c r="DI90" s="267"/>
      <c r="DJ90" s="267"/>
      <c r="DK90" s="267"/>
      <c r="DL90" s="267"/>
      <c r="DM90" s="267"/>
      <c r="DN90" s="267"/>
      <c r="DO90" s="267"/>
      <c r="DP90" s="267"/>
      <c r="DQ90" s="267"/>
      <c r="DR90" s="267"/>
      <c r="DS90" s="267"/>
      <c r="DT90" s="267"/>
      <c r="DU90" s="267"/>
      <c r="DV90" s="267"/>
      <c r="DW90" s="267"/>
      <c r="DX90" s="267"/>
      <c r="DY90" s="267"/>
      <c r="DZ90" s="267"/>
      <c r="EA90" s="267"/>
      <c r="EB90" s="267"/>
      <c r="EC90" s="267"/>
      <c r="ED90" s="267"/>
      <c r="EE90" s="267"/>
      <c r="EF90" s="267"/>
      <c r="EG90" s="267"/>
      <c r="EH90" s="267"/>
      <c r="EI90" s="267"/>
      <c r="EJ90" s="267"/>
      <c r="EK90" s="267"/>
      <c r="EL90" s="267"/>
      <c r="EM90" s="267"/>
      <c r="EN90" s="267"/>
      <c r="EO90" s="267"/>
      <c r="EP90" s="267"/>
      <c r="EQ90" s="267"/>
      <c r="ER90" s="267"/>
      <c r="ES90" s="267"/>
      <c r="ET90" s="267"/>
      <c r="EU90" s="267"/>
      <c r="EV90" s="267"/>
      <c r="EW90" s="267"/>
      <c r="EX90" s="267"/>
      <c r="EY90" s="267"/>
      <c r="EZ90" s="267"/>
      <c r="FA90" s="267"/>
      <c r="FB90" s="267"/>
      <c r="FC90" s="267"/>
      <c r="FD90" s="267"/>
      <c r="FE90" s="267"/>
      <c r="FF90" s="267"/>
      <c r="FG90" s="267"/>
      <c r="FH90" s="267"/>
      <c r="FI90" s="267"/>
      <c r="FJ90" s="267"/>
      <c r="FK90" s="267"/>
      <c r="FL90" s="267"/>
      <c r="FM90" s="267"/>
      <c r="FN90" s="267"/>
      <c r="FO90" s="267"/>
      <c r="FP90" s="267"/>
      <c r="FQ90" s="267"/>
      <c r="FR90" s="267"/>
      <c r="FS90" s="267"/>
      <c r="FT90" s="267"/>
      <c r="FU90" s="267"/>
      <c r="FV90" s="267"/>
      <c r="FW90" s="267"/>
      <c r="FX90" s="267"/>
      <c r="FY90" s="267"/>
      <c r="FZ90" s="267"/>
      <c r="GA90" s="267"/>
      <c r="GB90" s="267"/>
      <c r="GC90" s="267"/>
      <c r="GD90" s="267"/>
      <c r="GE90" s="267"/>
      <c r="GF90" s="267"/>
      <c r="GG90" s="267"/>
      <c r="GH90" s="267"/>
      <c r="GI90" s="267"/>
      <c r="GJ90" s="267"/>
      <c r="GK90" s="267"/>
      <c r="GL90" s="267"/>
      <c r="GM90" s="267"/>
      <c r="GN90" s="267"/>
      <c r="GO90" s="267"/>
      <c r="GP90" s="267"/>
      <c r="GQ90" s="267"/>
      <c r="GR90" s="267"/>
      <c r="GS90" s="267"/>
      <c r="GT90" s="267"/>
      <c r="GU90" s="267"/>
      <c r="GV90" s="267"/>
      <c r="GW90" s="267"/>
      <c r="GX90" s="267"/>
      <c r="GY90" s="267"/>
      <c r="GZ90" s="267"/>
      <c r="HA90" s="267"/>
      <c r="HB90" s="267"/>
      <c r="HC90" s="267"/>
      <c r="HD90" s="267"/>
      <c r="HE90" s="267"/>
      <c r="HF90" s="267"/>
      <c r="HG90" s="267"/>
      <c r="HH90" s="267"/>
      <c r="HI90" s="267"/>
      <c r="HJ90" s="267"/>
      <c r="HK90" s="267"/>
      <c r="HL90" s="267"/>
      <c r="HM90" s="267"/>
      <c r="HN90" s="267"/>
      <c r="HO90" s="267"/>
      <c r="HP90" s="267"/>
      <c r="HQ90" s="267"/>
      <c r="HR90" s="267"/>
      <c r="HS90" s="267"/>
      <c r="HT90" s="267"/>
      <c r="HU90" s="267"/>
      <c r="HV90" s="267"/>
      <c r="HW90" s="267"/>
      <c r="HX90" s="267"/>
      <c r="HY90" s="267"/>
      <c r="HZ90" s="267"/>
      <c r="IA90" s="267"/>
      <c r="IB90" s="267"/>
      <c r="IC90" s="267"/>
      <c r="ID90" s="267"/>
      <c r="IE90" s="267"/>
      <c r="IF90" s="267"/>
      <c r="IG90" s="267"/>
      <c r="IH90" s="267"/>
      <c r="II90" s="267"/>
      <c r="IJ90" s="267"/>
      <c r="IK90" s="267"/>
      <c r="IL90" s="267"/>
      <c r="IM90" s="267"/>
      <c r="IN90" s="267"/>
      <c r="IO90" s="267"/>
      <c r="IP90" s="267"/>
      <c r="IQ90" s="267"/>
      <c r="IR90" s="267"/>
      <c r="IS90" s="267"/>
      <c r="IT90" s="267"/>
      <c r="IU90" s="267"/>
      <c r="IV90" s="267"/>
      <c r="IW90" s="267"/>
      <c r="IX90" s="267"/>
      <c r="IY90" s="267"/>
      <c r="IZ90" s="267"/>
      <c r="JA90" s="267"/>
      <c r="JB90" s="267"/>
      <c r="JC90" s="267"/>
      <c r="JD90" s="267"/>
      <c r="JE90" s="267"/>
      <c r="JF90" s="267"/>
      <c r="JG90" s="267"/>
      <c r="JH90" s="267"/>
      <c r="JI90" s="267"/>
      <c r="JJ90" s="267"/>
      <c r="JK90" s="267"/>
      <c r="JL90" s="267"/>
      <c r="JM90" s="267"/>
      <c r="JN90" s="267"/>
      <c r="JO90" s="267"/>
      <c r="JP90" s="267"/>
      <c r="JQ90" s="267"/>
      <c r="JR90" s="267"/>
      <c r="JS90" s="267"/>
      <c r="JT90" s="267"/>
      <c r="JU90" s="267"/>
      <c r="JV90" s="267"/>
      <c r="JW90" s="267"/>
      <c r="JX90" s="267"/>
      <c r="JY90" s="267"/>
      <c r="JZ90" s="267"/>
      <c r="KA90" s="267"/>
      <c r="KB90" s="267"/>
      <c r="KC90" s="267"/>
      <c r="KD90" s="267"/>
      <c r="KE90" s="267"/>
      <c r="KF90" s="267"/>
      <c r="KG90" s="267"/>
      <c r="KH90" s="267"/>
      <c r="KI90" s="267"/>
      <c r="KJ90" s="267"/>
      <c r="KK90" s="267"/>
      <c r="KL90" s="267"/>
      <c r="KM90" s="267"/>
      <c r="KN90" s="267"/>
      <c r="KO90" s="267"/>
      <c r="KP90" s="267"/>
      <c r="KQ90" s="267"/>
      <c r="KR90" s="267"/>
      <c r="KS90" s="267"/>
      <c r="KT90" s="267"/>
      <c r="KU90" s="267"/>
      <c r="KV90" s="267"/>
      <c r="KW90" s="267"/>
      <c r="KX90" s="267"/>
      <c r="KY90" s="267"/>
      <c r="KZ90" s="267"/>
      <c r="LA90" s="267"/>
      <c r="LB90" s="267"/>
      <c r="LC90" s="267"/>
      <c r="LD90" s="267"/>
      <c r="LE90" s="267"/>
      <c r="LF90" s="267"/>
      <c r="LG90" s="267"/>
      <c r="LH90" s="267"/>
      <c r="LI90" s="267"/>
      <c r="LJ90" s="267"/>
      <c r="LK90" s="267"/>
      <c r="LL90" s="267"/>
      <c r="LM90" s="267"/>
      <c r="LN90" s="267"/>
      <c r="LO90" s="267"/>
      <c r="LP90" s="267"/>
      <c r="LQ90" s="267"/>
      <c r="LR90" s="267"/>
      <c r="LS90" s="267"/>
      <c r="LT90" s="267"/>
      <c r="LU90" s="267"/>
      <c r="LV90" s="267"/>
      <c r="LW90" s="267"/>
      <c r="LX90" s="267"/>
      <c r="LY90" s="267"/>
      <c r="LZ90" s="267"/>
      <c r="MA90" s="267"/>
      <c r="MB90" s="267"/>
      <c r="MC90" s="267"/>
      <c r="MD90" s="267"/>
      <c r="ME90" s="267"/>
      <c r="MF90" s="267"/>
      <c r="MG90" s="267"/>
      <c r="MH90" s="267"/>
      <c r="MI90" s="267"/>
      <c r="MJ90" s="267"/>
      <c r="MK90" s="267"/>
      <c r="ML90" s="267"/>
      <c r="MM90" s="267"/>
      <c r="MN90" s="267"/>
      <c r="MO90" s="267"/>
      <c r="MP90" s="267"/>
      <c r="MQ90" s="267"/>
      <c r="MR90" s="267"/>
      <c r="MS90" s="267"/>
      <c r="MT90" s="267"/>
      <c r="MU90" s="267"/>
      <c r="MV90" s="267"/>
      <c r="MW90" s="267"/>
      <c r="MX90" s="267"/>
      <c r="MY90" s="267"/>
      <c r="MZ90" s="267"/>
      <c r="NA90" s="267"/>
      <c r="NB90" s="267"/>
      <c r="NC90" s="267"/>
      <c r="ND90" s="267"/>
      <c r="NE90" s="267"/>
      <c r="NF90" s="267"/>
      <c r="NG90" s="267"/>
      <c r="NH90" s="267"/>
      <c r="NI90" s="267"/>
      <c r="NJ90" s="267"/>
      <c r="NK90" s="267"/>
      <c r="NL90" s="267"/>
      <c r="NM90" s="267"/>
      <c r="NN90" s="267"/>
      <c r="NO90" s="267"/>
      <c r="NP90" s="267"/>
      <c r="NQ90" s="267"/>
      <c r="NR90" s="267"/>
      <c r="NS90" s="267"/>
      <c r="NT90" s="267"/>
      <c r="NU90" s="267"/>
      <c r="NV90" s="267"/>
      <c r="NW90" s="267"/>
      <c r="NX90" s="267"/>
      <c r="NY90" s="267"/>
      <c r="NZ90" s="267"/>
      <c r="OA90" s="267"/>
      <c r="OB90" s="267"/>
      <c r="OC90" s="267"/>
      <c r="OD90" s="267"/>
      <c r="OE90" s="267"/>
      <c r="OF90" s="267"/>
      <c r="OG90" s="267"/>
      <c r="OH90" s="267"/>
      <c r="OI90" s="267"/>
      <c r="OJ90" s="267"/>
      <c r="OK90" s="267"/>
      <c r="OL90" s="267"/>
      <c r="OM90" s="267"/>
      <c r="ON90" s="267"/>
      <c r="OO90" s="267"/>
      <c r="OP90" s="267"/>
      <c r="OQ90" s="267"/>
      <c r="OR90" s="267"/>
      <c r="OS90" s="267"/>
      <c r="OT90" s="267"/>
      <c r="OU90" s="267"/>
      <c r="OV90" s="267"/>
      <c r="OW90" s="267"/>
      <c r="OX90" s="267"/>
      <c r="OY90" s="267"/>
      <c r="OZ90" s="267"/>
      <c r="PA90" s="267"/>
      <c r="PB90" s="267"/>
      <c r="PC90" s="267"/>
      <c r="PD90" s="267"/>
      <c r="PE90" s="267"/>
      <c r="PF90" s="267"/>
      <c r="PG90" s="267"/>
      <c r="PH90" s="267"/>
      <c r="PI90" s="267"/>
      <c r="PJ90" s="267"/>
      <c r="PK90" s="267"/>
      <c r="PL90" s="267"/>
      <c r="PM90" s="267"/>
      <c r="PN90" s="267"/>
      <c r="PO90" s="267"/>
      <c r="PP90" s="267"/>
      <c r="PQ90" s="267"/>
      <c r="PR90" s="267"/>
      <c r="PS90" s="267"/>
      <c r="PT90" s="267"/>
      <c r="PU90" s="267"/>
      <c r="PV90" s="267"/>
      <c r="PW90" s="267"/>
      <c r="PX90" s="267"/>
      <c r="PY90" s="267"/>
      <c r="PZ90" s="267"/>
      <c r="QA90" s="267"/>
      <c r="QB90" s="267"/>
      <c r="QC90" s="267"/>
      <c r="QD90" s="267"/>
      <c r="QE90" s="267"/>
      <c r="QF90" s="267"/>
      <c r="QG90" s="267"/>
      <c r="QH90" s="267"/>
      <c r="QI90" s="267"/>
      <c r="QJ90" s="267"/>
      <c r="QK90" s="267"/>
      <c r="QL90" s="267"/>
      <c r="QM90" s="267"/>
      <c r="QN90" s="267"/>
      <c r="QO90" s="267"/>
      <c r="QP90" s="267"/>
      <c r="QQ90" s="267"/>
      <c r="QR90" s="267"/>
      <c r="QS90" s="267"/>
      <c r="QT90" s="267"/>
      <c r="QU90" s="267"/>
      <c r="QV90" s="267"/>
      <c r="QW90" s="267"/>
      <c r="QX90" s="267"/>
      <c r="QY90" s="267"/>
      <c r="QZ90" s="267"/>
      <c r="RA90" s="267"/>
      <c r="RB90" s="267"/>
      <c r="RC90" s="267"/>
      <c r="RD90" s="267"/>
      <c r="RE90" s="267"/>
      <c r="RF90" s="267"/>
      <c r="RG90" s="267"/>
      <c r="RH90" s="267"/>
      <c r="RI90" s="267"/>
      <c r="RJ90" s="267"/>
      <c r="RK90" s="267"/>
      <c r="RL90" s="267"/>
      <c r="RM90" s="267"/>
      <c r="RN90" s="267"/>
      <c r="RO90" s="267"/>
      <c r="RP90" s="267"/>
      <c r="RQ90" s="267"/>
      <c r="RR90" s="267"/>
      <c r="RS90" s="267"/>
      <c r="RT90" s="267"/>
      <c r="RU90" s="267"/>
      <c r="RV90" s="267"/>
      <c r="RW90" s="267"/>
      <c r="RX90" s="267"/>
      <c r="RY90" s="267"/>
      <c r="RZ90" s="267"/>
      <c r="SA90" s="267"/>
      <c r="SB90" s="267"/>
      <c r="SC90" s="267"/>
      <c r="SD90" s="267"/>
      <c r="SE90" s="267"/>
      <c r="SF90" s="267"/>
      <c r="SG90" s="267"/>
      <c r="SH90" s="267"/>
      <c r="SI90" s="267"/>
      <c r="SJ90" s="267"/>
      <c r="SK90" s="267"/>
      <c r="SL90" s="267"/>
      <c r="SM90" s="267"/>
      <c r="SN90" s="267"/>
      <c r="SO90" s="267"/>
      <c r="SP90" s="267"/>
      <c r="SQ90" s="267"/>
      <c r="SR90" s="267"/>
      <c r="SS90" s="267"/>
      <c r="ST90" s="267"/>
      <c r="SU90" s="267"/>
      <c r="SV90" s="267"/>
      <c r="SW90" s="267"/>
      <c r="SX90" s="267"/>
      <c r="SY90" s="267"/>
      <c r="SZ90" s="267"/>
      <c r="TA90" s="267"/>
      <c r="TB90" s="267"/>
      <c r="TC90" s="267"/>
      <c r="TD90" s="267"/>
      <c r="TE90" s="267"/>
      <c r="TF90" s="267"/>
      <c r="TG90" s="267"/>
      <c r="TH90" s="267"/>
      <c r="TI90" s="267"/>
      <c r="TJ90" s="267"/>
      <c r="TK90" s="267"/>
      <c r="TL90" s="267"/>
      <c r="TM90" s="267"/>
      <c r="TN90" s="267"/>
      <c r="TO90" s="267"/>
      <c r="TP90" s="267"/>
      <c r="TQ90" s="267"/>
      <c r="TR90" s="267"/>
      <c r="TS90" s="267"/>
      <c r="TT90" s="267"/>
      <c r="TU90" s="267"/>
      <c r="TV90" s="267"/>
      <c r="TW90" s="267"/>
      <c r="TX90" s="267"/>
      <c r="TY90" s="267"/>
      <c r="TZ90" s="267"/>
      <c r="UA90" s="267"/>
      <c r="UB90" s="267"/>
      <c r="UC90" s="267"/>
      <c r="UD90" s="267"/>
      <c r="UE90" s="267"/>
      <c r="UF90" s="267"/>
      <c r="UG90" s="267"/>
      <c r="UH90" s="267"/>
      <c r="UI90" s="267"/>
      <c r="UJ90" s="267"/>
      <c r="UK90" s="267"/>
      <c r="UL90" s="267"/>
      <c r="UM90" s="267"/>
      <c r="UN90" s="267"/>
      <c r="UO90" s="267"/>
      <c r="UP90" s="267"/>
      <c r="UQ90" s="267"/>
      <c r="UR90" s="267"/>
      <c r="US90" s="267"/>
      <c r="UT90" s="267"/>
      <c r="UU90" s="267"/>
      <c r="UV90" s="267"/>
      <c r="UW90" s="267"/>
      <c r="UX90" s="267"/>
      <c r="UY90" s="267"/>
      <c r="UZ90" s="267"/>
      <c r="VA90" s="267"/>
      <c r="VB90" s="267"/>
      <c r="VC90" s="267"/>
      <c r="VD90" s="267"/>
      <c r="VE90" s="267"/>
      <c r="VF90" s="267"/>
      <c r="VG90" s="267"/>
      <c r="VH90" s="267"/>
      <c r="VI90" s="267"/>
      <c r="VJ90" s="267"/>
      <c r="VK90" s="267"/>
      <c r="VL90" s="267"/>
      <c r="VM90" s="267"/>
      <c r="VN90" s="267"/>
      <c r="VO90" s="267"/>
      <c r="VP90" s="267"/>
      <c r="VQ90" s="267"/>
      <c r="VR90" s="267"/>
      <c r="VS90" s="267"/>
      <c r="VT90" s="267"/>
      <c r="VU90" s="267"/>
      <c r="VV90" s="267"/>
      <c r="VW90" s="267"/>
      <c r="VX90" s="267"/>
      <c r="VY90" s="267"/>
      <c r="VZ90" s="267"/>
      <c r="WA90" s="267"/>
      <c r="WB90" s="267"/>
      <c r="WC90" s="267"/>
      <c r="WD90" s="267"/>
      <c r="WE90" s="267"/>
      <c r="WF90" s="267"/>
      <c r="WG90" s="267"/>
      <c r="WH90" s="267"/>
      <c r="WI90" s="267"/>
      <c r="WJ90" s="267"/>
      <c r="WK90" s="267"/>
      <c r="WL90" s="267"/>
      <c r="WM90" s="267"/>
      <c r="WN90" s="267"/>
      <c r="WO90" s="267"/>
      <c r="WP90" s="267"/>
      <c r="WQ90" s="267"/>
      <c r="WR90" s="267"/>
      <c r="WS90" s="267"/>
      <c r="WT90" s="267"/>
      <c r="WU90" s="267"/>
      <c r="WV90" s="267"/>
      <c r="WW90" s="267"/>
      <c r="WX90" s="267"/>
      <c r="WY90" s="267"/>
      <c r="WZ90" s="267"/>
      <c r="XA90" s="267"/>
      <c r="XB90" s="267"/>
      <c r="XC90" s="267"/>
      <c r="XD90" s="267"/>
      <c r="XE90" s="267"/>
      <c r="XF90" s="267"/>
      <c r="XG90" s="267"/>
      <c r="XH90" s="267"/>
      <c r="XI90" s="267"/>
      <c r="XJ90" s="267"/>
      <c r="XK90" s="267"/>
      <c r="XL90" s="267"/>
      <c r="XM90" s="267"/>
      <c r="XN90" s="267"/>
      <c r="XO90" s="267"/>
      <c r="XP90" s="267"/>
      <c r="XQ90" s="267"/>
      <c r="XR90" s="267"/>
      <c r="XS90" s="267"/>
      <c r="XT90" s="267"/>
      <c r="XU90" s="267"/>
      <c r="XV90" s="267"/>
      <c r="XW90" s="267"/>
      <c r="XX90" s="267"/>
      <c r="XY90" s="267"/>
      <c r="XZ90" s="267"/>
      <c r="YA90" s="267"/>
      <c r="YB90" s="267"/>
      <c r="YC90" s="267"/>
      <c r="YD90" s="267"/>
      <c r="YE90" s="267"/>
      <c r="YF90" s="267"/>
      <c r="YG90" s="267"/>
      <c r="YH90" s="267"/>
      <c r="YI90" s="267"/>
      <c r="YJ90" s="267"/>
      <c r="YK90" s="267"/>
      <c r="YL90" s="267"/>
      <c r="YM90" s="267"/>
      <c r="YN90" s="267"/>
      <c r="YO90" s="267"/>
      <c r="YP90" s="267"/>
      <c r="YQ90" s="267"/>
      <c r="YR90" s="267"/>
      <c r="YS90" s="267"/>
      <c r="YT90" s="267"/>
      <c r="YU90" s="267"/>
      <c r="YV90" s="267"/>
      <c r="YW90" s="267"/>
      <c r="YX90" s="267"/>
      <c r="YY90" s="267"/>
      <c r="YZ90" s="267"/>
      <c r="ZA90" s="267"/>
      <c r="ZB90" s="267"/>
      <c r="ZC90" s="267"/>
      <c r="ZD90" s="267"/>
      <c r="ZE90" s="267"/>
      <c r="ZF90" s="267"/>
      <c r="ZG90" s="267"/>
      <c r="ZH90" s="267"/>
      <c r="ZI90" s="267"/>
      <c r="ZJ90" s="267"/>
      <c r="ZK90" s="267"/>
      <c r="ZL90" s="267"/>
      <c r="ZM90" s="267"/>
      <c r="ZN90" s="267"/>
      <c r="ZO90" s="267"/>
      <c r="ZP90" s="267"/>
      <c r="ZQ90" s="267"/>
      <c r="ZR90" s="267"/>
      <c r="ZS90" s="267"/>
      <c r="ZT90" s="267"/>
      <c r="ZU90" s="267"/>
      <c r="ZV90" s="267"/>
      <c r="ZW90" s="267"/>
      <c r="ZX90" s="267"/>
      <c r="ZY90" s="267"/>
      <c r="ZZ90" s="267"/>
      <c r="AAA90" s="267"/>
      <c r="AAB90" s="267"/>
      <c r="AAC90" s="267"/>
      <c r="AAD90" s="267"/>
      <c r="AAE90" s="267"/>
      <c r="AAF90" s="267"/>
      <c r="AAG90" s="267"/>
      <c r="AAH90" s="267"/>
      <c r="AAI90" s="267"/>
      <c r="AAJ90" s="267"/>
      <c r="AAK90" s="267"/>
      <c r="AAL90" s="267"/>
      <c r="AAM90" s="267"/>
      <c r="AAN90" s="267"/>
      <c r="AAO90" s="267"/>
      <c r="AAP90" s="267"/>
      <c r="AAQ90" s="267"/>
      <c r="AAR90" s="267"/>
      <c r="AAS90" s="267"/>
      <c r="AAT90" s="267"/>
      <c r="AAU90" s="267"/>
      <c r="AAV90" s="267"/>
      <c r="AAW90" s="267"/>
      <c r="AAX90" s="267"/>
      <c r="AAY90" s="267"/>
      <c r="AAZ90" s="267"/>
      <c r="ABA90" s="267"/>
      <c r="ABB90" s="267"/>
      <c r="ABC90" s="267"/>
      <c r="ABD90" s="267"/>
      <c r="ABE90" s="267"/>
      <c r="ABF90" s="267"/>
      <c r="ABG90" s="267"/>
      <c r="ABH90" s="267"/>
      <c r="ABI90" s="267"/>
      <c r="ABJ90" s="267"/>
      <c r="ABK90" s="267"/>
      <c r="ABL90" s="267"/>
      <c r="ABM90" s="267"/>
      <c r="ABN90" s="267"/>
      <c r="ABO90" s="267"/>
      <c r="ABP90" s="267"/>
      <c r="ABQ90" s="267"/>
      <c r="ABR90" s="267"/>
      <c r="ABS90" s="267"/>
      <c r="ABT90" s="267"/>
      <c r="ABU90" s="267"/>
      <c r="ABV90" s="267"/>
      <c r="ABW90" s="267"/>
      <c r="ABX90" s="267"/>
      <c r="ABY90" s="267"/>
      <c r="ABZ90" s="267"/>
      <c r="ACA90" s="267"/>
      <c r="ACB90" s="267"/>
      <c r="ACC90" s="267"/>
      <c r="ACD90" s="267"/>
      <c r="ACE90" s="267"/>
      <c r="ACF90" s="267"/>
      <c r="ACG90" s="267"/>
      <c r="ACH90" s="267"/>
      <c r="ACI90" s="267"/>
      <c r="ACJ90" s="267"/>
      <c r="ACK90" s="267"/>
      <c r="ACL90" s="267"/>
      <c r="ACM90" s="267"/>
      <c r="ACN90" s="267"/>
      <c r="ACO90" s="267"/>
      <c r="ACP90" s="267"/>
      <c r="ACQ90" s="267"/>
      <c r="ACR90" s="267"/>
      <c r="ACS90" s="267"/>
      <c r="ACT90" s="267"/>
      <c r="ACU90" s="267"/>
      <c r="ACV90" s="267"/>
      <c r="ACW90" s="267"/>
      <c r="ACX90" s="267"/>
      <c r="ACY90" s="267"/>
      <c r="ACZ90" s="267"/>
      <c r="ADA90" s="267"/>
      <c r="ADB90" s="267"/>
      <c r="ADC90" s="267"/>
      <c r="ADD90" s="267"/>
      <c r="ADE90" s="267"/>
      <c r="ADF90" s="267"/>
      <c r="ADG90" s="267"/>
      <c r="ADH90" s="267"/>
      <c r="ADI90" s="267"/>
      <c r="ADJ90" s="267"/>
      <c r="ADK90" s="267"/>
      <c r="ADL90" s="267"/>
      <c r="ADM90" s="267"/>
      <c r="ADN90" s="267"/>
      <c r="ADO90" s="267"/>
      <c r="ADP90" s="267"/>
      <c r="ADQ90" s="267"/>
      <c r="ADR90" s="267"/>
      <c r="ADS90" s="267"/>
      <c r="ADT90" s="267"/>
      <c r="ADU90" s="267"/>
      <c r="ADV90" s="267"/>
      <c r="ADW90" s="267"/>
      <c r="ADX90" s="267"/>
      <c r="ADY90" s="267"/>
      <c r="ADZ90" s="267"/>
      <c r="AEA90" s="267"/>
      <c r="AEB90" s="267"/>
      <c r="AEC90" s="267"/>
      <c r="AED90" s="267"/>
      <c r="AEE90" s="267"/>
      <c r="AEF90" s="267"/>
      <c r="AEG90" s="267"/>
      <c r="AEH90" s="267"/>
      <c r="AEI90" s="267"/>
      <c r="AEJ90" s="267"/>
      <c r="AEK90" s="267"/>
      <c r="AEL90" s="267"/>
      <c r="AEM90" s="267"/>
      <c r="AEN90" s="267"/>
      <c r="AEO90" s="267"/>
      <c r="AEP90" s="267"/>
      <c r="AEQ90" s="267"/>
      <c r="AER90" s="267"/>
      <c r="AES90" s="267"/>
      <c r="AET90" s="267"/>
      <c r="AEU90" s="267"/>
      <c r="AEV90" s="267"/>
      <c r="AEW90" s="267"/>
      <c r="AEX90" s="267"/>
      <c r="AEY90" s="267"/>
      <c r="AEZ90" s="267"/>
      <c r="AFA90" s="267"/>
      <c r="AFB90" s="267"/>
      <c r="AFC90" s="267"/>
      <c r="AFD90" s="267"/>
      <c r="AFE90" s="267"/>
      <c r="AFF90" s="267"/>
      <c r="AFG90" s="267"/>
      <c r="AFH90" s="267"/>
      <c r="AFI90" s="267"/>
      <c r="AFJ90" s="267"/>
      <c r="AFK90" s="267"/>
      <c r="AFL90" s="267"/>
      <c r="AFM90" s="267"/>
      <c r="AFN90" s="267"/>
      <c r="AFO90" s="267"/>
      <c r="AFP90" s="267"/>
      <c r="AFQ90" s="267"/>
      <c r="AFR90" s="267"/>
      <c r="AFS90" s="267"/>
      <c r="AFT90" s="267"/>
      <c r="AFU90" s="267"/>
      <c r="AFV90" s="267"/>
      <c r="AFW90" s="267"/>
      <c r="AFX90" s="267"/>
      <c r="AFY90" s="267"/>
      <c r="AFZ90" s="267"/>
      <c r="AGA90" s="267"/>
      <c r="AGB90" s="267"/>
      <c r="AGC90" s="267"/>
      <c r="AGD90" s="267"/>
      <c r="AGE90" s="267"/>
      <c r="AGF90" s="267"/>
      <c r="AGG90" s="267"/>
      <c r="AGH90" s="267"/>
      <c r="AGI90" s="267"/>
      <c r="AGJ90" s="267"/>
      <c r="AGK90" s="267"/>
      <c r="AGL90" s="267"/>
      <c r="AGM90" s="267"/>
      <c r="AGN90" s="267"/>
      <c r="AGO90" s="267"/>
      <c r="AGP90" s="267"/>
      <c r="AGQ90" s="267"/>
      <c r="AGR90" s="267"/>
      <c r="AGS90" s="267"/>
      <c r="AGT90" s="267"/>
      <c r="AGU90" s="267"/>
      <c r="AGV90" s="267"/>
      <c r="AGW90" s="267"/>
      <c r="AGX90" s="267"/>
      <c r="AGY90" s="267"/>
      <c r="AGZ90" s="267"/>
      <c r="AHA90" s="267"/>
      <c r="AHB90" s="267"/>
      <c r="AHC90" s="267"/>
      <c r="AHD90" s="267"/>
      <c r="AHE90" s="267"/>
      <c r="AHF90" s="267"/>
      <c r="AHG90" s="267"/>
      <c r="AHH90" s="267"/>
      <c r="AHI90" s="267"/>
      <c r="AHJ90" s="267"/>
      <c r="AHK90" s="267"/>
      <c r="AHL90" s="267"/>
      <c r="AHM90" s="267"/>
      <c r="AHN90" s="267"/>
      <c r="AHO90" s="267"/>
      <c r="AHP90" s="267"/>
      <c r="AHQ90" s="267"/>
      <c r="AHR90" s="267"/>
      <c r="AHS90" s="267"/>
      <c r="AHT90" s="267"/>
      <c r="AHU90" s="267"/>
      <c r="AHV90" s="267"/>
      <c r="AHW90" s="267"/>
      <c r="AHX90" s="267"/>
      <c r="AHY90" s="267"/>
      <c r="AHZ90" s="267"/>
      <c r="AIA90" s="267"/>
      <c r="AIB90" s="267"/>
      <c r="AIC90" s="267"/>
      <c r="AID90" s="267"/>
      <c r="AIE90" s="267"/>
      <c r="AIF90" s="267"/>
      <c r="AIG90" s="267"/>
      <c r="AIH90" s="267"/>
      <c r="AII90" s="267"/>
      <c r="AIJ90" s="267"/>
      <c r="AIK90" s="267"/>
      <c r="AIL90" s="267"/>
      <c r="AIM90" s="267"/>
      <c r="AIN90" s="267"/>
      <c r="AIO90" s="267"/>
      <c r="AIP90" s="267"/>
      <c r="AIQ90" s="267"/>
      <c r="AIR90" s="267"/>
      <c r="AIS90" s="267"/>
      <c r="AIT90" s="267"/>
      <c r="AIU90" s="267"/>
      <c r="AIV90" s="267"/>
      <c r="AIW90" s="267"/>
      <c r="AIX90" s="267"/>
      <c r="AIY90" s="267"/>
      <c r="AIZ90" s="267"/>
      <c r="AJA90" s="267"/>
      <c r="AJB90" s="267"/>
      <c r="AJC90" s="267"/>
      <c r="AJD90" s="267"/>
      <c r="AJE90" s="267"/>
      <c r="AJF90" s="267"/>
      <c r="AJG90" s="267"/>
      <c r="AJH90" s="267"/>
      <c r="AJI90" s="267"/>
      <c r="AJJ90" s="267"/>
      <c r="AJK90" s="267"/>
      <c r="AJL90" s="267"/>
      <c r="AJM90" s="267"/>
      <c r="AJN90" s="267"/>
      <c r="AJO90" s="267"/>
      <c r="AJP90" s="267"/>
      <c r="AJQ90" s="267"/>
      <c r="AJR90" s="267"/>
      <c r="AJS90" s="267"/>
      <c r="AJT90" s="267"/>
      <c r="AJU90" s="267"/>
      <c r="AJV90" s="267"/>
      <c r="AJW90" s="267"/>
      <c r="AJX90" s="267"/>
      <c r="AJY90" s="267"/>
      <c r="AJZ90" s="267"/>
      <c r="AKA90" s="267"/>
      <c r="AKB90" s="267"/>
      <c r="AKC90" s="267"/>
      <c r="AKD90" s="267"/>
      <c r="AKE90" s="267"/>
      <c r="AKF90" s="267"/>
      <c r="AKG90" s="267"/>
      <c r="AKH90" s="267"/>
      <c r="AKI90" s="267"/>
      <c r="AKJ90" s="267"/>
      <c r="AKK90" s="267"/>
      <c r="AKL90" s="267"/>
      <c r="AKM90" s="267"/>
      <c r="AKN90" s="267"/>
      <c r="AKO90" s="267"/>
      <c r="AKP90" s="267"/>
      <c r="AKQ90" s="267"/>
      <c r="AKR90" s="267"/>
      <c r="AKS90" s="267"/>
      <c r="AKT90" s="267"/>
      <c r="AKU90" s="267"/>
      <c r="AKV90" s="267"/>
      <c r="AKW90" s="267"/>
      <c r="AKX90" s="267"/>
      <c r="AKY90" s="267"/>
      <c r="AKZ90" s="267"/>
      <c r="ALA90" s="267"/>
      <c r="ALB90" s="267"/>
      <c r="ALC90" s="267"/>
      <c r="ALD90" s="267"/>
      <c r="ALE90" s="267"/>
      <c r="ALF90" s="267"/>
      <c r="ALG90" s="267"/>
      <c r="ALH90" s="267"/>
      <c r="ALI90" s="267"/>
      <c r="ALJ90" s="267"/>
      <c r="ALK90" s="267"/>
      <c r="ALL90" s="267"/>
      <c r="ALM90" s="267"/>
      <c r="ALN90" s="267"/>
      <c r="ALO90" s="267"/>
      <c r="ALP90" s="267"/>
      <c r="ALQ90" s="267"/>
      <c r="ALR90" s="267"/>
      <c r="ALS90" s="267"/>
      <c r="ALT90" s="267"/>
      <c r="ALU90" s="267"/>
      <c r="ALV90" s="267"/>
      <c r="ALW90" s="267"/>
      <c r="ALX90" s="267"/>
      <c r="ALY90" s="267"/>
      <c r="ALZ90" s="267"/>
      <c r="AMA90" s="267"/>
      <c r="AMB90" s="267"/>
      <c r="AMC90" s="267"/>
      <c r="AMD90" s="267"/>
      <c r="AME90" s="267"/>
      <c r="AMF90" s="267"/>
      <c r="AMG90" s="267"/>
      <c r="AMH90" s="267"/>
      <c r="AMI90" s="267"/>
      <c r="AMJ90" s="267"/>
    </row>
    <row r="91" spans="1:1024" s="268" customFormat="1" ht="11.25">
      <c r="B91" s="265"/>
      <c r="C91" s="692"/>
      <c r="D91" s="706"/>
      <c r="E91" s="706"/>
      <c r="F91" s="707"/>
      <c r="G91" s="677"/>
      <c r="H91" s="678"/>
      <c r="I91" s="678"/>
      <c r="J91" s="678"/>
      <c r="K91" s="679"/>
      <c r="L91" s="269"/>
    </row>
    <row r="92" spans="1:1024" ht="17.25" customHeight="1">
      <c r="A92" s="268"/>
      <c r="B92" s="127"/>
      <c r="C92" s="708" t="s">
        <v>2190</v>
      </c>
      <c r="D92" s="709"/>
      <c r="E92" s="709"/>
      <c r="F92" s="709"/>
      <c r="G92" s="270">
        <f>G84-SUM(G87:G88)</f>
        <v>-1115855192</v>
      </c>
      <c r="H92" s="270">
        <f>H84-SUM(H87:H88)</f>
        <v>93873730</v>
      </c>
      <c r="I92" s="270">
        <f>I84-SUM(I87:I88)</f>
        <v>102095997</v>
      </c>
      <c r="J92" s="270">
        <f>J84-SUM(J87:J88)</f>
        <v>0</v>
      </c>
      <c r="K92" s="271">
        <f>K84-SUM(K87:K88)</f>
        <v>0</v>
      </c>
      <c r="L92" s="128"/>
    </row>
    <row r="93" spans="1:1024" ht="7.5" customHeight="1">
      <c r="B93" s="127"/>
      <c r="C93" s="671"/>
      <c r="D93" s="672"/>
      <c r="E93" s="672"/>
      <c r="F93" s="672"/>
      <c r="G93" s="672"/>
      <c r="H93" s="672"/>
      <c r="I93" s="672"/>
      <c r="J93" s="672"/>
      <c r="K93" s="673"/>
      <c r="L93" s="128"/>
    </row>
    <row r="94" spans="1:1024" ht="15" customHeight="1">
      <c r="B94" s="127"/>
      <c r="C94" s="272"/>
      <c r="D94" s="646" t="s">
        <v>2191</v>
      </c>
      <c r="E94" s="647"/>
      <c r="F94" s="648"/>
      <c r="G94" s="231">
        <f>'Financial 1'!G94+'Financial 2'!G94+'Financial 3'!G94</f>
        <v>0</v>
      </c>
      <c r="H94" s="231">
        <f>'Financial 1'!H94+'Financial 2'!H94+'Financial 3'!H94</f>
        <v>0</v>
      </c>
      <c r="I94" s="231">
        <f>'Financial 1'!I94+'Financial 2'!I94+'Financial 3'!I94</f>
        <v>0</v>
      </c>
      <c r="J94" s="231">
        <f>'Financial 1'!J94+'Financial 2'!J94+'Financial 3'!J94</f>
        <v>0</v>
      </c>
      <c r="K94" s="232">
        <f>'Financial 1'!K94+'Financial 2'!K94+'Financial 3'!K94</f>
        <v>0</v>
      </c>
      <c r="L94" s="128"/>
    </row>
    <row r="95" spans="1:1024" ht="17.25" customHeight="1">
      <c r="A95" s="268"/>
      <c r="B95" s="127"/>
      <c r="C95" s="708" t="s">
        <v>2192</v>
      </c>
      <c r="D95" s="709"/>
      <c r="E95" s="709"/>
      <c r="F95" s="709"/>
      <c r="G95" s="270">
        <f>G92+G94</f>
        <v>-1115855192</v>
      </c>
      <c r="H95" s="270">
        <f>H92+H94</f>
        <v>93873730</v>
      </c>
      <c r="I95" s="270">
        <f>I92+I94</f>
        <v>102095997</v>
      </c>
      <c r="J95" s="270">
        <f>J92+J94</f>
        <v>0</v>
      </c>
      <c r="K95" s="271">
        <f>K92+K94</f>
        <v>0</v>
      </c>
      <c r="L95" s="128"/>
    </row>
    <row r="96" spans="1:1024" ht="15">
      <c r="B96" s="127"/>
      <c r="C96" s="235"/>
      <c r="D96" s="659" t="s">
        <v>2193</v>
      </c>
      <c r="E96" s="715"/>
      <c r="F96" s="660"/>
      <c r="G96" s="216">
        <f>G97+G98</f>
        <v>0</v>
      </c>
      <c r="H96" s="216">
        <f>H97+H98</f>
        <v>0</v>
      </c>
      <c r="I96" s="216">
        <f>I97+I98</f>
        <v>0</v>
      </c>
      <c r="J96" s="216">
        <f>J97+J98</f>
        <v>0</v>
      </c>
      <c r="K96" s="217">
        <f>K97+K98</f>
        <v>0</v>
      </c>
      <c r="L96" s="128"/>
    </row>
    <row r="97" spans="1:12" s="218" customFormat="1" ht="12" outlineLevel="1">
      <c r="B97" s="219"/>
      <c r="C97" s="219"/>
      <c r="D97" s="220"/>
      <c r="E97" s="701" t="s">
        <v>2194</v>
      </c>
      <c r="F97" s="702"/>
      <c r="G97" s="222">
        <f>'Financial 1'!G97+'Financial 2'!G97+'Financial 3'!G97</f>
        <v>0</v>
      </c>
      <c r="H97" s="223">
        <f>'Financial 1'!H97+'Financial 2'!H97+'Financial 3'!H97</f>
        <v>0</v>
      </c>
      <c r="I97" s="223">
        <f>'Financial 1'!I97+'Financial 2'!I97+'Financial 3'!I97</f>
        <v>0</v>
      </c>
      <c r="J97" s="223">
        <f>'Financial 1'!J97+'Financial 2'!J97+'Financial 3'!J97</f>
        <v>0</v>
      </c>
      <c r="K97" s="224">
        <f>'Financial 1'!K97+'Financial 2'!K97+'Financial 3'!K97</f>
        <v>0</v>
      </c>
      <c r="L97" s="225"/>
    </row>
    <row r="98" spans="1:12" s="218" customFormat="1" ht="12" outlineLevel="1">
      <c r="B98" s="219"/>
      <c r="C98" s="219"/>
      <c r="E98" s="621" t="s">
        <v>2195</v>
      </c>
      <c r="F98" s="622"/>
      <c r="G98" s="227">
        <f>'Financial 1'!G98+'Financial 2'!G98+'Financial 3'!G98</f>
        <v>0</v>
      </c>
      <c r="H98" s="227">
        <f>'Financial 1'!H98+'Financial 2'!H98+'Financial 3'!H98</f>
        <v>0</v>
      </c>
      <c r="I98" s="227">
        <f>'Financial 1'!I98+'Financial 2'!I98+'Financial 3'!I98</f>
        <v>0</v>
      </c>
      <c r="J98" s="227">
        <f>'Financial 1'!J98+'Financial 2'!J98+'Financial 3'!J98</f>
        <v>0</v>
      </c>
      <c r="K98" s="228">
        <f>'Financial 1'!K98+'Financial 2'!K98+'Financial 3'!K98</f>
        <v>0</v>
      </c>
      <c r="L98" s="225"/>
    </row>
    <row r="99" spans="1:12" s="125" customFormat="1" ht="14.25">
      <c r="A99" s="124"/>
      <c r="B99" s="214"/>
      <c r="C99" s="732" t="s">
        <v>2196</v>
      </c>
      <c r="D99" s="733"/>
      <c r="E99" s="733"/>
      <c r="F99" s="734"/>
      <c r="G99" s="273">
        <f>G92-G96</f>
        <v>-1115855192</v>
      </c>
      <c r="H99" s="273">
        <f>H92-H96</f>
        <v>93873730</v>
      </c>
      <c r="I99" s="273">
        <f>I92-I96</f>
        <v>102095997</v>
      </c>
      <c r="J99" s="273">
        <f>J92-J96</f>
        <v>0</v>
      </c>
      <c r="K99" s="274">
        <f>K92-K96</f>
        <v>0</v>
      </c>
      <c r="L99" s="200"/>
    </row>
    <row r="100" spans="1:12" s="125" customFormat="1" ht="12.75">
      <c r="B100" s="214"/>
      <c r="C100" s="732" t="s">
        <v>2197</v>
      </c>
      <c r="D100" s="733"/>
      <c r="E100" s="733"/>
      <c r="F100" s="734"/>
      <c r="G100" s="273">
        <f>G92+G57+G58+G63+G49</f>
        <v>-1089223525</v>
      </c>
      <c r="H100" s="273">
        <f>H92+H57+H58+H63+H49</f>
        <v>124761584</v>
      </c>
      <c r="I100" s="273">
        <f>I92+I57+I58+I63+I49</f>
        <v>156429028</v>
      </c>
      <c r="J100" s="273">
        <f>J92+J57+J58+J63+J49</f>
        <v>0</v>
      </c>
      <c r="K100" s="274">
        <f>K92+K57+K58+K63+K49</f>
        <v>0</v>
      </c>
      <c r="L100" s="200"/>
    </row>
    <row r="101" spans="1:12" ht="14.25" customHeight="1">
      <c r="A101" s="125"/>
      <c r="B101" s="127"/>
      <c r="C101" s="272"/>
      <c r="D101" s="275"/>
      <c r="E101" s="275"/>
      <c r="F101" s="243"/>
      <c r="G101" s="276"/>
      <c r="H101" s="277"/>
      <c r="I101" s="277"/>
      <c r="J101" s="277"/>
      <c r="K101" s="278"/>
      <c r="L101" s="128"/>
    </row>
    <row r="102" spans="1:12" ht="19.5">
      <c r="B102" s="127"/>
      <c r="C102" s="720" t="s">
        <v>2198</v>
      </c>
      <c r="D102" s="721"/>
      <c r="E102" s="721"/>
      <c r="F102" s="721"/>
      <c r="G102" s="721"/>
      <c r="H102" s="721"/>
      <c r="I102" s="721"/>
      <c r="J102" s="721"/>
      <c r="K102" s="722"/>
      <c r="L102" s="128"/>
    </row>
    <row r="103" spans="1:12" ht="17.25" customHeight="1">
      <c r="B103" s="127"/>
      <c r="C103" s="623" t="s">
        <v>2199</v>
      </c>
      <c r="D103" s="624"/>
      <c r="E103" s="624"/>
      <c r="F103" s="625" t="s">
        <v>2200</v>
      </c>
      <c r="G103" s="279">
        <f>G6</f>
        <v>43921</v>
      </c>
      <c r="H103" s="279">
        <f>H6</f>
        <v>44286</v>
      </c>
      <c r="I103" s="279">
        <f>I6</f>
        <v>44651</v>
      </c>
      <c r="J103" s="279">
        <f>J6</f>
        <v>45016</v>
      </c>
      <c r="K103" s="280">
        <f>K6</f>
        <v>45382</v>
      </c>
      <c r="L103" s="128"/>
    </row>
    <row r="104" spans="1:12" ht="15">
      <c r="B104" s="127"/>
      <c r="C104" s="665"/>
      <c r="D104" s="666"/>
      <c r="E104" s="666"/>
      <c r="F104" s="667"/>
      <c r="G104" s="666"/>
      <c r="H104" s="666"/>
      <c r="I104" s="666"/>
      <c r="J104" s="666"/>
      <c r="K104" s="668"/>
      <c r="L104" s="128"/>
    </row>
    <row r="105" spans="1:12" ht="18">
      <c r="B105" s="127"/>
      <c r="C105" s="654" t="s">
        <v>2201</v>
      </c>
      <c r="D105" s="655"/>
      <c r="E105" s="655"/>
      <c r="F105" s="655"/>
      <c r="G105" s="655"/>
      <c r="H105" s="655"/>
      <c r="I105" s="655"/>
      <c r="J105" s="655"/>
      <c r="K105" s="656"/>
      <c r="L105" s="128"/>
    </row>
    <row r="106" spans="1:12" ht="17.25" customHeight="1">
      <c r="B106" s="127"/>
      <c r="C106" s="644" t="s">
        <v>2202</v>
      </c>
      <c r="D106" s="645"/>
      <c r="E106" s="645"/>
      <c r="F106" s="645"/>
      <c r="G106" s="281"/>
      <c r="H106" s="282"/>
      <c r="I106" s="282"/>
      <c r="J106" s="282"/>
      <c r="K106" s="283"/>
      <c r="L106" s="128"/>
    </row>
    <row r="107" spans="1:12" ht="17.25" customHeight="1">
      <c r="B107" s="127"/>
      <c r="C107" s="284"/>
      <c r="D107" s="697" t="s">
        <v>2203</v>
      </c>
      <c r="E107" s="697"/>
      <c r="F107" s="698"/>
      <c r="G107" s="229">
        <f>SUM(G108:G112)</f>
        <v>100000</v>
      </c>
      <c r="H107" s="229">
        <f>SUM(H108:H112)</f>
        <v>2100000</v>
      </c>
      <c r="I107" s="229">
        <f>SUM(I108:I112)</f>
        <v>2100000</v>
      </c>
      <c r="J107" s="229">
        <f>SUM(J108:J112)</f>
        <v>0</v>
      </c>
      <c r="K107" s="230">
        <f>SUM(K108:K112)</f>
        <v>0</v>
      </c>
      <c r="L107" s="128"/>
    </row>
    <row r="108" spans="1:12" s="218" customFormat="1" ht="12" outlineLevel="1">
      <c r="B108" s="219"/>
      <c r="C108" s="618"/>
      <c r="D108" s="220"/>
      <c r="E108" s="616" t="s">
        <v>2204</v>
      </c>
      <c r="F108" s="617"/>
      <c r="G108" s="222">
        <f>'Financial 1'!G108+'Financial 2'!G108+'Financial 3'!G108</f>
        <v>100000</v>
      </c>
      <c r="H108" s="223">
        <f>'Financial 1'!H108+'Financial 2'!H108+'Financial 3'!H108</f>
        <v>2100000</v>
      </c>
      <c r="I108" s="223">
        <f>'Financial 1'!I108+'Financial 2'!I108+'Financial 3'!I108</f>
        <v>2100000</v>
      </c>
      <c r="J108" s="223">
        <f>'Financial 1'!J108+'Financial 2'!J108+'Financial 3'!J108</f>
        <v>0</v>
      </c>
      <c r="K108" s="224">
        <f>'Financial 1'!K108+'Financial 2'!K108+'Financial 3'!K108</f>
        <v>0</v>
      </c>
      <c r="L108" s="225"/>
    </row>
    <row r="109" spans="1:12" s="218" customFormat="1" ht="12" outlineLevel="1">
      <c r="B109" s="219"/>
      <c r="C109" s="618"/>
      <c r="E109" s="621" t="s">
        <v>2205</v>
      </c>
      <c r="F109" s="622"/>
      <c r="G109" s="227">
        <f>'Financial 1'!G109+'Financial 2'!G109+'Financial 3'!G109</f>
        <v>0</v>
      </c>
      <c r="H109" s="227">
        <f>'Financial 1'!H109+'Financial 2'!H109+'Financial 3'!H109</f>
        <v>0</v>
      </c>
      <c r="I109" s="227">
        <f>'Financial 1'!I109+'Financial 2'!I109+'Financial 3'!I109</f>
        <v>0</v>
      </c>
      <c r="J109" s="227">
        <f>'Financial 1'!J109+'Financial 2'!J109+'Financial 3'!J109</f>
        <v>0</v>
      </c>
      <c r="K109" s="228">
        <f>'Financial 1'!K109+'Financial 2'!K109+'Financial 3'!K109</f>
        <v>0</v>
      </c>
      <c r="L109" s="225"/>
    </row>
    <row r="110" spans="1:12" s="218" customFormat="1" ht="12" outlineLevel="1">
      <c r="B110" s="219"/>
      <c r="C110" s="618"/>
      <c r="E110" s="621" t="s">
        <v>2206</v>
      </c>
      <c r="F110" s="622"/>
      <c r="G110" s="227">
        <f>'Financial 1'!G110+'Financial 2'!G110+'Financial 3'!G110</f>
        <v>0</v>
      </c>
      <c r="H110" s="227">
        <f>'Financial 1'!H110+'Financial 2'!H110+'Financial 3'!H110</f>
        <v>0</v>
      </c>
      <c r="I110" s="227">
        <f>'Financial 1'!I110+'Financial 2'!I110+'Financial 3'!I110</f>
        <v>0</v>
      </c>
      <c r="J110" s="227">
        <f>'Financial 1'!J110+'Financial 2'!J110+'Financial 3'!J110</f>
        <v>0</v>
      </c>
      <c r="K110" s="228">
        <f>'Financial 1'!K110+'Financial 2'!K110+'Financial 3'!K110</f>
        <v>0</v>
      </c>
      <c r="L110" s="225"/>
    </row>
    <row r="111" spans="1:12" s="218" customFormat="1" ht="12" outlineLevel="1">
      <c r="B111" s="219"/>
      <c r="C111" s="618"/>
      <c r="E111" s="621" t="s">
        <v>2207</v>
      </c>
      <c r="F111" s="622"/>
      <c r="G111" s="227">
        <f>'Financial 1'!G111+'Financial 2'!G111+'Financial 3'!G111</f>
        <v>0</v>
      </c>
      <c r="H111" s="227">
        <f>'Financial 1'!H111+'Financial 2'!H111+'Financial 3'!H111</f>
        <v>0</v>
      </c>
      <c r="I111" s="227">
        <f>'Financial 1'!I111+'Financial 2'!I111+'Financial 3'!I111</f>
        <v>0</v>
      </c>
      <c r="J111" s="227">
        <f>'Financial 1'!J111+'Financial 2'!J111+'Financial 3'!J111</f>
        <v>0</v>
      </c>
      <c r="K111" s="228">
        <f>'Financial 1'!K111+'Financial 2'!K111+'Financial 3'!K111</f>
        <v>0</v>
      </c>
      <c r="L111" s="225"/>
    </row>
    <row r="112" spans="1:12" s="218" customFormat="1" ht="12" outlineLevel="1">
      <c r="B112" s="219"/>
      <c r="C112" s="618"/>
      <c r="E112" s="621" t="s">
        <v>2208</v>
      </c>
      <c r="F112" s="622"/>
      <c r="G112" s="227">
        <f>'Financial 1'!G112+'Financial 2'!G112+'Financial 3'!G112</f>
        <v>0</v>
      </c>
      <c r="H112" s="227">
        <f>'Financial 1'!H112+'Financial 2'!H112+'Financial 3'!H112</f>
        <v>0</v>
      </c>
      <c r="I112" s="227">
        <f>'Financial 1'!I112+'Financial 2'!I112+'Financial 3'!I112</f>
        <v>0</v>
      </c>
      <c r="J112" s="227">
        <f>'Financial 1'!J112+'Financial 2'!J112+'Financial 3'!J112</f>
        <v>0</v>
      </c>
      <c r="K112" s="228">
        <f>'Financial 1'!K112+'Financial 2'!K112+'Financial 3'!K112</f>
        <v>0</v>
      </c>
      <c r="L112" s="225"/>
    </row>
    <row r="113" spans="1:13" s="125" customFormat="1" ht="12.75">
      <c r="B113" s="214"/>
      <c r="C113" s="618"/>
      <c r="D113" s="611" t="s">
        <v>2209</v>
      </c>
      <c r="E113" s="612"/>
      <c r="F113" s="613"/>
      <c r="G113" s="229">
        <f>SUM(G114:G118)</f>
        <v>262057123</v>
      </c>
      <c r="H113" s="229">
        <f>SUM(H114:H118)</f>
        <v>354095336</v>
      </c>
      <c r="I113" s="229">
        <f>SUM(I114:I118)</f>
        <v>456492358</v>
      </c>
      <c r="J113" s="229">
        <f>SUM(J114:J118)</f>
        <v>0</v>
      </c>
      <c r="K113" s="230">
        <f>SUM(K114:K118)</f>
        <v>0</v>
      </c>
      <c r="L113" s="200"/>
    </row>
    <row r="114" spans="1:13" s="218" customFormat="1" ht="12" outlineLevel="1">
      <c r="B114" s="219"/>
      <c r="C114" s="618"/>
      <c r="D114" s="220"/>
      <c r="E114" s="701" t="s">
        <v>2210</v>
      </c>
      <c r="F114" s="702"/>
      <c r="G114" s="222">
        <f>'Financial 1'!G114+'Financial 2'!G114+'Financial 3'!G114</f>
        <v>262057123</v>
      </c>
      <c r="H114" s="223">
        <f>'Financial 1'!H114+'Financial 2'!H114+'Financial 3'!H114</f>
        <v>354095336</v>
      </c>
      <c r="I114" s="223">
        <f>'Financial 1'!I114+'Financial 2'!I114+'Financial 3'!I114</f>
        <v>456492358</v>
      </c>
      <c r="J114" s="223">
        <f>'Financial 1'!J114+'Financial 2'!J114+'Financial 3'!J114</f>
        <v>0</v>
      </c>
      <c r="K114" s="224">
        <f>'Financial 1'!K114+'Financial 2'!K114+'Financial 3'!K114</f>
        <v>0</v>
      </c>
      <c r="L114" s="225"/>
      <c r="M114" s="227"/>
    </row>
    <row r="115" spans="1:13" s="218" customFormat="1" ht="12" outlineLevel="1">
      <c r="B115" s="219"/>
      <c r="C115" s="618"/>
      <c r="E115" s="621" t="s">
        <v>2211</v>
      </c>
      <c r="F115" s="622"/>
      <c r="G115" s="227">
        <f>'Financial 1'!G115+'Financial 2'!G115+'Financial 3'!G115</f>
        <v>0</v>
      </c>
      <c r="H115" s="227">
        <f>'Financial 1'!H115+'Financial 2'!H115+'Financial 3'!H115</f>
        <v>0</v>
      </c>
      <c r="I115" s="227">
        <f>'Financial 1'!I115+'Financial 2'!I115+'Financial 3'!I115</f>
        <v>0</v>
      </c>
      <c r="J115" s="227">
        <f>'Financial 1'!J115+'Financial 2'!J115+'Financial 3'!J115</f>
        <v>0</v>
      </c>
      <c r="K115" s="228">
        <f>'Financial 1'!K115+'Financial 2'!K115+'Financial 3'!K115</f>
        <v>0</v>
      </c>
      <c r="L115" s="225"/>
    </row>
    <row r="116" spans="1:13" s="218" customFormat="1" ht="12" outlineLevel="1">
      <c r="B116" s="219"/>
      <c r="C116" s="618"/>
      <c r="E116" s="626" t="s">
        <v>2212</v>
      </c>
      <c r="F116" s="627"/>
      <c r="G116" s="227">
        <f>'Financial 1'!G116+'Financial 2'!G116+'Financial 3'!G116</f>
        <v>0</v>
      </c>
      <c r="H116" s="227">
        <f>'Financial 1'!H116+'Financial 2'!H116+'Financial 3'!H116</f>
        <v>0</v>
      </c>
      <c r="I116" s="227">
        <f>'Financial 1'!I116+'Financial 2'!I116+'Financial 3'!I116</f>
        <v>0</v>
      </c>
      <c r="J116" s="227">
        <f>'Financial 1'!J116+'Financial 2'!J116+'Financial 3'!J116</f>
        <v>0</v>
      </c>
      <c r="K116" s="228">
        <f>'Financial 1'!K116+'Financial 2'!K116+'Financial 3'!K116</f>
        <v>0</v>
      </c>
      <c r="L116" s="225"/>
    </row>
    <row r="117" spans="1:13" s="218" customFormat="1" ht="12" outlineLevel="1">
      <c r="B117" s="219"/>
      <c r="C117" s="618"/>
      <c r="E117" s="626" t="s">
        <v>2213</v>
      </c>
      <c r="F117" s="627"/>
      <c r="G117" s="227">
        <f>'Financial 1'!G117+'Financial 2'!G117+'Financial 3'!G117</f>
        <v>0</v>
      </c>
      <c r="H117" s="227">
        <f>'Financial 1'!H117+'Financial 2'!H117+'Financial 3'!H117</f>
        <v>0</v>
      </c>
      <c r="I117" s="227">
        <f>'Financial 1'!I117+'Financial 2'!I117+'Financial 3'!I117</f>
        <v>0</v>
      </c>
      <c r="J117" s="227">
        <f>'Financial 1'!J117+'Financial 2'!J117+'Financial 3'!J117</f>
        <v>0</v>
      </c>
      <c r="K117" s="228">
        <f>'Financial 1'!K117+'Financial 2'!K117+'Financial 3'!K117</f>
        <v>0</v>
      </c>
      <c r="L117" s="225"/>
    </row>
    <row r="118" spans="1:13" s="218" customFormat="1" ht="12" outlineLevel="1">
      <c r="B118" s="219"/>
      <c r="C118" s="686"/>
      <c r="D118" s="241"/>
      <c r="E118" s="663" t="s">
        <v>2214</v>
      </c>
      <c r="F118" s="664"/>
      <c r="G118" s="231">
        <f>'Financial 1'!G118+'Financial 2'!G118+'Financial 3'!G118</f>
        <v>0</v>
      </c>
      <c r="H118" s="231">
        <f>'Financial 1'!H118+'Financial 2'!H118+'Financial 3'!H118</f>
        <v>0</v>
      </c>
      <c r="I118" s="231">
        <f>'Financial 1'!I118+'Financial 2'!I118+'Financial 3'!I118</f>
        <v>0</v>
      </c>
      <c r="J118" s="231">
        <f>'Financial 1'!J118+'Financial 2'!J118+'Financial 3'!J118</f>
        <v>0</v>
      </c>
      <c r="K118" s="232">
        <f>'Financial 1'!K118+'Financial 2'!K118+'Financial 3'!K118</f>
        <v>0</v>
      </c>
      <c r="L118" s="225"/>
    </row>
    <row r="119" spans="1:13" ht="17.25" customHeight="1">
      <c r="A119" s="125"/>
      <c r="B119" s="127"/>
      <c r="C119" s="609" t="s">
        <v>2215</v>
      </c>
      <c r="D119" s="610"/>
      <c r="E119" s="610"/>
      <c r="F119" s="610"/>
      <c r="G119" s="233">
        <f>SUM(G107,G113)</f>
        <v>262157123</v>
      </c>
      <c r="H119" s="233">
        <f>SUM(H107,H113)</f>
        <v>356195336</v>
      </c>
      <c r="I119" s="233">
        <f>SUM(I107,I113)</f>
        <v>458592358</v>
      </c>
      <c r="J119" s="233">
        <f>SUM(J107,J113)</f>
        <v>0</v>
      </c>
      <c r="K119" s="234">
        <f>SUM(K107,K113)</f>
        <v>0</v>
      </c>
      <c r="L119" s="128"/>
    </row>
    <row r="120" spans="1:13" s="125" customFormat="1" ht="7.5" customHeight="1">
      <c r="A120" s="124"/>
      <c r="B120" s="214"/>
      <c r="C120" s="618"/>
      <c r="D120" s="619"/>
      <c r="E120" s="619"/>
      <c r="F120" s="619"/>
      <c r="G120" s="619"/>
      <c r="H120" s="619"/>
      <c r="I120" s="619"/>
      <c r="J120" s="619"/>
      <c r="K120" s="662"/>
      <c r="L120" s="200"/>
    </row>
    <row r="121" spans="1:13" ht="17.25" customHeight="1">
      <c r="A121" s="285"/>
      <c r="B121" s="127"/>
      <c r="C121" s="609" t="s">
        <v>2216</v>
      </c>
      <c r="D121" s="610"/>
      <c r="E121" s="610"/>
      <c r="F121" s="610" t="s">
        <v>2217</v>
      </c>
      <c r="G121" s="233">
        <f>G119-G116+G129+G149-G160-G180-G201</f>
        <v>262157123</v>
      </c>
      <c r="H121" s="233">
        <f>H119-H116+H129+H149-H160-H180-H201</f>
        <v>356195336</v>
      </c>
      <c r="I121" s="233">
        <f>I119-I116+I129+I149-I160-I180-I201</f>
        <v>458592358</v>
      </c>
      <c r="J121" s="233">
        <f>J119-J116+J129+J149-J160-J180-J201</f>
        <v>0</v>
      </c>
      <c r="K121" s="234">
        <f>K119-K116+K129+K149-K160-K180-K201</f>
        <v>0</v>
      </c>
      <c r="L121" s="128"/>
    </row>
    <row r="122" spans="1:13" ht="7.5" customHeight="1">
      <c r="B122" s="127"/>
      <c r="C122" s="671"/>
      <c r="D122" s="672"/>
      <c r="E122" s="672"/>
      <c r="F122" s="672"/>
      <c r="G122" s="672"/>
      <c r="H122" s="672"/>
      <c r="I122" s="672"/>
      <c r="J122" s="672"/>
      <c r="K122" s="673"/>
      <c r="L122" s="128"/>
    </row>
    <row r="123" spans="1:13" ht="17.25" customHeight="1">
      <c r="B123" s="127"/>
      <c r="C123" s="689" t="s">
        <v>2218</v>
      </c>
      <c r="D123" s="690"/>
      <c r="E123" s="690"/>
      <c r="F123" s="690"/>
      <c r="G123" s="286"/>
      <c r="H123" s="287"/>
      <c r="I123" s="287"/>
      <c r="J123" s="287"/>
      <c r="K123" s="288"/>
      <c r="L123" s="128"/>
    </row>
    <row r="124" spans="1:13" ht="17.25" customHeight="1">
      <c r="B124" s="127"/>
      <c r="C124" s="689" t="s">
        <v>2219</v>
      </c>
      <c r="D124" s="690"/>
      <c r="E124" s="690"/>
      <c r="F124" s="690"/>
      <c r="G124" s="286"/>
      <c r="H124" s="287"/>
      <c r="I124" s="287"/>
      <c r="J124" s="287"/>
      <c r="K124" s="288"/>
      <c r="L124" s="128"/>
    </row>
    <row r="125" spans="1:13" s="125" customFormat="1" ht="14.25">
      <c r="A125" s="124"/>
      <c r="B125" s="214"/>
      <c r="C125" s="252"/>
      <c r="D125" s="611" t="s">
        <v>2220</v>
      </c>
      <c r="E125" s="612"/>
      <c r="F125" s="613"/>
      <c r="G125" s="229">
        <f>SUM(G126:G132)</f>
        <v>48892515</v>
      </c>
      <c r="H125" s="229">
        <f>SUM(H126:H132)</f>
        <v>107601659</v>
      </c>
      <c r="I125" s="229">
        <f>SUM(I126:I132)</f>
        <v>146544823</v>
      </c>
      <c r="J125" s="229">
        <f>SUM(J126:J132)</f>
        <v>0</v>
      </c>
      <c r="K125" s="230">
        <f>SUM(K126:K132)</f>
        <v>0</v>
      </c>
      <c r="L125" s="200"/>
    </row>
    <row r="126" spans="1:13" s="218" customFormat="1" ht="14.25" customHeight="1" outlineLevel="1">
      <c r="A126" s="125"/>
      <c r="B126" s="219"/>
      <c r="C126" s="252"/>
      <c r="D126" s="220"/>
      <c r="E126" s="616" t="s">
        <v>2221</v>
      </c>
      <c r="F126" s="617"/>
      <c r="G126" s="222">
        <f>'Financial 1'!G126+'Financial 2'!G126+'Financial 3'!G126</f>
        <v>47592515</v>
      </c>
      <c r="H126" s="223">
        <f>'Financial 1'!H126+'Financial 2'!H126+'Financial 3'!H126</f>
        <v>107601659</v>
      </c>
      <c r="I126" s="223">
        <f>'Financial 1'!I126+'Financial 2'!I126+'Financial 3'!I126</f>
        <v>146544823</v>
      </c>
      <c r="J126" s="223">
        <f>'Financial 1'!J126+'Financial 2'!J126+'Financial 3'!J126</f>
        <v>0</v>
      </c>
      <c r="K126" s="224">
        <f>'Financial 1'!K126+'Financial 2'!K126+'Financial 3'!K126</f>
        <v>0</v>
      </c>
      <c r="L126" s="225"/>
    </row>
    <row r="127" spans="1:13" s="218" customFormat="1" ht="14.25" customHeight="1" outlineLevel="1">
      <c r="B127" s="219"/>
      <c r="C127" s="252"/>
      <c r="E127" s="626" t="s">
        <v>2222</v>
      </c>
      <c r="F127" s="627"/>
      <c r="G127" s="227">
        <f>'Financial 1'!G127+'Financial 2'!G127+'Financial 3'!G127</f>
        <v>0</v>
      </c>
      <c r="H127" s="227">
        <f>'Financial 1'!H127+'Financial 2'!H127+'Financial 3'!H127</f>
        <v>0</v>
      </c>
      <c r="I127" s="227">
        <f>'Financial 1'!I127+'Financial 2'!I127+'Financial 3'!I127</f>
        <v>0</v>
      </c>
      <c r="J127" s="227">
        <f>'Financial 1'!J127+'Financial 2'!J127+'Financial 3'!J127</f>
        <v>0</v>
      </c>
      <c r="K127" s="228">
        <f>'Financial 1'!K127+'Financial 2'!K127+'Financial 3'!K127</f>
        <v>0</v>
      </c>
      <c r="L127" s="225"/>
    </row>
    <row r="128" spans="1:13" s="218" customFormat="1" ht="14.25" customHeight="1" outlineLevel="1">
      <c r="B128" s="219"/>
      <c r="C128" s="252"/>
      <c r="E128" s="626" t="s">
        <v>2223</v>
      </c>
      <c r="F128" s="627"/>
      <c r="G128" s="227">
        <f>'Financial 1'!G128+'Financial 2'!G128+'Financial 3'!G128</f>
        <v>0</v>
      </c>
      <c r="H128" s="227">
        <f>'Financial 1'!H128+'Financial 2'!H128+'Financial 3'!H128</f>
        <v>0</v>
      </c>
      <c r="I128" s="227">
        <f>'Financial 1'!I128+'Financial 2'!I128+'Financial 3'!I128</f>
        <v>0</v>
      </c>
      <c r="J128" s="227">
        <f>'Financial 1'!J128+'Financial 2'!J128+'Financial 3'!J128</f>
        <v>0</v>
      </c>
      <c r="K128" s="228">
        <f>'Financial 1'!K128+'Financial 2'!K128+'Financial 3'!K128</f>
        <v>0</v>
      </c>
      <c r="L128" s="225"/>
    </row>
    <row r="129" spans="1:13" s="125" customFormat="1" ht="12.75" outlineLevel="1">
      <c r="B129" s="289"/>
      <c r="C129" s="214"/>
      <c r="E129" s="626" t="s">
        <v>2224</v>
      </c>
      <c r="F129" s="627"/>
      <c r="G129" s="227">
        <f>'Financial 1'!G129+'Financial 2'!G129+'Financial 3'!G129</f>
        <v>0</v>
      </c>
      <c r="H129" s="227">
        <f>'Financial 1'!H129+'Financial 2'!H129+'Financial 3'!H129</f>
        <v>0</v>
      </c>
      <c r="I129" s="227">
        <f>'Financial 1'!I129+'Financial 2'!I129+'Financial 3'!I129</f>
        <v>0</v>
      </c>
      <c r="J129" s="227">
        <f>'Financial 1'!J129+'Financial 2'!J129+'Financial 3'!J129</f>
        <v>0</v>
      </c>
      <c r="K129" s="228">
        <f>'Financial 1'!K129+'Financial 2'!K129+'Financial 3'!K129</f>
        <v>0</v>
      </c>
      <c r="L129" s="200"/>
    </row>
    <row r="130" spans="1:13" s="218" customFormat="1" ht="14.25" customHeight="1" outlineLevel="1">
      <c r="B130" s="219"/>
      <c r="C130" s="252"/>
      <c r="E130" s="626" t="s">
        <v>2225</v>
      </c>
      <c r="F130" s="627"/>
      <c r="G130" s="227">
        <f>'Financial 1'!G130+'Financial 2'!G130+'Financial 3'!G130</f>
        <v>1300000</v>
      </c>
      <c r="H130" s="227">
        <f>'Financial 1'!H130+'Financial 2'!H130+'Financial 3'!H130</f>
        <v>0</v>
      </c>
      <c r="I130" s="227">
        <f>'Financial 1'!I130+'Financial 2'!I130+'Financial 3'!I130</f>
        <v>0</v>
      </c>
      <c r="J130" s="227">
        <f>'Financial 1'!J130+'Financial 2'!J130+'Financial 3'!J130</f>
        <v>0</v>
      </c>
      <c r="K130" s="228">
        <f>'Financial 1'!K130+'Financial 2'!K130+'Financial 3'!K130</f>
        <v>0</v>
      </c>
      <c r="L130" s="225"/>
      <c r="M130" s="125"/>
    </row>
    <row r="131" spans="1:13" s="218" customFormat="1" ht="14.25" customHeight="1" outlineLevel="1">
      <c r="B131" s="219"/>
      <c r="C131" s="252"/>
      <c r="E131" s="626" t="s">
        <v>2226</v>
      </c>
      <c r="F131" s="627"/>
      <c r="G131" s="227">
        <f>'Financial 1'!G131+'Financial 2'!G131+'Financial 3'!G131</f>
        <v>0</v>
      </c>
      <c r="H131" s="227">
        <f>'Financial 1'!H131+'Financial 2'!H131+'Financial 3'!H131</f>
        <v>0</v>
      </c>
      <c r="I131" s="227">
        <f>'Financial 1'!I131+'Financial 2'!I131+'Financial 3'!I131</f>
        <v>0</v>
      </c>
      <c r="J131" s="227">
        <f>'Financial 1'!J131+'Financial 2'!J131+'Financial 3'!J131</f>
        <v>0</v>
      </c>
      <c r="K131" s="228">
        <f>'Financial 1'!K131+'Financial 2'!K131+'Financial 3'!K131</f>
        <v>0</v>
      </c>
      <c r="L131" s="225"/>
      <c r="M131" s="125"/>
    </row>
    <row r="132" spans="1:13" s="125" customFormat="1" ht="14.25" outlineLevel="1">
      <c r="B132" s="214"/>
      <c r="C132" s="252"/>
      <c r="E132" s="626" t="s">
        <v>2227</v>
      </c>
      <c r="F132" s="627"/>
      <c r="G132" s="227">
        <f>'Financial 1'!G132+'Financial 2'!G132+'Financial 3'!G132</f>
        <v>0</v>
      </c>
      <c r="H132" s="227">
        <f>'Financial 1'!H132+'Financial 2'!H132+'Financial 3'!H132</f>
        <v>0</v>
      </c>
      <c r="I132" s="227">
        <f>'Financial 1'!I132+'Financial 2'!I132+'Financial 3'!I132</f>
        <v>0</v>
      </c>
      <c r="J132" s="227">
        <f>'Financial 1'!J132+'Financial 2'!J132+'Financial 3'!J132</f>
        <v>0</v>
      </c>
      <c r="K132" s="228">
        <f>'Financial 1'!K132+'Financial 2'!K132+'Financial 3'!K132</f>
        <v>0</v>
      </c>
      <c r="L132" s="200"/>
    </row>
    <row r="133" spans="1:13" s="125" customFormat="1" ht="14.25">
      <c r="A133" s="218"/>
      <c r="B133" s="214"/>
      <c r="C133" s="252"/>
      <c r="D133" s="611" t="s">
        <v>2228</v>
      </c>
      <c r="E133" s="612"/>
      <c r="F133" s="613"/>
      <c r="G133" s="227">
        <f>'Financial 1'!G133+'Financial 2'!G133+'Financial 3'!G133</f>
        <v>0</v>
      </c>
      <c r="H133" s="227">
        <f>'Financial 1'!H133+'Financial 2'!H133+'Financial 3'!H133</f>
        <v>0</v>
      </c>
      <c r="I133" s="227">
        <f>'Financial 1'!I133+'Financial 2'!I133+'Financial 3'!I133</f>
        <v>413930</v>
      </c>
      <c r="J133" s="227">
        <f>'Financial 1'!J133+'Financial 2'!J133+'Financial 3'!J133</f>
        <v>0</v>
      </c>
      <c r="K133" s="228">
        <f>'Financial 1'!K133+'Financial 2'!K133+'Financial 3'!K133</f>
        <v>0</v>
      </c>
      <c r="L133" s="200"/>
    </row>
    <row r="134" spans="1:13" s="125" customFormat="1" ht="14.25">
      <c r="B134" s="214"/>
      <c r="C134" s="252"/>
      <c r="D134" s="646" t="s">
        <v>2229</v>
      </c>
      <c r="E134" s="647"/>
      <c r="F134" s="648"/>
      <c r="G134" s="290">
        <f>SUM(G135:G136)</f>
        <v>9736267</v>
      </c>
      <c r="H134" s="290">
        <f>SUM(H135:H136)</f>
        <v>12015528</v>
      </c>
      <c r="I134" s="290">
        <f>SUM(I135:I136)</f>
        <v>13003417</v>
      </c>
      <c r="J134" s="290">
        <f>SUM(J135:J136)</f>
        <v>0</v>
      </c>
      <c r="K134" s="291">
        <f>SUM(K135:K136)</f>
        <v>0</v>
      </c>
      <c r="L134" s="200"/>
    </row>
    <row r="135" spans="1:13" s="125" customFormat="1" ht="14.25">
      <c r="B135" s="214"/>
      <c r="C135" s="252"/>
      <c r="D135" s="211"/>
      <c r="E135" s="626" t="s">
        <v>2230</v>
      </c>
      <c r="F135" s="627"/>
      <c r="G135" s="222">
        <f>'Financial 1'!G135+'Financial 2'!G135+'Financial 3'!G135</f>
        <v>9736267</v>
      </c>
      <c r="H135" s="223">
        <f>'Financial 1'!H135+'Financial 2'!H135+'Financial 3'!H135</f>
        <v>12015528</v>
      </c>
      <c r="I135" s="223">
        <f>'Financial 1'!I135+'Financial 2'!I135+'Financial 3'!I135</f>
        <v>13003417</v>
      </c>
      <c r="J135" s="223">
        <f>'Financial 1'!J135+'Financial 2'!J135+'Financial 3'!J135</f>
        <v>0</v>
      </c>
      <c r="K135" s="224">
        <f>'Financial 1'!K135+'Financial 2'!K135+'Financial 3'!K135</f>
        <v>0</v>
      </c>
      <c r="L135" s="200"/>
    </row>
    <row r="136" spans="1:13" s="125" customFormat="1" ht="16.5" customHeight="1">
      <c r="B136" s="214"/>
      <c r="C136" s="252"/>
      <c r="D136" s="211"/>
      <c r="E136" s="626" t="s">
        <v>2231</v>
      </c>
      <c r="F136" s="627"/>
      <c r="G136" s="227">
        <f>'Financial 1'!G136+'Financial 2'!G136+'Financial 3'!G136</f>
        <v>0</v>
      </c>
      <c r="H136" s="227">
        <f>'Financial 1'!H136+'Financial 2'!H136+'Financial 3'!H136</f>
        <v>0</v>
      </c>
      <c r="I136" s="227">
        <f>'Financial 1'!I136+'Financial 2'!I136+'Financial 3'!I136</f>
        <v>0</v>
      </c>
      <c r="J136" s="227">
        <f>'Financial 1'!J136+'Financial 2'!J136+'Financial 3'!J136</f>
        <v>0</v>
      </c>
      <c r="K136" s="228">
        <f>'Financial 1'!K136+'Financial 2'!K136+'Financial 3'!K136</f>
        <v>0</v>
      </c>
      <c r="L136" s="200"/>
    </row>
    <row r="137" spans="1:13" s="125" customFormat="1" ht="14.25">
      <c r="B137" s="214"/>
      <c r="C137" s="252"/>
      <c r="D137" s="611" t="s">
        <v>2232</v>
      </c>
      <c r="E137" s="612"/>
      <c r="F137" s="613"/>
      <c r="G137" s="212">
        <f>SUM(G138:G139)</f>
        <v>0</v>
      </c>
      <c r="H137" s="212">
        <f>SUM(H138:H139)</f>
        <v>0</v>
      </c>
      <c r="I137" s="229">
        <f>SUM(I138:I139)</f>
        <v>0</v>
      </c>
      <c r="J137" s="212">
        <f>SUM(J138:J139)</f>
        <v>0</v>
      </c>
      <c r="K137" s="213">
        <f>SUM(K138:K139)</f>
        <v>0</v>
      </c>
      <c r="L137" s="200"/>
    </row>
    <row r="138" spans="1:13" s="125" customFormat="1" ht="14.25" outlineLevel="1">
      <c r="B138" s="214"/>
      <c r="C138" s="252"/>
      <c r="D138" s="220"/>
      <c r="E138" s="616" t="s">
        <v>2233</v>
      </c>
      <c r="F138" s="617"/>
      <c r="G138" s="222">
        <f>'Financial 1'!G138+'Financial 2'!G138+'Financial 3'!G138</f>
        <v>0</v>
      </c>
      <c r="H138" s="223">
        <f>'Financial 1'!H138+'Financial 2'!H138+'Financial 3'!H138</f>
        <v>0</v>
      </c>
      <c r="I138" s="223">
        <f>'Financial 1'!I138+'Financial 2'!I138+'Financial 3'!I138</f>
        <v>0</v>
      </c>
      <c r="J138" s="223">
        <f>'Financial 1'!J138+'Financial 2'!J138+'Financial 3'!J138</f>
        <v>0</v>
      </c>
      <c r="K138" s="224">
        <f>'Financial 1'!K138+'Financial 2'!K138+'Financial 3'!K138</f>
        <v>0</v>
      </c>
      <c r="L138" s="200"/>
    </row>
    <row r="139" spans="1:13" s="218" customFormat="1" ht="14.25" customHeight="1" outlineLevel="1">
      <c r="B139" s="219"/>
      <c r="C139" s="252"/>
      <c r="E139" s="626" t="s">
        <v>2234</v>
      </c>
      <c r="F139" s="627"/>
      <c r="G139" s="227">
        <f>'Financial 1'!G139+'Financial 2'!G139+'Financial 3'!G139</f>
        <v>0</v>
      </c>
      <c r="H139" s="227">
        <f>'Financial 1'!H139+'Financial 2'!H139+'Financial 3'!H139</f>
        <v>0</v>
      </c>
      <c r="I139" s="227">
        <f>'Financial 1'!I139+'Financial 2'!I139+'Financial 3'!I139</f>
        <v>0</v>
      </c>
      <c r="J139" s="227">
        <f>'Financial 1'!J139+'Financial 2'!J139+'Financial 3'!J139</f>
        <v>0</v>
      </c>
      <c r="K139" s="228">
        <f>'Financial 1'!K139+'Financial 2'!K139+'Financial 3'!K139</f>
        <v>0</v>
      </c>
      <c r="L139" s="225"/>
    </row>
    <row r="140" spans="1:13" s="125" customFormat="1" ht="14.25">
      <c r="B140" s="214"/>
      <c r="C140" s="292"/>
      <c r="D140" s="646" t="s">
        <v>2235</v>
      </c>
      <c r="E140" s="647"/>
      <c r="F140" s="648"/>
      <c r="G140" s="231">
        <f>'Financial 1'!G140+'Financial 2'!G140+'Financial 3'!G140</f>
        <v>0</v>
      </c>
      <c r="H140" s="231">
        <f>'Financial 1'!H140+'Financial 2'!H140+'Financial 3'!H140</f>
        <v>0</v>
      </c>
      <c r="I140" s="231">
        <f>'Financial 1'!I140+'Financial 2'!I140+'Financial 3'!I140</f>
        <v>0</v>
      </c>
      <c r="J140" s="231">
        <f>'Financial 1'!J140+'Financial 2'!J140+'Financial 3'!J140</f>
        <v>0</v>
      </c>
      <c r="K140" s="232">
        <f>'Financial 1'!K140+'Financial 2'!K140+'Financial 3'!K140</f>
        <v>0</v>
      </c>
      <c r="L140" s="200"/>
    </row>
    <row r="141" spans="1:13" ht="17.25" customHeight="1">
      <c r="A141" s="125"/>
      <c r="B141" s="127"/>
      <c r="C141" s="682" t="s">
        <v>2236</v>
      </c>
      <c r="D141" s="683"/>
      <c r="E141" s="683"/>
      <c r="F141" s="683"/>
      <c r="G141" s="256">
        <f>G125+G133+G134+G137+G140</f>
        <v>58628782</v>
      </c>
      <c r="H141" s="256">
        <f>H125+H133+H134+H137+H140</f>
        <v>119617187</v>
      </c>
      <c r="I141" s="256">
        <f>I125+I133+I134+I137+I140</f>
        <v>159962170</v>
      </c>
      <c r="J141" s="256">
        <f>SUM(J133,J134,J137,J140,J125)</f>
        <v>0</v>
      </c>
      <c r="K141" s="259">
        <f>SUM(K133:K140,K125)</f>
        <v>0</v>
      </c>
      <c r="L141" s="128"/>
    </row>
    <row r="142" spans="1:13" ht="7.5" customHeight="1">
      <c r="B142" s="127"/>
      <c r="C142" s="671"/>
      <c r="D142" s="672"/>
      <c r="E142" s="672"/>
      <c r="F142" s="672"/>
      <c r="G142" s="672"/>
      <c r="H142" s="672"/>
      <c r="I142" s="672"/>
      <c r="J142" s="672"/>
      <c r="K142" s="673"/>
      <c r="L142" s="128"/>
    </row>
    <row r="143" spans="1:13" ht="17.25" customHeight="1">
      <c r="B143" s="127"/>
      <c r="C143" s="689" t="s">
        <v>2237</v>
      </c>
      <c r="D143" s="690"/>
      <c r="E143" s="690"/>
      <c r="F143" s="690"/>
      <c r="G143" s="286"/>
      <c r="H143" s="287"/>
      <c r="I143" s="287"/>
      <c r="J143" s="287"/>
      <c r="K143" s="288"/>
      <c r="L143" s="128"/>
    </row>
    <row r="144" spans="1:13" s="125" customFormat="1" ht="14.25">
      <c r="A144" s="124"/>
      <c r="B144" s="214"/>
      <c r="C144" s="689"/>
      <c r="D144" s="611" t="s">
        <v>2238</v>
      </c>
      <c r="E144" s="612"/>
      <c r="F144" s="613"/>
      <c r="G144" s="229">
        <f>SUM(G145:G151)</f>
        <v>59322539</v>
      </c>
      <c r="H144" s="229">
        <f>SUM(H145:H151)</f>
        <v>99693615</v>
      </c>
      <c r="I144" s="229">
        <f>SUM(I145:I151)</f>
        <v>133213744</v>
      </c>
      <c r="J144" s="229">
        <f>SUM(J145:J151)</f>
        <v>0</v>
      </c>
      <c r="K144" s="230">
        <f>SUM(K145:K151)</f>
        <v>0</v>
      </c>
      <c r="L144" s="200"/>
    </row>
    <row r="145" spans="1:12" s="218" customFormat="1" ht="14.25" customHeight="1" outlineLevel="1">
      <c r="B145" s="219"/>
      <c r="C145" s="689"/>
      <c r="D145" s="220"/>
      <c r="E145" s="616" t="s">
        <v>2239</v>
      </c>
      <c r="F145" s="617"/>
      <c r="G145" s="222">
        <f>'Financial 1'!G145+'Financial 2'!G145+'Financial 3'!G145</f>
        <v>16171510</v>
      </c>
      <c r="H145" s="223">
        <f>'Financial 1'!H145+'Financial 2'!H145+'Financial 3'!H145</f>
        <v>89799</v>
      </c>
      <c r="I145" s="223">
        <f>'Financial 1'!I145+'Financial 2'!I145+'Financial 3'!I145</f>
        <v>10000000</v>
      </c>
      <c r="J145" s="223">
        <f>'Financial 1'!J145+'Financial 2'!J145+'Financial 3'!J145</f>
        <v>0</v>
      </c>
      <c r="K145" s="224">
        <f>'Financial 1'!K145+'Financial 2'!K145+'Financial 3'!K145</f>
        <v>0</v>
      </c>
      <c r="L145" s="225"/>
    </row>
    <row r="146" spans="1:12" s="218" customFormat="1" ht="12" outlineLevel="1">
      <c r="B146" s="249"/>
      <c r="C146" s="689"/>
      <c r="E146" s="626" t="s">
        <v>2240</v>
      </c>
      <c r="F146" s="627"/>
      <c r="G146" s="238">
        <f>'Financial 1'!G146+'Financial 2'!G146+'Financial 3'!G146</f>
        <v>43151029</v>
      </c>
      <c r="H146" s="227">
        <f>'Financial 1'!H146+'Financial 2'!H146+'Financial 3'!H146</f>
        <v>65457879</v>
      </c>
      <c r="I146" s="227">
        <f>'Financial 1'!I146+'Financial 2'!I146+'Financial 3'!I146</f>
        <v>83342400</v>
      </c>
      <c r="J146" s="227">
        <f>'Financial 1'!J146+'Financial 2'!J146+'Financial 3'!J146</f>
        <v>0</v>
      </c>
      <c r="K146" s="228">
        <f>'Financial 1'!K146+'Financial 2'!K146+'Financial 3'!K146</f>
        <v>0</v>
      </c>
      <c r="L146" s="225"/>
    </row>
    <row r="147" spans="1:12" s="218" customFormat="1" ht="12" outlineLevel="1">
      <c r="B147" s="249"/>
      <c r="C147" s="689"/>
      <c r="E147" s="626" t="s">
        <v>2241</v>
      </c>
      <c r="F147" s="627"/>
      <c r="G147" s="227">
        <f>'Financial 1'!G147+'Financial 2'!G147+'Financial 3'!G147</f>
        <v>0</v>
      </c>
      <c r="H147" s="227">
        <f>'Financial 1'!H147+'Financial 2'!H147+'Financial 3'!H147</f>
        <v>34145937</v>
      </c>
      <c r="I147" s="227">
        <f>'Financial 1'!I147+'Financial 2'!I147+'Financial 3'!I147</f>
        <v>39871344</v>
      </c>
      <c r="J147" s="227">
        <f>'Financial 1'!J147+'Financial 2'!J147+'Financial 3'!J147</f>
        <v>0</v>
      </c>
      <c r="K147" s="228">
        <f>'Financial 1'!K147+'Financial 2'!K147+'Financial 3'!K147</f>
        <v>0</v>
      </c>
      <c r="L147" s="225"/>
    </row>
    <row r="148" spans="1:12" s="218" customFormat="1" ht="12" outlineLevel="1">
      <c r="B148" s="249"/>
      <c r="C148" s="689"/>
      <c r="E148" s="626" t="s">
        <v>2242</v>
      </c>
      <c r="F148" s="627"/>
      <c r="G148" s="227">
        <f>'Financial 1'!G148+'Financial 2'!G148+'Financial 3'!G148</f>
        <v>0</v>
      </c>
      <c r="H148" s="227">
        <f>'Financial 1'!H148+'Financial 2'!H148+'Financial 3'!H148</f>
        <v>0</v>
      </c>
      <c r="I148" s="227">
        <f>'Financial 1'!I148+'Financial 2'!I148+'Financial 3'!I148</f>
        <v>0</v>
      </c>
      <c r="J148" s="227">
        <f>'Financial 1'!J148+'Financial 2'!J148+'Financial 3'!J148</f>
        <v>0</v>
      </c>
      <c r="K148" s="228">
        <f>'Financial 1'!K148+'Financial 2'!K148+'Financial 3'!K148</f>
        <v>0</v>
      </c>
      <c r="L148" s="225"/>
    </row>
    <row r="149" spans="1:12" s="218" customFormat="1" ht="14.25" customHeight="1" outlineLevel="1">
      <c r="B149" s="219"/>
      <c r="C149" s="689"/>
      <c r="E149" s="621" t="s">
        <v>2243</v>
      </c>
      <c r="F149" s="622"/>
      <c r="G149" s="227">
        <f>'Financial 1'!G149+'Financial 2'!G149+'Financial 3'!G149</f>
        <v>0</v>
      </c>
      <c r="H149" s="227">
        <f>'Financial 1'!H149+'Financial 2'!H149+'Financial 3'!H149</f>
        <v>0</v>
      </c>
      <c r="I149" s="227">
        <f>'Financial 1'!I149+'Financial 2'!I149+'Financial 3'!I149</f>
        <v>0</v>
      </c>
      <c r="J149" s="227">
        <f>'Financial 1'!J149+'Financial 2'!J149+'Financial 3'!J149</f>
        <v>0</v>
      </c>
      <c r="K149" s="228">
        <f>'Financial 1'!K149+'Financial 2'!K149+'Financial 3'!K149</f>
        <v>0</v>
      </c>
      <c r="L149" s="225"/>
    </row>
    <row r="150" spans="1:12" s="218" customFormat="1" ht="14.25" customHeight="1" outlineLevel="1">
      <c r="B150" s="219"/>
      <c r="C150" s="689"/>
      <c r="E150" s="626" t="s">
        <v>2244</v>
      </c>
      <c r="F150" s="627"/>
      <c r="G150" s="227">
        <f>'Financial 1'!G150+'Financial 2'!G150+'Financial 3'!G150</f>
        <v>0</v>
      </c>
      <c r="H150" s="227">
        <f>'Financial 1'!H150+'Financial 2'!H150+'Financial 3'!H150</f>
        <v>0</v>
      </c>
      <c r="I150" s="227">
        <f>'Financial 1'!I150+'Financial 2'!I150+'Financial 3'!I150</f>
        <v>0</v>
      </c>
      <c r="J150" s="227">
        <f>'Financial 1'!J150+'Financial 2'!J150+'Financial 3'!J150</f>
        <v>0</v>
      </c>
      <c r="K150" s="228">
        <f>'Financial 1'!K150+'Financial 2'!K150+'Financial 3'!K150</f>
        <v>0</v>
      </c>
      <c r="L150" s="225"/>
    </row>
    <row r="151" spans="1:12" s="218" customFormat="1" ht="14.25" customHeight="1" outlineLevel="1">
      <c r="B151" s="219"/>
      <c r="C151" s="689"/>
      <c r="E151" s="626" t="s">
        <v>2245</v>
      </c>
      <c r="F151" s="627"/>
      <c r="G151" s="227">
        <f>'Financial 1'!G151+'Financial 2'!G151+'Financial 3'!G151</f>
        <v>0</v>
      </c>
      <c r="H151" s="227">
        <f>'Financial 1'!H151+'Financial 2'!H151+'Financial 3'!H151</f>
        <v>0</v>
      </c>
      <c r="I151" s="227">
        <f>'Financial 1'!I151+'Financial 2'!I151+'Financial 3'!I151</f>
        <v>0</v>
      </c>
      <c r="J151" s="227">
        <f>'Financial 1'!J151+'Financial 2'!J151+'Financial 3'!J151</f>
        <v>0</v>
      </c>
      <c r="K151" s="228">
        <f>'Financial 1'!K151+'Financial 2'!K151+'Financial 3'!K151</f>
        <v>0</v>
      </c>
      <c r="L151" s="225"/>
    </row>
    <row r="152" spans="1:12" s="125" customFormat="1" ht="12.75">
      <c r="A152" s="218"/>
      <c r="B152" s="214"/>
      <c r="C152" s="689"/>
      <c r="D152" s="611" t="s">
        <v>2246</v>
      </c>
      <c r="E152" s="612"/>
      <c r="F152" s="613"/>
      <c r="G152" s="229">
        <f>SUM(G153:G156)</f>
        <v>133329947</v>
      </c>
      <c r="H152" s="229">
        <f>SUM(H153:H156)</f>
        <v>139112913</v>
      </c>
      <c r="I152" s="229">
        <f>SUM(I153:I156)</f>
        <v>214306252</v>
      </c>
      <c r="J152" s="229">
        <f>SUM(J153:J156)</f>
        <v>0</v>
      </c>
      <c r="K152" s="230">
        <f>SUM(K153:K156)</f>
        <v>0</v>
      </c>
      <c r="L152" s="200"/>
    </row>
    <row r="153" spans="1:12" s="218" customFormat="1" ht="12" outlineLevel="1">
      <c r="B153" s="219"/>
      <c r="C153" s="689"/>
      <c r="D153" s="239"/>
      <c r="E153" s="616" t="s">
        <v>2247</v>
      </c>
      <c r="F153" s="617"/>
      <c r="G153" s="222">
        <f>'Financial 1'!G153+'Financial 2'!G153+'Financial 3'!G153</f>
        <v>133329947</v>
      </c>
      <c r="H153" s="223">
        <f>'Financial 1'!H153+'Financial 2'!H153+'Financial 3'!H153</f>
        <v>139112913</v>
      </c>
      <c r="I153" s="223">
        <f>'Financial 1'!I153+'Financial 2'!I153+'Financial 3'!I153</f>
        <v>214306252</v>
      </c>
      <c r="J153" s="223">
        <f>'Financial 1'!J153+'Financial 2'!J153+'Financial 3'!J153</f>
        <v>0</v>
      </c>
      <c r="K153" s="224">
        <f>'Financial 1'!K153+'Financial 2'!K153+'Financial 3'!K153</f>
        <v>0</v>
      </c>
      <c r="L153" s="225"/>
    </row>
    <row r="154" spans="1:12" s="218" customFormat="1" ht="12" outlineLevel="1">
      <c r="B154" s="219"/>
      <c r="C154" s="689"/>
      <c r="E154" s="680" t="s">
        <v>2248</v>
      </c>
      <c r="F154" s="681"/>
      <c r="G154" s="227">
        <f>'Financial 1'!G154+'Financial 2'!G154+'Financial 3'!G154</f>
        <v>0</v>
      </c>
      <c r="H154" s="227">
        <f>'Financial 1'!H154+'Financial 2'!H154+'Financial 3'!H154</f>
        <v>0</v>
      </c>
      <c r="I154" s="227">
        <f>'Financial 1'!I154+'Financial 2'!I154+'Financial 3'!I154</f>
        <v>0</v>
      </c>
      <c r="J154" s="227">
        <f>'Financial 1'!J154+'Financial 2'!J154+'Financial 3'!J154</f>
        <v>0</v>
      </c>
      <c r="K154" s="228">
        <f>'Financial 1'!K154+'Financial 2'!K154+'Financial 3'!K154</f>
        <v>0</v>
      </c>
      <c r="L154" s="225"/>
    </row>
    <row r="155" spans="1:12" s="218" customFormat="1" ht="12" outlineLevel="1">
      <c r="B155" s="219"/>
      <c r="C155" s="689"/>
      <c r="E155" s="693" t="s">
        <v>2249</v>
      </c>
      <c r="F155" s="694"/>
      <c r="G155" s="227">
        <f>'Financial 1'!G155+'Financial 2'!G155+'Financial 3'!G155</f>
        <v>0</v>
      </c>
      <c r="H155" s="227">
        <f>'Financial 1'!H155+'Financial 2'!H155+'Financial 3'!H155</f>
        <v>0</v>
      </c>
      <c r="I155" s="227">
        <f>'Financial 1'!I155+'Financial 2'!I155+'Financial 3'!I155</f>
        <v>0</v>
      </c>
      <c r="J155" s="227">
        <f>'Financial 1'!J155+'Financial 2'!J155+'Financial 3'!J155</f>
        <v>0</v>
      </c>
      <c r="K155" s="228">
        <f>'Financial 1'!K155+'Financial 2'!K155+'Financial 3'!K155</f>
        <v>0</v>
      </c>
      <c r="L155" s="225"/>
    </row>
    <row r="156" spans="1:12" s="218" customFormat="1" ht="12" outlineLevel="1">
      <c r="B156" s="219"/>
      <c r="C156" s="689"/>
      <c r="E156" s="693" t="s">
        <v>2250</v>
      </c>
      <c r="F156" s="694"/>
      <c r="G156" s="227">
        <f>'Financial 1'!G156+'Financial 2'!G156+'Financial 3'!G156</f>
        <v>0</v>
      </c>
      <c r="H156" s="227">
        <f>'Financial 1'!H156+'Financial 2'!H156+'Financial 3'!H156</f>
        <v>0</v>
      </c>
      <c r="I156" s="227">
        <f>'Financial 1'!I156+'Financial 2'!I156+'Financial 3'!I156</f>
        <v>0</v>
      </c>
      <c r="J156" s="227">
        <f>'Financial 1'!J156+'Financial 2'!J156+'Financial 3'!J156</f>
        <v>0</v>
      </c>
      <c r="K156" s="228">
        <f>'Financial 1'!K156+'Financial 2'!K156+'Financial 3'!K156</f>
        <v>0</v>
      </c>
      <c r="L156" s="225"/>
    </row>
    <row r="157" spans="1:12" s="125" customFormat="1" ht="12.75">
      <c r="B157" s="214"/>
      <c r="C157" s="689"/>
      <c r="D157" s="611" t="s">
        <v>2251</v>
      </c>
      <c r="E157" s="612"/>
      <c r="F157" s="613"/>
      <c r="G157" s="227">
        <f>'Financial 1'!G157+'Financial 2'!G157+'Financial 3'!G157</f>
        <v>32467500</v>
      </c>
      <c r="H157" s="227">
        <f>'Financial 1'!H157+'Financial 2'!H157+'Financial 3'!H157</f>
        <v>45403980</v>
      </c>
      <c r="I157" s="227">
        <f>'Financial 1'!I157+'Financial 2'!I157+'Financial 3'!I157</f>
        <v>36414187</v>
      </c>
      <c r="J157" s="227">
        <f>'Financial 1'!J157+'Financial 2'!J157+'Financial 3'!J157</f>
        <v>0</v>
      </c>
      <c r="K157" s="228">
        <f>'Financial 1'!K157+'Financial 2'!K157+'Financial 3'!K157</f>
        <v>0</v>
      </c>
      <c r="L157" s="200"/>
    </row>
    <row r="158" spans="1:12" s="125" customFormat="1" ht="12.75">
      <c r="B158" s="214"/>
      <c r="C158" s="689"/>
      <c r="D158" s="611" t="s">
        <v>2252</v>
      </c>
      <c r="E158" s="612"/>
      <c r="F158" s="613"/>
      <c r="G158" s="229">
        <f>SUM(G159:G161)</f>
        <v>27895687</v>
      </c>
      <c r="H158" s="229">
        <f>SUM(H159:H161)</f>
        <v>38736281</v>
      </c>
      <c r="I158" s="229">
        <f>SUM(I159:I161)</f>
        <v>45890375</v>
      </c>
      <c r="J158" s="229">
        <f>SUM(J159:J161)</f>
        <v>0</v>
      </c>
      <c r="K158" s="230">
        <f>SUM(K159:K161)</f>
        <v>0</v>
      </c>
      <c r="L158" s="200"/>
    </row>
    <row r="159" spans="1:12" s="218" customFormat="1" ht="12" outlineLevel="1">
      <c r="B159" s="219"/>
      <c r="C159" s="689"/>
      <c r="D159" s="239"/>
      <c r="E159" s="616" t="s">
        <v>2253</v>
      </c>
      <c r="F159" s="617"/>
      <c r="G159" s="222">
        <f>'Financial 1'!G159+'Financial 2'!G159+'Financial 3'!G159</f>
        <v>12737668</v>
      </c>
      <c r="H159" s="223">
        <f>'Financial 1'!H159+'Financial 2'!H159+'Financial 3'!H159</f>
        <v>12068540</v>
      </c>
      <c r="I159" s="223">
        <f>'Financial 1'!I159+'Financial 2'!I159+'Financial 3'!I159</f>
        <v>15283944</v>
      </c>
      <c r="J159" s="223">
        <f>'Financial 1'!J159+'Financial 2'!J159+'Financial 3'!J159</f>
        <v>0</v>
      </c>
      <c r="K159" s="224">
        <f>'Financial 1'!K159+'Financial 2'!K159+'Financial 3'!K159</f>
        <v>0</v>
      </c>
      <c r="L159" s="225"/>
    </row>
    <row r="160" spans="1:12" s="218" customFormat="1" ht="12" outlineLevel="1">
      <c r="B160" s="219"/>
      <c r="C160" s="689"/>
      <c r="D160" s="240"/>
      <c r="E160" s="626" t="s">
        <v>2254</v>
      </c>
      <c r="F160" s="627"/>
      <c r="G160" s="227">
        <f>'Financial 1'!G160+'Financial 2'!G160+'Financial 3'!G160</f>
        <v>0</v>
      </c>
      <c r="H160" s="227">
        <f>'Financial 1'!H160+'Financial 2'!H160+'Financial 3'!H160</f>
        <v>0</v>
      </c>
      <c r="I160" s="227">
        <f>'Financial 1'!I160+'Financial 2'!I160+'Financial 3'!I160</f>
        <v>0</v>
      </c>
      <c r="J160" s="227">
        <f>'Financial 1'!J160+'Financial 2'!J160+'Financial 3'!J160</f>
        <v>0</v>
      </c>
      <c r="K160" s="228">
        <f>'Financial 1'!K160+'Financial 2'!K160+'Financial 3'!K160</f>
        <v>0</v>
      </c>
      <c r="L160" s="225"/>
    </row>
    <row r="161" spans="1:15" s="218" customFormat="1" ht="12" outlineLevel="1">
      <c r="B161" s="219"/>
      <c r="C161" s="713"/>
      <c r="D161" s="242"/>
      <c r="E161" s="716" t="s">
        <v>2255</v>
      </c>
      <c r="F161" s="717"/>
      <c r="G161" s="231">
        <f>'Financial 1'!G161+'Financial 2'!G161+'Financial 3'!G161</f>
        <v>15158019</v>
      </c>
      <c r="H161" s="231">
        <f>'Financial 1'!H161+'Financial 2'!H161+'Financial 3'!H161</f>
        <v>26667741</v>
      </c>
      <c r="I161" s="231">
        <f>'Financial 1'!I161+'Financial 2'!I161+'Financial 3'!I161</f>
        <v>30606431</v>
      </c>
      <c r="J161" s="231">
        <f>'Financial 1'!J161+'Financial 2'!J161+'Financial 3'!J161</f>
        <v>0</v>
      </c>
      <c r="K161" s="232">
        <f>'Financial 1'!K161+'Financial 2'!K161+'Financial 3'!K161</f>
        <v>0</v>
      </c>
      <c r="L161" s="225"/>
    </row>
    <row r="162" spans="1:15" ht="17.25" customHeight="1">
      <c r="A162" s="125"/>
      <c r="B162" s="127"/>
      <c r="C162" s="609" t="s">
        <v>2256</v>
      </c>
      <c r="D162" s="610"/>
      <c r="E162" s="610"/>
      <c r="F162" s="610" t="s">
        <v>2257</v>
      </c>
      <c r="G162" s="233">
        <f>G144+G152+G157+G158</f>
        <v>253015673</v>
      </c>
      <c r="H162" s="233">
        <f>H144+H152+H157+H158</f>
        <v>322946789</v>
      </c>
      <c r="I162" s="233">
        <f>I144+I152+I157+I158</f>
        <v>429824558</v>
      </c>
      <c r="J162" s="233">
        <f>SUM(J144,J152,J157,J158)</f>
        <v>0</v>
      </c>
      <c r="K162" s="234">
        <f>SUM(K144,K152,K157,K158)</f>
        <v>0</v>
      </c>
      <c r="L162" s="128"/>
    </row>
    <row r="163" spans="1:15" ht="17.25" customHeight="1">
      <c r="A163" s="125"/>
      <c r="B163" s="127"/>
      <c r="C163" s="687" t="s">
        <v>2258</v>
      </c>
      <c r="D163" s="688"/>
      <c r="E163" s="688"/>
      <c r="F163" s="688"/>
      <c r="G163" s="294">
        <f>G119+G141+G162</f>
        <v>573801578</v>
      </c>
      <c r="H163" s="294">
        <f>H119+H141+H162</f>
        <v>798759312</v>
      </c>
      <c r="I163" s="294">
        <f>I119+I141+I162</f>
        <v>1048379086</v>
      </c>
      <c r="J163" s="294">
        <f>J119+J141+J162</f>
        <v>0</v>
      </c>
      <c r="K163" s="295">
        <f>K119+K141+K162</f>
        <v>0</v>
      </c>
      <c r="L163" s="128"/>
    </row>
    <row r="164" spans="1:15" ht="17.25" customHeight="1">
      <c r="B164" s="127"/>
      <c r="C164" s="671"/>
      <c r="D164" s="672"/>
      <c r="E164" s="672"/>
      <c r="F164" s="672"/>
      <c r="G164" s="672"/>
      <c r="H164" s="672"/>
      <c r="I164" s="672"/>
      <c r="J164" s="672"/>
      <c r="K164" s="673"/>
      <c r="L164" s="128"/>
    </row>
    <row r="165" spans="1:15" s="124" customFormat="1" ht="18">
      <c r="B165" s="127"/>
      <c r="C165" s="729" t="s">
        <v>2259</v>
      </c>
      <c r="D165" s="730"/>
      <c r="E165" s="730"/>
      <c r="F165" s="730" t="s">
        <v>2260</v>
      </c>
      <c r="G165" s="730"/>
      <c r="H165" s="730"/>
      <c r="I165" s="730"/>
      <c r="J165" s="730"/>
      <c r="K165" s="731"/>
      <c r="L165" s="128"/>
      <c r="M165" s="227"/>
      <c r="N165" s="227"/>
      <c r="O165" s="227"/>
    </row>
    <row r="166" spans="1:15" ht="17.25" customHeight="1">
      <c r="B166" s="127"/>
      <c r="C166" s="644" t="s">
        <v>2261</v>
      </c>
      <c r="D166" s="645"/>
      <c r="E166" s="645"/>
      <c r="F166" s="645"/>
      <c r="G166" s="281"/>
      <c r="H166" s="282"/>
      <c r="I166" s="282"/>
      <c r="J166" s="282"/>
      <c r="K166" s="283"/>
      <c r="L166" s="209"/>
    </row>
    <row r="167" spans="1:15" s="125" customFormat="1" ht="14.25">
      <c r="A167" s="124"/>
      <c r="B167" s="214"/>
      <c r="C167" s="689"/>
      <c r="D167" s="611" t="s">
        <v>2262</v>
      </c>
      <c r="E167" s="612"/>
      <c r="F167" s="613"/>
      <c r="G167" s="229">
        <f>G168-G172+G173-G174+G175+G176</f>
        <v>119046313</v>
      </c>
      <c r="H167" s="229">
        <f>H168-H172+H173-H174+H175+H176</f>
        <v>226229891</v>
      </c>
      <c r="I167" s="229">
        <f>I168-I172+I173-I174+I175+I176</f>
        <v>304026575</v>
      </c>
      <c r="J167" s="229">
        <f>J168-J172+J173-J174+J175+J176</f>
        <v>0</v>
      </c>
      <c r="K167" s="230">
        <f>K168-K172+K173-K174+K175+K176</f>
        <v>0</v>
      </c>
      <c r="L167" s="200"/>
    </row>
    <row r="168" spans="1:15" s="125" customFormat="1" ht="12.75" outlineLevel="1">
      <c r="B168" s="214"/>
      <c r="C168" s="689"/>
      <c r="D168" s="215"/>
      <c r="E168" s="741" t="s">
        <v>2263</v>
      </c>
      <c r="F168" s="742"/>
      <c r="G168" s="216">
        <f>SUM(G169:G171)</f>
        <v>83674259</v>
      </c>
      <c r="H168" s="216">
        <f>SUM(H169:H171)</f>
        <v>148785904</v>
      </c>
      <c r="I168" s="216">
        <f>SUM(I169:I171)</f>
        <v>304026575</v>
      </c>
      <c r="J168" s="216">
        <f>SUM(J169:J171)</f>
        <v>0</v>
      </c>
      <c r="K168" s="217">
        <f>SUM(K169:K171)</f>
        <v>0</v>
      </c>
      <c r="L168" s="200"/>
    </row>
    <row r="169" spans="1:15" s="218" customFormat="1" ht="14.25" customHeight="1" outlineLevel="1">
      <c r="B169" s="219"/>
      <c r="C169" s="689"/>
      <c r="E169" s="239"/>
      <c r="F169" s="221" t="s">
        <v>2264</v>
      </c>
      <c r="G169" s="222">
        <f>'Financial 1'!G169+'Financial 2'!G169+'Financial 3'!G169</f>
        <v>0</v>
      </c>
      <c r="H169" s="223">
        <f>'Financial 1'!H169+'Financial 2'!H169+'Financial 3'!H169</f>
        <v>0</v>
      </c>
      <c r="I169" s="223">
        <f>'Financial 1'!I169+'Financial 2'!I169+'Financial 3'!I169</f>
        <v>79781083</v>
      </c>
      <c r="J169" s="223">
        <f>'Financial 1'!J169+'Financial 2'!J169+'Financial 3'!J169</f>
        <v>0</v>
      </c>
      <c r="K169" s="224">
        <f>'Financial 1'!K169+'Financial 2'!K169+'Financial 3'!K169</f>
        <v>0</v>
      </c>
      <c r="L169" s="225"/>
    </row>
    <row r="170" spans="1:15" s="218" customFormat="1" ht="14.25" customHeight="1" outlineLevel="1">
      <c r="B170" s="219"/>
      <c r="C170" s="689"/>
      <c r="E170" s="240"/>
      <c r="F170" s="226" t="s">
        <v>2265</v>
      </c>
      <c r="G170" s="227">
        <f>'Financial 1'!G170+'Financial 2'!G170+'Financial 3'!G170</f>
        <v>78955942</v>
      </c>
      <c r="H170" s="227">
        <f>'Financial 1'!H170+'Financial 2'!H170+'Financial 3'!H170</f>
        <v>143266149</v>
      </c>
      <c r="I170" s="227">
        <f>'Financial 1'!I170+'Financial 2'!I170+'Financial 3'!I170</f>
        <v>219998172</v>
      </c>
      <c r="J170" s="227">
        <f>'Financial 1'!J170+'Financial 2'!J170+'Financial 3'!J170</f>
        <v>0</v>
      </c>
      <c r="K170" s="228">
        <f>'Financial 1'!K170+'Financial 2'!K170+'Financial 3'!K170</f>
        <v>0</v>
      </c>
      <c r="L170" s="225"/>
    </row>
    <row r="171" spans="1:15" s="218" customFormat="1" ht="14.25" customHeight="1" outlineLevel="1">
      <c r="B171" s="219"/>
      <c r="C171" s="689"/>
      <c r="E171" s="240"/>
      <c r="F171" s="226" t="s">
        <v>2266</v>
      </c>
      <c r="G171" s="227">
        <f>'Financial 1'!G171+'Financial 2'!G171+'Financial 3'!G171</f>
        <v>4718317</v>
      </c>
      <c r="H171" s="227">
        <f>'Financial 1'!H171+'Financial 2'!H171+'Financial 3'!H171</f>
        <v>5519755</v>
      </c>
      <c r="I171" s="227">
        <f>'Financial 1'!I171+'Financial 2'!I171+'Financial 3'!I171</f>
        <v>4247320</v>
      </c>
      <c r="J171" s="227">
        <f>'Financial 1'!J171+'Financial 2'!J171+'Financial 3'!J171</f>
        <v>0</v>
      </c>
      <c r="K171" s="228">
        <f>'Financial 1'!K171+'Financial 2'!K171+'Financial 3'!K171</f>
        <v>0</v>
      </c>
      <c r="L171" s="225"/>
    </row>
    <row r="172" spans="1:15" s="218" customFormat="1" ht="12" outlineLevel="1">
      <c r="B172" s="219"/>
      <c r="C172" s="689"/>
      <c r="E172" s="626" t="s">
        <v>2267</v>
      </c>
      <c r="F172" s="627"/>
      <c r="G172" s="227">
        <f>'Financial 1'!G172+'Financial 2'!G172+'Financial 3'!G172</f>
        <v>0</v>
      </c>
      <c r="H172" s="227">
        <f>'Financial 1'!H172+'Financial 2'!H172+'Financial 3'!H172</f>
        <v>0</v>
      </c>
      <c r="I172" s="227">
        <f>'Financial 1'!I172+'Financial 2'!I172+'Financial 3'!I172</f>
        <v>0</v>
      </c>
      <c r="J172" s="227">
        <f>'Financial 1'!J172+'Financial 2'!J172+'Financial 3'!J172</f>
        <v>0</v>
      </c>
      <c r="K172" s="228">
        <f>'Financial 1'!K172+'Financial 2'!K172+'Financial 3'!K172</f>
        <v>0</v>
      </c>
      <c r="L172" s="225"/>
      <c r="M172" s="227"/>
    </row>
    <row r="173" spans="1:15" s="218" customFormat="1" ht="14.25" customHeight="1" outlineLevel="1">
      <c r="B173" s="219"/>
      <c r="C173" s="689"/>
      <c r="E173" s="626" t="s">
        <v>2268</v>
      </c>
      <c r="F173" s="627"/>
      <c r="G173" s="227">
        <f>'Financial 1'!G173+'Financial 2'!G173+'Financial 3'!G173</f>
        <v>0</v>
      </c>
      <c r="H173" s="227">
        <f>'Financial 1'!H173+'Financial 2'!H173+'Financial 3'!H173</f>
        <v>0</v>
      </c>
      <c r="I173" s="227">
        <f>'Financial 1'!I173+'Financial 2'!I173+'Financial 3'!I173</f>
        <v>0</v>
      </c>
      <c r="J173" s="227">
        <f>'Financial 1'!J173+'Financial 2'!J173+'Financial 3'!J173</f>
        <v>0</v>
      </c>
      <c r="K173" s="228">
        <f>'Financial 1'!K173+'Financial 2'!K173+'Financial 3'!K173</f>
        <v>0</v>
      </c>
      <c r="L173" s="225"/>
    </row>
    <row r="174" spans="1:15" s="218" customFormat="1" ht="14.25" customHeight="1" outlineLevel="1">
      <c r="B174" s="219"/>
      <c r="C174" s="689"/>
      <c r="E174" s="626" t="s">
        <v>2269</v>
      </c>
      <c r="F174" s="627"/>
      <c r="G174" s="227">
        <f>'Financial 1'!G174+'Financial 2'!G174+'Financial 3'!G174</f>
        <v>0</v>
      </c>
      <c r="H174" s="227">
        <f>'Financial 1'!H174+'Financial 2'!H174+'Financial 3'!H174</f>
        <v>0</v>
      </c>
      <c r="I174" s="227">
        <f>'Financial 1'!I174+'Financial 2'!I174+'Financial 3'!I174</f>
        <v>0</v>
      </c>
      <c r="J174" s="227">
        <f>'Financial 1'!J174+'Financial 2'!J174+'Financial 3'!J174</f>
        <v>0</v>
      </c>
      <c r="K174" s="228">
        <f>'Financial 1'!K174+'Financial 2'!K174+'Financial 3'!K174</f>
        <v>0</v>
      </c>
      <c r="L174" s="225"/>
    </row>
    <row r="175" spans="1:15" s="218" customFormat="1" ht="14.25" customHeight="1" outlineLevel="1">
      <c r="B175" s="219"/>
      <c r="C175" s="689"/>
      <c r="E175" s="626" t="s">
        <v>2270</v>
      </c>
      <c r="F175" s="627"/>
      <c r="G175" s="227">
        <f>'Financial 1'!G175+'Financial 2'!G175+'Financial 3'!G175</f>
        <v>35372054</v>
      </c>
      <c r="H175" s="227">
        <f>'Financial 1'!H175+'Financial 2'!H175+'Financial 3'!H175</f>
        <v>77443987</v>
      </c>
      <c r="I175" s="227">
        <f>'Financial 1'!I175+'Financial 2'!I175+'Financial 3'!I175</f>
        <v>0</v>
      </c>
      <c r="J175" s="227">
        <f>'Financial 1'!J175+'Financial 2'!J175+'Financial 3'!J175</f>
        <v>0</v>
      </c>
      <c r="K175" s="228">
        <f>'Financial 1'!K175+'Financial 2'!K175+'Financial 3'!K175</f>
        <v>0</v>
      </c>
      <c r="L175" s="225"/>
    </row>
    <row r="176" spans="1:15" s="218" customFormat="1" ht="14.25" customHeight="1" outlineLevel="1">
      <c r="B176" s="219"/>
      <c r="C176" s="689"/>
      <c r="E176" s="626" t="s">
        <v>2271</v>
      </c>
      <c r="F176" s="627"/>
      <c r="G176" s="227">
        <f>'Financial 1'!G176+'Financial 2'!G176+'Financial 3'!G176</f>
        <v>0</v>
      </c>
      <c r="H176" s="227">
        <f>'Financial 1'!H176+'Financial 2'!H176+'Financial 3'!H176</f>
        <v>0</v>
      </c>
      <c r="I176" s="227">
        <f>'Financial 1'!I176+'Financial 2'!I176+'Financial 3'!I176</f>
        <v>0</v>
      </c>
      <c r="J176" s="227">
        <f>'Financial 1'!J176+'Financial 2'!J176+'Financial 3'!J176</f>
        <v>0</v>
      </c>
      <c r="K176" s="228">
        <f>'Financial 1'!K176+'Financial 2'!K176+'Financial 3'!K176</f>
        <v>0</v>
      </c>
      <c r="L176" s="225"/>
    </row>
    <row r="177" spans="1:12" s="125" customFormat="1" ht="12.75">
      <c r="A177" s="218"/>
      <c r="B177" s="214"/>
      <c r="C177" s="689"/>
      <c r="D177" s="611" t="s">
        <v>2272</v>
      </c>
      <c r="E177" s="612"/>
      <c r="F177" s="613"/>
      <c r="G177" s="229">
        <f>SUM(G178:G181)</f>
        <v>0</v>
      </c>
      <c r="H177" s="229">
        <f>SUM(H178:H181)</f>
        <v>0</v>
      </c>
      <c r="I177" s="229">
        <f>SUM(I178:I181)</f>
        <v>0</v>
      </c>
      <c r="J177" s="229">
        <f>SUM(J178:J181)</f>
        <v>0</v>
      </c>
      <c r="K177" s="230">
        <f>SUM(K178:K181)</f>
        <v>0</v>
      </c>
      <c r="L177" s="200"/>
    </row>
    <row r="178" spans="1:12" s="218" customFormat="1" ht="14.25" customHeight="1" outlineLevel="1">
      <c r="B178" s="219"/>
      <c r="C178" s="689"/>
      <c r="D178" s="220"/>
      <c r="E178" s="701" t="s">
        <v>2273</v>
      </c>
      <c r="F178" s="702"/>
      <c r="G178" s="222">
        <f>'Financial 1'!G178+'Financial 2'!G178+'Financial 3'!G178</f>
        <v>0</v>
      </c>
      <c r="H178" s="223">
        <f>'Financial 1'!H178+'Financial 2'!H178+'Financial 3'!H178</f>
        <v>0</v>
      </c>
      <c r="I178" s="223">
        <f>'Financial 1'!I178+'Financial 2'!I178+'Financial 3'!I178</f>
        <v>0</v>
      </c>
      <c r="J178" s="223">
        <f>'Financial 1'!J178+'Financial 2'!J178+'Financial 3'!J178</f>
        <v>0</v>
      </c>
      <c r="K178" s="224">
        <f>'Financial 1'!K178+'Financial 2'!K178+'Financial 3'!K178</f>
        <v>0</v>
      </c>
      <c r="L178" s="225"/>
    </row>
    <row r="179" spans="1:12" s="218" customFormat="1" ht="14.25" customHeight="1" outlineLevel="1">
      <c r="B179" s="219"/>
      <c r="C179" s="689"/>
      <c r="E179" s="621" t="s">
        <v>2274</v>
      </c>
      <c r="F179" s="622"/>
      <c r="G179" s="227">
        <f>'Financial 1'!G179+'Financial 2'!G179+'Financial 3'!G179</f>
        <v>0</v>
      </c>
      <c r="H179" s="227">
        <f>'Financial 1'!H179+'Financial 2'!H179+'Financial 3'!H179</f>
        <v>0</v>
      </c>
      <c r="I179" s="227">
        <f>'Financial 1'!I179+'Financial 2'!I179+'Financial 3'!I179</f>
        <v>0</v>
      </c>
      <c r="J179" s="227">
        <f>'Financial 1'!J179+'Financial 2'!J179+'Financial 3'!J179</f>
        <v>0</v>
      </c>
      <c r="K179" s="228">
        <f>'Financial 1'!K179+'Financial 2'!K179+'Financial 3'!K179</f>
        <v>0</v>
      </c>
      <c r="L179" s="225"/>
    </row>
    <row r="180" spans="1:12" s="218" customFormat="1" ht="14.25" customHeight="1" outlineLevel="1">
      <c r="B180" s="219"/>
      <c r="C180" s="689"/>
      <c r="E180" s="621" t="s">
        <v>2275</v>
      </c>
      <c r="F180" s="622"/>
      <c r="G180" s="227">
        <f>'Financial 1'!G180+'Financial 2'!G180+'Financial 3'!G180</f>
        <v>0</v>
      </c>
      <c r="H180" s="227">
        <f>'Financial 1'!H180+'Financial 2'!H180+'Financial 3'!H180</f>
        <v>0</v>
      </c>
      <c r="I180" s="227">
        <f>'Financial 1'!I180+'Financial 2'!I180+'Financial 3'!I180</f>
        <v>0</v>
      </c>
      <c r="J180" s="227">
        <f>'Financial 1'!J180+'Financial 2'!J180+'Financial 3'!J180</f>
        <v>0</v>
      </c>
      <c r="K180" s="228">
        <f>'Financial 1'!K180+'Financial 2'!K180+'Financial 3'!K180</f>
        <v>0</v>
      </c>
      <c r="L180" s="225"/>
    </row>
    <row r="181" spans="1:12" s="218" customFormat="1" ht="14.25" customHeight="1" outlineLevel="1">
      <c r="B181" s="219"/>
      <c r="C181" s="689"/>
      <c r="E181" s="621" t="s">
        <v>2276</v>
      </c>
      <c r="F181" s="622"/>
      <c r="G181" s="227">
        <f>'Financial 1'!G181+'Financial 2'!G181+'Financial 3'!G181</f>
        <v>0</v>
      </c>
      <c r="H181" s="227">
        <f>'Financial 1'!H181+'Financial 2'!H181+'Financial 3'!H181</f>
        <v>0</v>
      </c>
      <c r="I181" s="227">
        <f>'Financial 1'!I181+'Financial 2'!I181+'Financial 3'!I181</f>
        <v>0</v>
      </c>
      <c r="J181" s="227">
        <f>'Financial 1'!J181+'Financial 2'!J181+'Financial 3'!J181</f>
        <v>0</v>
      </c>
      <c r="K181" s="228">
        <f>'Financial 1'!K181+'Financial 2'!K181+'Financial 3'!K181</f>
        <v>0</v>
      </c>
      <c r="L181" s="225"/>
    </row>
    <row r="182" spans="1:12" s="125" customFormat="1" ht="12.75">
      <c r="A182" s="218"/>
      <c r="B182" s="214"/>
      <c r="C182" s="689"/>
      <c r="D182" s="611" t="s">
        <v>2277</v>
      </c>
      <c r="E182" s="612"/>
      <c r="F182" s="613"/>
      <c r="G182" s="229">
        <f>SUM(G183,G187)</f>
        <v>99057578</v>
      </c>
      <c r="H182" s="229">
        <f>SUM(H183,H187)</f>
        <v>116858241</v>
      </c>
      <c r="I182" s="229">
        <f>SUM(I183,I187)</f>
        <v>86953396</v>
      </c>
      <c r="J182" s="229">
        <f>SUM(J183,J187)</f>
        <v>0</v>
      </c>
      <c r="K182" s="230">
        <f>SUM(K183,K187)</f>
        <v>0</v>
      </c>
      <c r="L182" s="200"/>
    </row>
    <row r="183" spans="1:12" s="218" customFormat="1" ht="14.25" customHeight="1" outlineLevel="1">
      <c r="B183" s="219"/>
      <c r="C183" s="689"/>
      <c r="D183" s="220"/>
      <c r="E183" s="616" t="s">
        <v>2278</v>
      </c>
      <c r="F183" s="617"/>
      <c r="G183" s="296">
        <f>SUM(G184:G186)</f>
        <v>0</v>
      </c>
      <c r="H183" s="296">
        <f>SUM(H184:H186)</f>
        <v>0</v>
      </c>
      <c r="I183" s="296">
        <f>SUM(I184:I186)</f>
        <v>0</v>
      </c>
      <c r="J183" s="296">
        <f>SUM(J184:J186)</f>
        <v>0</v>
      </c>
      <c r="K183" s="297">
        <f>SUM(K184:K186)</f>
        <v>0</v>
      </c>
      <c r="L183" s="225"/>
    </row>
    <row r="184" spans="1:12" s="218" customFormat="1" ht="14.25" customHeight="1" outlineLevel="1">
      <c r="B184" s="219"/>
      <c r="C184" s="689"/>
      <c r="E184" s="239"/>
      <c r="F184" s="221" t="s">
        <v>2279</v>
      </c>
      <c r="G184" s="222">
        <f>'Financial 1'!G184+'Financial 2'!G184+'Financial 3'!G184</f>
        <v>0</v>
      </c>
      <c r="H184" s="222">
        <f>'Financial 1'!H184+'Financial 2'!H184+'Financial 3'!H184</f>
        <v>0</v>
      </c>
      <c r="I184" s="222">
        <f>'Financial 1'!I184+'Financial 2'!I184+'Financial 3'!I184</f>
        <v>0</v>
      </c>
      <c r="J184" s="222">
        <f>'Financial 1'!J184+'Financial 2'!J184+'Financial 3'!J184</f>
        <v>0</v>
      </c>
      <c r="K184" s="257">
        <f>'Financial 1'!K184+'Financial 2'!K184+'Financial 3'!K184</f>
        <v>0</v>
      </c>
      <c r="L184" s="225"/>
    </row>
    <row r="185" spans="1:12" s="218" customFormat="1" ht="14.25" customHeight="1" outlineLevel="1">
      <c r="B185" s="219"/>
      <c r="C185" s="689"/>
      <c r="E185" s="240"/>
      <c r="F185" s="226" t="s">
        <v>2280</v>
      </c>
      <c r="G185" s="227">
        <f>'Financial 1'!G185+'Financial 2'!G185+'Financial 3'!G185</f>
        <v>0</v>
      </c>
      <c r="H185" s="227">
        <f>'Financial 1'!H185+'Financial 2'!H185+'Financial 3'!H185</f>
        <v>0</v>
      </c>
      <c r="I185" s="227">
        <f>'Financial 1'!I185+'Financial 2'!I185+'Financial 3'!I185</f>
        <v>0</v>
      </c>
      <c r="J185" s="227">
        <f>'Financial 1'!J185+'Financial 2'!J185+'Financial 3'!J185</f>
        <v>0</v>
      </c>
      <c r="K185" s="228">
        <f>'Financial 1'!K185+'Financial 2'!K185+'Financial 3'!K185</f>
        <v>0</v>
      </c>
      <c r="L185" s="225"/>
    </row>
    <row r="186" spans="1:12" s="218" customFormat="1" ht="14.25" customHeight="1" outlineLevel="1">
      <c r="B186" s="219"/>
      <c r="C186" s="689"/>
      <c r="E186" s="240"/>
      <c r="F186" s="226" t="s">
        <v>2281</v>
      </c>
      <c r="G186" s="227">
        <f>'Financial 1'!G186+'Financial 2'!G186+'Financial 3'!G186</f>
        <v>0</v>
      </c>
      <c r="H186" s="227">
        <f>'Financial 1'!H186+'Financial 2'!H186+'Financial 3'!H186</f>
        <v>0</v>
      </c>
      <c r="I186" s="227">
        <f>'Financial 1'!I186+'Financial 2'!I186+'Financial 3'!I186</f>
        <v>0</v>
      </c>
      <c r="J186" s="227">
        <f>'Financial 1'!J186+'Financial 2'!J186+'Financial 3'!J186</f>
        <v>0</v>
      </c>
      <c r="K186" s="228">
        <f>'Financial 1'!K186+'Financial 2'!K186+'Financial 3'!K186</f>
        <v>0</v>
      </c>
      <c r="L186" s="225"/>
    </row>
    <row r="187" spans="1:12" s="218" customFormat="1" ht="14.25" customHeight="1" outlineLevel="1">
      <c r="B187" s="219"/>
      <c r="C187" s="689"/>
      <c r="E187" s="626" t="s">
        <v>2282</v>
      </c>
      <c r="F187" s="627"/>
      <c r="G187" s="227">
        <f>'Financial 1'!G187+'Financial 2'!G187+'Financial 3'!G187</f>
        <v>99057578</v>
      </c>
      <c r="H187" s="227">
        <f>'Financial 1'!H187+'Financial 2'!H187+'Financial 3'!H187</f>
        <v>116858241</v>
      </c>
      <c r="I187" s="227">
        <f>'Financial 1'!I187+'Financial 2'!I187+'Financial 3'!I187</f>
        <v>86953396</v>
      </c>
      <c r="J187" s="227">
        <f>'Financial 1'!J187+'Financial 2'!J187+'Financial 3'!J187</f>
        <v>0</v>
      </c>
      <c r="K187" s="228">
        <f>'Financial 1'!K187+'Financial 2'!K187+'Financial 3'!K187</f>
        <v>0</v>
      </c>
      <c r="L187" s="225"/>
    </row>
    <row r="188" spans="1:12" s="125" customFormat="1" ht="12.75">
      <c r="A188" s="218"/>
      <c r="B188" s="214"/>
      <c r="C188" s="689"/>
      <c r="D188" s="650" t="s">
        <v>2283</v>
      </c>
      <c r="E188" s="650"/>
      <c r="F188" s="651"/>
      <c r="G188" s="227">
        <f>'Financial 1'!G188+'Financial 2'!G188+'Financial 3'!G188</f>
        <v>534205</v>
      </c>
      <c r="H188" s="227">
        <f>'Financial 1'!H188+'Financial 2'!H188+'Financial 3'!H188</f>
        <v>17215</v>
      </c>
      <c r="I188" s="227">
        <f>'Financial 1'!I188+'Financial 2'!I188+'Financial 3'!I188</f>
        <v>0</v>
      </c>
      <c r="J188" s="227">
        <f>'Financial 1'!J188+'Financial 2'!J188+'Financial 3'!J188</f>
        <v>0</v>
      </c>
      <c r="K188" s="228">
        <f>'Financial 1'!K188+'Financial 2'!K188+'Financial 3'!K188</f>
        <v>0</v>
      </c>
      <c r="L188" s="200"/>
    </row>
    <row r="189" spans="1:12" s="125" customFormat="1" ht="12.75">
      <c r="A189" s="218"/>
      <c r="B189" s="214"/>
      <c r="C189" s="689"/>
      <c r="D189" s="650" t="s">
        <v>2284</v>
      </c>
      <c r="E189" s="650"/>
      <c r="F189" s="651"/>
      <c r="G189" s="299">
        <f>SUM(G190:G192)</f>
        <v>0</v>
      </c>
      <c r="H189" s="299">
        <f>SUM(H190:H192)</f>
        <v>0</v>
      </c>
      <c r="I189" s="299">
        <f>SUM(I190:I192)</f>
        <v>0</v>
      </c>
      <c r="J189" s="299">
        <f>SUM(J190:J192)</f>
        <v>0</v>
      </c>
      <c r="K189" s="300">
        <f>SUM(K190:K192)</f>
        <v>0</v>
      </c>
      <c r="L189" s="200"/>
    </row>
    <row r="190" spans="1:12" s="218" customFormat="1" ht="12" outlineLevel="1">
      <c r="B190" s="219"/>
      <c r="C190" s="689"/>
      <c r="D190" s="239"/>
      <c r="E190" s="701" t="s">
        <v>2285</v>
      </c>
      <c r="F190" s="702"/>
      <c r="G190" s="222">
        <f>'Financial 1'!G190+'Financial 2'!G190+'Financial 3'!G190</f>
        <v>0</v>
      </c>
      <c r="H190" s="222">
        <f>'Financial 1'!H190+'Financial 2'!H190+'Financial 3'!H190</f>
        <v>0</v>
      </c>
      <c r="I190" s="222">
        <f>'Financial 1'!I190+'Financial 2'!I190+'Financial 3'!I190</f>
        <v>0</v>
      </c>
      <c r="J190" s="222">
        <f>'Financial 1'!J190+'Financial 2'!J190+'Financial 3'!J190</f>
        <v>0</v>
      </c>
      <c r="K190" s="257">
        <f>'Financial 1'!K190+'Financial 2'!K190+'Financial 3'!K190</f>
        <v>0</v>
      </c>
      <c r="L190" s="225"/>
    </row>
    <row r="191" spans="1:12" s="218" customFormat="1" ht="12" outlineLevel="1">
      <c r="B191" s="219"/>
      <c r="C191" s="689"/>
      <c r="D191" s="240"/>
      <c r="E191" s="621" t="s">
        <v>2286</v>
      </c>
      <c r="F191" s="622"/>
      <c r="G191" s="227">
        <f>'Financial 1'!G191+'Financial 2'!G191+'Financial 3'!G191</f>
        <v>0</v>
      </c>
      <c r="H191" s="227">
        <f>'Financial 1'!H191+'Financial 2'!H191+'Financial 3'!H191</f>
        <v>0</v>
      </c>
      <c r="I191" s="227">
        <f>'Financial 1'!I191+'Financial 2'!I191+'Financial 3'!I191</f>
        <v>0</v>
      </c>
      <c r="J191" s="227">
        <f>'Financial 1'!J191+'Financial 2'!J191+'Financial 3'!J191</f>
        <v>0</v>
      </c>
      <c r="K191" s="228">
        <f>'Financial 1'!K191+'Financial 2'!K191+'Financial 3'!K191</f>
        <v>0</v>
      </c>
      <c r="L191" s="225"/>
    </row>
    <row r="192" spans="1:12" s="218" customFormat="1" ht="12" outlineLevel="1">
      <c r="B192" s="219"/>
      <c r="C192" s="713"/>
      <c r="D192" s="242"/>
      <c r="E192" s="716" t="s">
        <v>2287</v>
      </c>
      <c r="F192" s="717"/>
      <c r="G192" s="231">
        <f>'Financial 1'!G192+'Financial 2'!G192+'Financial 3'!G192</f>
        <v>0</v>
      </c>
      <c r="H192" s="231">
        <f>'Financial 1'!H192+'Financial 2'!H192+'Financial 3'!H192</f>
        <v>0</v>
      </c>
      <c r="I192" s="231">
        <f>'Financial 1'!I192+'Financial 2'!I192+'Financial 3'!I192</f>
        <v>0</v>
      </c>
      <c r="J192" s="231">
        <f>'Financial 1'!J192+'Financial 2'!J192+'Financial 3'!J192</f>
        <v>0</v>
      </c>
      <c r="K192" s="232">
        <f>'Financial 1'!K192+'Financial 2'!K192+'Financial 3'!K192</f>
        <v>0</v>
      </c>
      <c r="L192" s="225"/>
    </row>
    <row r="193" spans="1:12" ht="17.25" customHeight="1">
      <c r="A193" s="125"/>
      <c r="B193" s="127"/>
      <c r="C193" s="609" t="s">
        <v>2288</v>
      </c>
      <c r="D193" s="610"/>
      <c r="E193" s="610"/>
      <c r="F193" s="610" t="s">
        <v>2289</v>
      </c>
      <c r="G193" s="233">
        <f>SUM(G167,G177,G182,G188,G189)</f>
        <v>218638096</v>
      </c>
      <c r="H193" s="233">
        <f>SUM(H167,H177,H182,H188,H189)</f>
        <v>343105347</v>
      </c>
      <c r="I193" s="233">
        <f>SUM(I167,I177,I182,I188,I189)</f>
        <v>390979971</v>
      </c>
      <c r="J193" s="233">
        <f>SUM(J167,J177,J182,J188,J189)</f>
        <v>0</v>
      </c>
      <c r="K193" s="234">
        <f>SUM(K167,K177,K182,K188,K189)</f>
        <v>0</v>
      </c>
      <c r="L193" s="225"/>
    </row>
    <row r="194" spans="1:12" ht="7.5" customHeight="1">
      <c r="B194" s="127"/>
      <c r="C194" s="671"/>
      <c r="D194" s="672"/>
      <c r="E194" s="672"/>
      <c r="F194" s="672"/>
      <c r="G194" s="672"/>
      <c r="H194" s="672"/>
      <c r="I194" s="672"/>
      <c r="J194" s="672"/>
      <c r="K194" s="673"/>
      <c r="L194" s="225"/>
    </row>
    <row r="195" spans="1:12" ht="17.25" customHeight="1">
      <c r="B195" s="127"/>
      <c r="C195" s="689" t="s">
        <v>2290</v>
      </c>
      <c r="D195" s="690"/>
      <c r="E195" s="690"/>
      <c r="F195" s="690"/>
      <c r="G195" s="286"/>
      <c r="H195" s="287"/>
      <c r="I195" s="287"/>
      <c r="J195" s="287"/>
      <c r="K195" s="288"/>
      <c r="L195" s="128"/>
    </row>
    <row r="196" spans="1:12" s="125" customFormat="1" ht="14.25">
      <c r="A196" s="124"/>
      <c r="B196" s="214"/>
      <c r="C196" s="671"/>
      <c r="D196" s="659" t="s">
        <v>2291</v>
      </c>
      <c r="E196" s="715"/>
      <c r="F196" s="660"/>
      <c r="G196" s="216">
        <f>SUM(G197,G200,G201,G202)</f>
        <v>0</v>
      </c>
      <c r="H196" s="216">
        <f>SUM(H197,H200,H201,H202)</f>
        <v>0</v>
      </c>
      <c r="I196" s="216">
        <f>SUM(I197,I200,I201,I202)</f>
        <v>0</v>
      </c>
      <c r="J196" s="216">
        <f>SUM(J197,J200,J201,J202)</f>
        <v>0</v>
      </c>
      <c r="K196" s="217">
        <f>SUM(K197,K200,K201,K202)</f>
        <v>0</v>
      </c>
      <c r="L196" s="200"/>
    </row>
    <row r="197" spans="1:12" s="218" customFormat="1" ht="14.25" customHeight="1" outlineLevel="1">
      <c r="B197" s="219"/>
      <c r="C197" s="665"/>
      <c r="D197" s="220"/>
      <c r="E197" s="701" t="s">
        <v>2292</v>
      </c>
      <c r="F197" s="702"/>
      <c r="G197" s="223">
        <f>SUM(G198:G199)</f>
        <v>0</v>
      </c>
      <c r="H197" s="223">
        <f>SUM(H198:H199)</f>
        <v>0</v>
      </c>
      <c r="I197" s="223">
        <f>SUM(I198:I199)</f>
        <v>0</v>
      </c>
      <c r="J197" s="223">
        <f>SUM(J198:J199)</f>
        <v>0</v>
      </c>
      <c r="K197" s="224">
        <f>SUM(K198:K199)</f>
        <v>0</v>
      </c>
      <c r="L197" s="225"/>
    </row>
    <row r="198" spans="1:12" s="218" customFormat="1" ht="14.25" customHeight="1" outlineLevel="2">
      <c r="B198" s="219"/>
      <c r="C198" s="665"/>
      <c r="E198" s="247"/>
      <c r="F198" s="248" t="s">
        <v>2293</v>
      </c>
      <c r="G198" s="222">
        <f>'Financial 1'!G198+'Financial 2'!G198+'Financial 3'!G198</f>
        <v>0</v>
      </c>
      <c r="H198" s="223">
        <f>'Financial 1'!H198+'Financial 2'!H198+'Financial 3'!H198</f>
        <v>0</v>
      </c>
      <c r="I198" s="223">
        <f>'Financial 1'!I198+'Financial 2'!I198+'Financial 3'!I198</f>
        <v>0</v>
      </c>
      <c r="J198" s="223">
        <f>'Financial 1'!J198+'Financial 2'!J198+'Financial 3'!J198</f>
        <v>0</v>
      </c>
      <c r="K198" s="224">
        <f>'Financial 1'!K198+'Financial 2'!K198+'Financial 3'!K198</f>
        <v>0</v>
      </c>
      <c r="L198" s="225"/>
    </row>
    <row r="199" spans="1:12" s="218" customFormat="1" ht="14.25" customHeight="1" outlineLevel="2">
      <c r="B199" s="219"/>
      <c r="C199" s="665"/>
      <c r="E199" s="250"/>
      <c r="F199" s="251" t="s">
        <v>2294</v>
      </c>
      <c r="G199" s="227">
        <f>'Financial 1'!G199+'Financial 2'!G199+'Financial 3'!G199</f>
        <v>0</v>
      </c>
      <c r="H199" s="227">
        <f>'Financial 1'!H199+'Financial 2'!H199+'Financial 3'!H199</f>
        <v>0</v>
      </c>
      <c r="I199" s="227">
        <f>'Financial 1'!I199+'Financial 2'!I199+'Financial 3'!I199</f>
        <v>0</v>
      </c>
      <c r="J199" s="227">
        <f>'Financial 1'!J199+'Financial 2'!J199+'Financial 3'!J199</f>
        <v>0</v>
      </c>
      <c r="K199" s="228">
        <f>'Financial 1'!K199+'Financial 2'!K199+'Financial 3'!K199</f>
        <v>0</v>
      </c>
      <c r="L199" s="225"/>
    </row>
    <row r="200" spans="1:12" s="218" customFormat="1" ht="14.25" customHeight="1" outlineLevel="1">
      <c r="B200" s="219"/>
      <c r="C200" s="665"/>
      <c r="E200" s="621" t="s">
        <v>2295</v>
      </c>
      <c r="F200" s="622"/>
      <c r="G200" s="227">
        <f>'Financial 1'!G200+'Financial 2'!G200+'Financial 3'!G200</f>
        <v>0</v>
      </c>
      <c r="H200" s="227">
        <f>'Financial 1'!H200+'Financial 2'!H200+'Financial 3'!H200</f>
        <v>0</v>
      </c>
      <c r="I200" s="227">
        <f>'Financial 1'!I200+'Financial 2'!I200+'Financial 3'!I200</f>
        <v>0</v>
      </c>
      <c r="J200" s="227">
        <f>'Financial 1'!J200+'Financial 2'!J200+'Financial 3'!J200</f>
        <v>0</v>
      </c>
      <c r="K200" s="228">
        <f>'Financial 1'!K200+'Financial 2'!K200+'Financial 3'!K200</f>
        <v>0</v>
      </c>
      <c r="L200" s="225"/>
    </row>
    <row r="201" spans="1:12" s="218" customFormat="1" ht="14.25" customHeight="1" outlineLevel="1">
      <c r="B201" s="219"/>
      <c r="C201" s="665"/>
      <c r="E201" s="621" t="s">
        <v>2296</v>
      </c>
      <c r="F201" s="622"/>
      <c r="G201" s="227">
        <f>'Financial 1'!G201+'Financial 2'!G201+'Financial 3'!G201</f>
        <v>0</v>
      </c>
      <c r="H201" s="227">
        <f>'Financial 1'!H201+'Financial 2'!H201+'Financial 3'!H201</f>
        <v>0</v>
      </c>
      <c r="I201" s="227">
        <f>'Financial 1'!I201+'Financial 2'!I201+'Financial 3'!I201</f>
        <v>0</v>
      </c>
      <c r="J201" s="227">
        <f>'Financial 1'!J201+'Financial 2'!J201+'Financial 3'!J201</f>
        <v>0</v>
      </c>
      <c r="K201" s="228">
        <f>'Financial 1'!K201+'Financial 2'!K201+'Financial 3'!K201</f>
        <v>0</v>
      </c>
      <c r="L201" s="225"/>
    </row>
    <row r="202" spans="1:12" s="218" customFormat="1" ht="14.25" customHeight="1" outlineLevel="1">
      <c r="B202" s="219"/>
      <c r="C202" s="665"/>
      <c r="E202" s="621" t="s">
        <v>2297</v>
      </c>
      <c r="F202" s="622"/>
      <c r="G202" s="227">
        <f>'Financial 1'!G202+'Financial 2'!G202+'Financial 3'!G202</f>
        <v>0</v>
      </c>
      <c r="H202" s="227">
        <f>'Financial 1'!H202+'Financial 2'!H202+'Financial 3'!H202</f>
        <v>0</v>
      </c>
      <c r="I202" s="227">
        <f>'Financial 1'!I202+'Financial 2'!I202+'Financial 3'!I202</f>
        <v>0</v>
      </c>
      <c r="J202" s="227">
        <f>'Financial 1'!J202+'Financial 2'!J202+'Financial 3'!J202</f>
        <v>0</v>
      </c>
      <c r="K202" s="228">
        <f>'Financial 1'!K202+'Financial 2'!K202+'Financial 3'!K202</f>
        <v>0</v>
      </c>
      <c r="L202" s="225"/>
    </row>
    <row r="203" spans="1:12" s="125" customFormat="1" ht="12.75">
      <c r="A203" s="218"/>
      <c r="B203" s="214"/>
      <c r="C203" s="665"/>
      <c r="D203" s="650" t="s">
        <v>2298</v>
      </c>
      <c r="E203" s="650"/>
      <c r="F203" s="651"/>
      <c r="G203" s="299">
        <f>SUM(G204:G207)</f>
        <v>10102892</v>
      </c>
      <c r="H203" s="299">
        <f>SUM(H204:H207)</f>
        <v>10141631</v>
      </c>
      <c r="I203" s="299">
        <f>SUM(I204:I207)</f>
        <v>80739210</v>
      </c>
      <c r="J203" s="299">
        <f>SUM(J204:J207)</f>
        <v>0</v>
      </c>
      <c r="K203" s="300">
        <f>SUM(K204:K207)</f>
        <v>0</v>
      </c>
      <c r="L203" s="200"/>
    </row>
    <row r="204" spans="1:12" s="218" customFormat="1" ht="12" outlineLevel="1">
      <c r="B204" s="219"/>
      <c r="C204" s="665"/>
      <c r="D204" s="239"/>
      <c r="E204" s="652" t="s">
        <v>2299</v>
      </c>
      <c r="F204" s="653"/>
      <c r="G204" s="222">
        <f>'Financial 1'!G204+'Financial 2'!G204+'Financial 3'!G204</f>
        <v>10102892</v>
      </c>
      <c r="H204" s="223">
        <f>'Financial 1'!H204+'Financial 2'!H204+'Financial 3'!H204</f>
        <v>10141631</v>
      </c>
      <c r="I204" s="223">
        <f>'Financial 1'!I204+'Financial 2'!I204+'Financial 3'!I204</f>
        <v>47384888</v>
      </c>
      <c r="J204" s="223">
        <f>'Financial 1'!J204+'Financial 2'!J204+'Financial 3'!J204</f>
        <v>0</v>
      </c>
      <c r="K204" s="224">
        <f>'Financial 1'!K204+'Financial 2'!K204+'Financial 3'!K204</f>
        <v>0</v>
      </c>
      <c r="L204" s="225"/>
    </row>
    <row r="205" spans="1:12" s="218" customFormat="1" ht="12" outlineLevel="1">
      <c r="B205" s="219"/>
      <c r="C205" s="665"/>
      <c r="D205" s="240"/>
      <c r="E205" s="669" t="s">
        <v>2300</v>
      </c>
      <c r="F205" s="670"/>
      <c r="G205" s="227">
        <f>'Financial 1'!G205+'Financial 2'!G205+'Financial 3'!G205</f>
        <v>0</v>
      </c>
      <c r="H205" s="227">
        <f>'Financial 1'!H205+'Financial 2'!H205+'Financial 3'!H205</f>
        <v>0</v>
      </c>
      <c r="I205" s="227">
        <f>'Financial 1'!I205+'Financial 2'!I205+'Financial 3'!I205</f>
        <v>33354322</v>
      </c>
      <c r="J205" s="227">
        <f>'Financial 1'!J205+'Financial 2'!J205+'Financial 3'!J205</f>
        <v>0</v>
      </c>
      <c r="K205" s="228">
        <f>'Financial 1'!K205+'Financial 2'!K205+'Financial 3'!K205</f>
        <v>0</v>
      </c>
      <c r="L205" s="225"/>
    </row>
    <row r="206" spans="1:12" s="218" customFormat="1" ht="12" outlineLevel="1">
      <c r="B206" s="219"/>
      <c r="C206" s="665"/>
      <c r="D206" s="240"/>
      <c r="E206" s="669" t="s">
        <v>2301</v>
      </c>
      <c r="F206" s="670"/>
      <c r="G206" s="227">
        <f>'Financial 1'!G206+'Financial 2'!G206+'Financial 3'!G206</f>
        <v>0</v>
      </c>
      <c r="H206" s="227">
        <f>'Financial 1'!H206+'Financial 2'!H206+'Financial 3'!H206</f>
        <v>0</v>
      </c>
      <c r="I206" s="227">
        <f>'Financial 1'!I206+'Financial 2'!I206+'Financial 3'!I206</f>
        <v>0</v>
      </c>
      <c r="J206" s="227">
        <f>'Financial 1'!J206+'Financial 2'!J206+'Financial 3'!J206</f>
        <v>0</v>
      </c>
      <c r="K206" s="228">
        <f>'Financial 1'!K206+'Financial 2'!K206+'Financial 3'!K206</f>
        <v>0</v>
      </c>
      <c r="L206" s="225"/>
    </row>
    <row r="207" spans="1:12" s="218" customFormat="1" ht="12" outlineLevel="1">
      <c r="B207" s="219"/>
      <c r="C207" s="665"/>
      <c r="D207" s="240"/>
      <c r="E207" s="669" t="s">
        <v>2302</v>
      </c>
      <c r="F207" s="670"/>
      <c r="G207" s="227">
        <f>'Financial 1'!G207+'Financial 2'!G207+'Financial 3'!G207</f>
        <v>0</v>
      </c>
      <c r="H207" s="227">
        <f>'Financial 1'!H207+'Financial 2'!H207+'Financial 3'!H207</f>
        <v>0</v>
      </c>
      <c r="I207" s="227">
        <f>'Financial 1'!I207+'Financial 2'!I207+'Financial 3'!I207</f>
        <v>0</v>
      </c>
      <c r="J207" s="227">
        <f>'Financial 1'!J207+'Financial 2'!J207+'Financial 3'!J207</f>
        <v>0</v>
      </c>
      <c r="K207" s="228">
        <f>'Financial 1'!K207+'Financial 2'!K207+'Financial 3'!K207</f>
        <v>0</v>
      </c>
      <c r="L207" s="225"/>
    </row>
    <row r="208" spans="1:12" s="125" customFormat="1" ht="12.75">
      <c r="B208" s="214"/>
      <c r="C208" s="665"/>
      <c r="D208" s="611" t="s">
        <v>2303</v>
      </c>
      <c r="E208" s="612"/>
      <c r="F208" s="613"/>
      <c r="G208" s="229">
        <f>SUM(G209:G210)-G212</f>
        <v>197633345</v>
      </c>
      <c r="H208" s="229">
        <f>SUM(H209:H210)-H212</f>
        <v>151763198</v>
      </c>
      <c r="I208" s="229">
        <f>SUM(I209:I210)-I212</f>
        <v>286091722</v>
      </c>
      <c r="J208" s="229">
        <f>SUM(J209:J210)-J212</f>
        <v>0</v>
      </c>
      <c r="K208" s="230">
        <f>SUM(K209:K210)-K212</f>
        <v>0</v>
      </c>
      <c r="L208" s="200"/>
    </row>
    <row r="209" spans="1:12" s="218" customFormat="1" ht="14.25" customHeight="1" outlineLevel="1">
      <c r="B209" s="219"/>
      <c r="C209" s="665"/>
      <c r="D209" s="220"/>
      <c r="E209" s="616" t="s">
        <v>2304</v>
      </c>
      <c r="F209" s="617"/>
      <c r="G209" s="222">
        <f>'Financial 1'!G209+'Financial 2'!G209+'Financial 3'!G209</f>
        <v>192615753</v>
      </c>
      <c r="H209" s="223">
        <f>'Financial 1'!H209+'Financial 2'!H209+'Financial 3'!H209</f>
        <v>145912756</v>
      </c>
      <c r="I209" s="223">
        <f>'Financial 1'!I209+'Financial 2'!I209+'Financial 3'!I209</f>
        <v>268954259</v>
      </c>
      <c r="J209" s="223">
        <f>'Financial 1'!J209+'Financial 2'!J209+'Financial 3'!J209</f>
        <v>0</v>
      </c>
      <c r="K209" s="224">
        <f>'Financial 1'!K209+'Financial 2'!K209+'Financial 3'!K209</f>
        <v>0</v>
      </c>
      <c r="L209" s="225"/>
    </row>
    <row r="210" spans="1:12" s="218" customFormat="1" ht="14.25" customHeight="1" outlineLevel="1">
      <c r="B210" s="219"/>
      <c r="C210" s="665"/>
      <c r="E210" s="626" t="s">
        <v>2305</v>
      </c>
      <c r="F210" s="627"/>
      <c r="G210" s="227">
        <f>'Financial 1'!G210+'Financial 2'!G210+'Financial 3'!G210</f>
        <v>5017592</v>
      </c>
      <c r="H210" s="227">
        <f>'Financial 1'!H210+'Financial 2'!H210+'Financial 3'!H210</f>
        <v>5850442</v>
      </c>
      <c r="I210" s="227">
        <f>'Financial 1'!I210+'Financial 2'!I210+'Financial 3'!I210</f>
        <v>17137463</v>
      </c>
      <c r="J210" s="227">
        <f>'Financial 1'!J210+'Financial 2'!J210+'Financial 3'!J210</f>
        <v>0</v>
      </c>
      <c r="K210" s="228">
        <f>'Financial 1'!K210+'Financial 2'!K210+'Financial 3'!K210</f>
        <v>0</v>
      </c>
      <c r="L210" s="225"/>
    </row>
    <row r="211" spans="1:12" s="218" customFormat="1" ht="14.25" customHeight="1" outlineLevel="1">
      <c r="B211" s="219"/>
      <c r="C211" s="665"/>
      <c r="E211" s="626" t="s">
        <v>2306</v>
      </c>
      <c r="F211" s="627"/>
      <c r="G211" s="227">
        <f>'Financial 1'!G211+'Financial 2'!G211+'Financial 3'!G211</f>
        <v>0</v>
      </c>
      <c r="H211" s="227">
        <f>'Financial 1'!H211+'Financial 2'!H211+'Financial 3'!H211</f>
        <v>0</v>
      </c>
      <c r="I211" s="227">
        <f>'Financial 1'!I211+'Financial 2'!I211+'Financial 3'!I211</f>
        <v>0</v>
      </c>
      <c r="J211" s="227">
        <f>'Financial 1'!J211+'Financial 2'!J211+'Financial 3'!J211</f>
        <v>0</v>
      </c>
      <c r="K211" s="228">
        <f>'Financial 1'!K211+'Financial 2'!K211+'Financial 3'!K211</f>
        <v>0</v>
      </c>
      <c r="L211" s="225"/>
    </row>
    <row r="212" spans="1:12" s="218" customFormat="1" ht="14.25" customHeight="1" outlineLevel="1">
      <c r="B212" s="219"/>
      <c r="C212" s="665"/>
      <c r="E212" s="621" t="s">
        <v>2307</v>
      </c>
      <c r="F212" s="622"/>
      <c r="G212" s="227">
        <f>'Financial 1'!G212+'Financial 2'!G212+'Financial 3'!G212</f>
        <v>0</v>
      </c>
      <c r="H212" s="227">
        <f>'Financial 1'!H212+'Financial 2'!H212+'Financial 3'!H212</f>
        <v>0</v>
      </c>
      <c r="I212" s="227">
        <f>'Financial 1'!I212+'Financial 2'!I212+'Financial 3'!I212</f>
        <v>0</v>
      </c>
      <c r="J212" s="227">
        <f>'Financial 1'!J212+'Financial 2'!J212+'Financial 3'!J212</f>
        <v>0</v>
      </c>
      <c r="K212" s="228">
        <f>'Financial 1'!K212+'Financial 2'!K212+'Financial 3'!K212</f>
        <v>0</v>
      </c>
      <c r="L212" s="225"/>
    </row>
    <row r="213" spans="1:12" s="125" customFormat="1" ht="12.75">
      <c r="A213" s="218"/>
      <c r="B213" s="214"/>
      <c r="C213" s="665"/>
      <c r="D213" s="611" t="s">
        <v>2308</v>
      </c>
      <c r="E213" s="612"/>
      <c r="F213" s="613"/>
      <c r="G213" s="227">
        <f>'Financial 1'!G213+'Financial 2'!G213+'Financial 3'!G213</f>
        <v>73087296</v>
      </c>
      <c r="H213" s="227">
        <f>'Financial 1'!H213+'Financial 2'!H213+'Financial 3'!H213</f>
        <v>177674353</v>
      </c>
      <c r="I213" s="227">
        <f>'Financial 1'!I213+'Financial 2'!I213+'Financial 3'!I213</f>
        <v>178190432</v>
      </c>
      <c r="J213" s="227">
        <f>'Financial 1'!J213+'Financial 2'!J213+'Financial 3'!J213</f>
        <v>0</v>
      </c>
      <c r="K213" s="228">
        <f>'Financial 1'!K213+'Financial 2'!K213+'Financial 3'!K213</f>
        <v>0</v>
      </c>
      <c r="L213" s="200"/>
    </row>
    <row r="214" spans="1:12" s="125" customFormat="1" ht="12.75">
      <c r="B214" s="214"/>
      <c r="C214" s="665"/>
      <c r="D214" s="611" t="s">
        <v>2309</v>
      </c>
      <c r="E214" s="612"/>
      <c r="F214" s="613"/>
      <c r="G214" s="229">
        <f>SUM(G215,G219)</f>
        <v>70710647</v>
      </c>
      <c r="H214" s="229">
        <f>SUM(H215,H219)</f>
        <v>107939838</v>
      </c>
      <c r="I214" s="229">
        <f>SUM(I215,I219)</f>
        <v>47453519</v>
      </c>
      <c r="J214" s="229">
        <f>SUM(J215,J219)</f>
        <v>0</v>
      </c>
      <c r="K214" s="230">
        <f>SUM(K215,K219)</f>
        <v>0</v>
      </c>
      <c r="L214" s="200"/>
    </row>
    <row r="215" spans="1:12" s="218" customFormat="1" ht="14.25" customHeight="1" outlineLevel="1">
      <c r="A215" s="125"/>
      <c r="B215" s="219"/>
      <c r="C215" s="665"/>
      <c r="D215" s="220"/>
      <c r="E215" s="616" t="s">
        <v>2310</v>
      </c>
      <c r="F215" s="617"/>
      <c r="G215" s="223">
        <f>SUM(G216:G218)</f>
        <v>0</v>
      </c>
      <c r="H215" s="223">
        <f>SUM(H216:H218)</f>
        <v>0</v>
      </c>
      <c r="I215" s="223">
        <f>SUM(I216:I218)</f>
        <v>0</v>
      </c>
      <c r="J215" s="223">
        <f>SUM(J216:J218)</f>
        <v>0</v>
      </c>
      <c r="K215" s="224">
        <f>SUM(K216:K218)</f>
        <v>0</v>
      </c>
      <c r="L215" s="225"/>
    </row>
    <row r="216" spans="1:12" s="218" customFormat="1" ht="14.25" customHeight="1" outlineLevel="1">
      <c r="A216" s="125"/>
      <c r="B216" s="219"/>
      <c r="C216" s="665"/>
      <c r="E216" s="239"/>
      <c r="F216" s="221" t="s">
        <v>2311</v>
      </c>
      <c r="G216" s="222">
        <f>'Financial 1'!G216+'Financial 2'!G216+'Financial 3'!G216</f>
        <v>0</v>
      </c>
      <c r="H216" s="223">
        <f>'Financial 1'!H216+'Financial 2'!H216+'Financial 3'!H216</f>
        <v>0</v>
      </c>
      <c r="I216" s="223">
        <f>'Financial 1'!I216+'Financial 2'!I216+'Financial 3'!I216</f>
        <v>0</v>
      </c>
      <c r="J216" s="223">
        <f>'Financial 1'!J216+'Financial 2'!J216+'Financial 3'!J216</f>
        <v>0</v>
      </c>
      <c r="K216" s="224">
        <f>'Financial 1'!K216+'Financial 2'!K216+'Financial 3'!K216</f>
        <v>0</v>
      </c>
      <c r="L216" s="225"/>
    </row>
    <row r="217" spans="1:12" s="218" customFormat="1" ht="14.25" customHeight="1" outlineLevel="1">
      <c r="A217" s="125"/>
      <c r="B217" s="219"/>
      <c r="C217" s="665"/>
      <c r="E217" s="240"/>
      <c r="F217" s="226" t="s">
        <v>2312</v>
      </c>
      <c r="G217" s="227">
        <f>'Financial 1'!G217+'Financial 2'!G217+'Financial 3'!G217</f>
        <v>0</v>
      </c>
      <c r="H217" s="227">
        <f>'Financial 1'!H217+'Financial 2'!H217+'Financial 3'!H217</f>
        <v>0</v>
      </c>
      <c r="I217" s="227">
        <f>'Financial 1'!I217+'Financial 2'!I217+'Financial 3'!I217</f>
        <v>0</v>
      </c>
      <c r="J217" s="227">
        <f>'Financial 1'!J217+'Financial 2'!J217+'Financial 3'!J217</f>
        <v>0</v>
      </c>
      <c r="K217" s="228">
        <f>'Financial 1'!K217+'Financial 2'!K217+'Financial 3'!K217</f>
        <v>0</v>
      </c>
      <c r="L217" s="225"/>
    </row>
    <row r="218" spans="1:12" s="218" customFormat="1" ht="14.25" customHeight="1" outlineLevel="1">
      <c r="A218" s="125"/>
      <c r="B218" s="219"/>
      <c r="C218" s="665"/>
      <c r="E218" s="240"/>
      <c r="F218" s="226" t="s">
        <v>2313</v>
      </c>
      <c r="G218" s="227">
        <f>'Financial 1'!G218+'Financial 2'!G218+'Financial 3'!G218</f>
        <v>0</v>
      </c>
      <c r="H218" s="227">
        <f>'Financial 1'!H218+'Financial 2'!H218+'Financial 3'!H218</f>
        <v>0</v>
      </c>
      <c r="I218" s="227">
        <f>'Financial 1'!I218+'Financial 2'!I218+'Financial 3'!I218</f>
        <v>0</v>
      </c>
      <c r="J218" s="227">
        <f>'Financial 1'!J218+'Financial 2'!J218+'Financial 3'!J218</f>
        <v>0</v>
      </c>
      <c r="K218" s="228">
        <f>'Financial 1'!K218+'Financial 2'!K218+'Financial 3'!K218</f>
        <v>0</v>
      </c>
      <c r="L218" s="225"/>
    </row>
    <row r="219" spans="1:12" s="218" customFormat="1" ht="14.25" customHeight="1" outlineLevel="1">
      <c r="B219" s="219"/>
      <c r="C219" s="665"/>
      <c r="E219" s="626" t="s">
        <v>2314</v>
      </c>
      <c r="F219" s="627"/>
      <c r="G219" s="227">
        <f>'Financial 1'!G219+'Financial 2'!G219+'Financial 3'!G219</f>
        <v>70710647</v>
      </c>
      <c r="H219" s="227">
        <f>'Financial 1'!H219+'Financial 2'!H219+'Financial 3'!H219</f>
        <v>107939838</v>
      </c>
      <c r="I219" s="227">
        <f>'Financial 1'!I219+'Financial 2'!I219+'Financial 3'!I219</f>
        <v>47453519</v>
      </c>
      <c r="J219" s="227">
        <f>'Financial 1'!J219+'Financial 2'!J219+'Financial 3'!J219</f>
        <v>0</v>
      </c>
      <c r="K219" s="228">
        <f>'Financial 1'!K219+'Financial 2'!K219+'Financial 3'!K219</f>
        <v>0</v>
      </c>
      <c r="L219" s="225"/>
    </row>
    <row r="220" spans="1:12" s="125" customFormat="1" ht="12.75">
      <c r="A220" s="218"/>
      <c r="B220" s="214"/>
      <c r="C220" s="743"/>
      <c r="D220" s="646" t="s">
        <v>2315</v>
      </c>
      <c r="E220" s="647"/>
      <c r="F220" s="648"/>
      <c r="G220" s="231">
        <f>'Financial 1'!G220+'Financial 2'!G220+'Financial 3'!G220</f>
        <v>3629302</v>
      </c>
      <c r="H220" s="231">
        <f>'Financial 1'!H220+'Financial 2'!H220+'Financial 3'!H220</f>
        <v>8134945</v>
      </c>
      <c r="I220" s="231">
        <f>'Financial 1'!I220+'Financial 2'!I220+'Financial 3'!I220</f>
        <v>64924232</v>
      </c>
      <c r="J220" s="231">
        <f>'Financial 1'!J220+'Financial 2'!J220+'Financial 3'!J220</f>
        <v>0</v>
      </c>
      <c r="K220" s="232">
        <f>'Financial 1'!K220+'Financial 2'!K220+'Financial 3'!K220</f>
        <v>0</v>
      </c>
      <c r="L220" s="200"/>
    </row>
    <row r="221" spans="1:12" ht="17.25" customHeight="1">
      <c r="A221" s="125"/>
      <c r="B221" s="127"/>
      <c r="C221" s="708" t="s">
        <v>2316</v>
      </c>
      <c r="D221" s="709"/>
      <c r="E221" s="709"/>
      <c r="F221" s="710" t="s">
        <v>2317</v>
      </c>
      <c r="G221" s="233">
        <f>SUM(G196,G203,G208,G213:G214,G220)</f>
        <v>355163482</v>
      </c>
      <c r="H221" s="233">
        <f>SUM(H196,H203,H208,H213:H214,H220)</f>
        <v>455653965</v>
      </c>
      <c r="I221" s="233">
        <f>SUM(I196,I203,I208,I213:I214,I220)</f>
        <v>657399115</v>
      </c>
      <c r="J221" s="233">
        <f>SUM(J196,J203,J208,J213:J214,J220)</f>
        <v>0</v>
      </c>
      <c r="K221" s="234">
        <f>SUM(K196,K203,K208,K213:K214,K220)</f>
        <v>0</v>
      </c>
      <c r="L221" s="128"/>
    </row>
    <row r="222" spans="1:12" ht="17.25" customHeight="1">
      <c r="A222" s="125"/>
      <c r="B222" s="127"/>
      <c r="C222" s="687" t="s">
        <v>2318</v>
      </c>
      <c r="D222" s="688"/>
      <c r="E222" s="688"/>
      <c r="F222" s="688" t="s">
        <v>2319</v>
      </c>
      <c r="G222" s="294">
        <f>SUM(G193,G221)</f>
        <v>573801578</v>
      </c>
      <c r="H222" s="294">
        <f>SUM(H193,H221)</f>
        <v>798759312</v>
      </c>
      <c r="I222" s="294">
        <f>SUM(I193,I221)</f>
        <v>1048379086</v>
      </c>
      <c r="J222" s="294">
        <f>SUM(J193,J221)</f>
        <v>0</v>
      </c>
      <c r="K222" s="295">
        <f>SUM(K193,K221)</f>
        <v>0</v>
      </c>
      <c r="L222" s="128"/>
    </row>
    <row r="223" spans="1:12" ht="14.25" customHeight="1">
      <c r="B223" s="127"/>
      <c r="F223" s="301"/>
      <c r="G223" s="302"/>
      <c r="H223" s="303"/>
      <c r="I223" s="303"/>
      <c r="J223" s="303"/>
      <c r="K223" s="303"/>
      <c r="L223" s="128"/>
    </row>
    <row r="224" spans="1:12" s="218" customFormat="1" ht="12">
      <c r="B224" s="219"/>
      <c r="C224" s="711" t="s">
        <v>2320</v>
      </c>
      <c r="D224" s="712"/>
      <c r="E224" s="712"/>
      <c r="F224" s="712"/>
      <c r="G224" s="304">
        <f>G163-G222</f>
        <v>0</v>
      </c>
      <c r="H224" s="304">
        <f>H163-H222</f>
        <v>0</v>
      </c>
      <c r="I224" s="304">
        <f>I163-I222</f>
        <v>0</v>
      </c>
      <c r="J224" s="304">
        <f>J163-J222</f>
        <v>0</v>
      </c>
      <c r="K224" s="305">
        <f>K163-K222</f>
        <v>0</v>
      </c>
      <c r="L224" s="225"/>
    </row>
    <row r="225" spans="1:12" s="285" customFormat="1" ht="14.25" customHeight="1">
      <c r="A225" s="125"/>
      <c r="B225" s="127"/>
      <c r="C225" s="124"/>
      <c r="D225" s="124"/>
      <c r="E225" s="124"/>
      <c r="F225" s="240"/>
      <c r="G225" s="306"/>
      <c r="H225" s="268"/>
      <c r="I225" s="268"/>
      <c r="J225" s="268"/>
      <c r="K225" s="268"/>
      <c r="L225" s="128"/>
    </row>
    <row r="226" spans="1:12" s="285" customFormat="1" ht="19.5">
      <c r="A226" s="124"/>
      <c r="B226" s="127"/>
      <c r="C226" s="720" t="s">
        <v>2321</v>
      </c>
      <c r="D226" s="721"/>
      <c r="E226" s="721"/>
      <c r="F226" s="721"/>
      <c r="G226" s="721"/>
      <c r="H226" s="721"/>
      <c r="I226" s="721"/>
      <c r="J226" s="721"/>
      <c r="K226" s="722"/>
      <c r="L226" s="128"/>
    </row>
    <row r="227" spans="1:12" s="285" customFormat="1" ht="17.25" customHeight="1">
      <c r="A227" s="124"/>
      <c r="B227" s="127"/>
      <c r="C227" s="623" t="s">
        <v>2322</v>
      </c>
      <c r="D227" s="624"/>
      <c r="E227" s="624"/>
      <c r="F227" s="625" t="s">
        <v>2323</v>
      </c>
      <c r="G227" s="279">
        <f>G6</f>
        <v>43921</v>
      </c>
      <c r="H227" s="279">
        <f>H6</f>
        <v>44286</v>
      </c>
      <c r="I227" s="279">
        <f>I6</f>
        <v>44651</v>
      </c>
      <c r="J227" s="279">
        <f>J6</f>
        <v>45016</v>
      </c>
      <c r="K227" s="280">
        <f>K6</f>
        <v>45382</v>
      </c>
      <c r="L227" s="128"/>
    </row>
    <row r="228" spans="1:12" s="309" customFormat="1" ht="16.5">
      <c r="A228" s="124"/>
      <c r="B228" s="307"/>
      <c r="C228" s="703" t="s">
        <v>2324</v>
      </c>
      <c r="D228" s="704"/>
      <c r="E228" s="704"/>
      <c r="F228" s="704"/>
      <c r="G228" s="704"/>
      <c r="H228" s="704"/>
      <c r="I228" s="704"/>
      <c r="J228" s="704"/>
      <c r="K228" s="705"/>
      <c r="L228" s="308"/>
    </row>
    <row r="229" spans="1:12" s="285" customFormat="1" ht="16.5">
      <c r="A229" s="310"/>
      <c r="B229" s="214"/>
      <c r="C229" s="649" t="s">
        <v>2325</v>
      </c>
      <c r="D229" s="650"/>
      <c r="E229" s="650"/>
      <c r="F229" s="651"/>
      <c r="G229" s="311"/>
      <c r="H229" s="261">
        <f>IFERROR((H23-G23)/G23,0)</f>
        <v>5739.2770839809918</v>
      </c>
      <c r="I229" s="261">
        <f>IFERROR((I23-H23)/H23,0)</f>
        <v>7.6019804044614103E-4</v>
      </c>
      <c r="J229" s="261">
        <f>IFERROR((J23-I23)/I23,0)</f>
        <v>-1</v>
      </c>
      <c r="K229" s="262">
        <f>IFERROR((K23-J23)/J23,0)</f>
        <v>0</v>
      </c>
      <c r="L229" s="200"/>
    </row>
    <row r="230" spans="1:12" s="285" customFormat="1" ht="12.75">
      <c r="A230" s="125"/>
      <c r="B230" s="214"/>
      <c r="C230" s="649" t="s">
        <v>2326</v>
      </c>
      <c r="D230" s="650"/>
      <c r="E230" s="650"/>
      <c r="F230" s="651"/>
      <c r="G230" s="311"/>
      <c r="H230" s="261">
        <f>IFERROR(H55/G55-1,0)</f>
        <v>-1.1560980986559266</v>
      </c>
      <c r="I230" s="261">
        <f>IFERROR(I55/H55-1,0)</f>
        <v>0.19990067904799136</v>
      </c>
      <c r="J230" s="261">
        <f>IFERROR(J55/I55-1,0)</f>
        <v>-1</v>
      </c>
      <c r="K230" s="262">
        <f>IFERROR(K55/J55-1,0)</f>
        <v>0</v>
      </c>
      <c r="L230" s="200"/>
    </row>
    <row r="231" spans="1:12" s="285" customFormat="1" ht="12.75">
      <c r="A231" s="125"/>
      <c r="B231" s="214"/>
      <c r="C231" s="649" t="s">
        <v>2327</v>
      </c>
      <c r="D231" s="650"/>
      <c r="E231" s="650"/>
      <c r="F231" s="651"/>
      <c r="G231" s="311"/>
      <c r="H231" s="261">
        <f>IFERROR((H92-G92)/G92,0)</f>
        <v>-1.0841271615466033</v>
      </c>
      <c r="I231" s="261">
        <f>IFERROR((I92-H92)/H92,0)</f>
        <v>8.7588583089219949E-2</v>
      </c>
      <c r="J231" s="261">
        <f>IFERROR((J92-I92)/I92,0)</f>
        <v>-1</v>
      </c>
      <c r="K231" s="262">
        <f>IFERROR((K92-J92)/J92,0)</f>
        <v>0</v>
      </c>
      <c r="L231" s="200"/>
    </row>
    <row r="232" spans="1:12" ht="7.5" customHeight="1">
      <c r="A232" s="125"/>
      <c r="B232" s="127"/>
      <c r="C232" s="665"/>
      <c r="D232" s="666"/>
      <c r="E232" s="666"/>
      <c r="F232" s="667"/>
      <c r="G232" s="666"/>
      <c r="H232" s="666"/>
      <c r="I232" s="666"/>
      <c r="J232" s="666"/>
      <c r="K232" s="668"/>
      <c r="L232" s="128"/>
    </row>
    <row r="233" spans="1:12" s="309" customFormat="1" ht="16.5">
      <c r="A233" s="124"/>
      <c r="B233" s="307"/>
      <c r="C233" s="703" t="s">
        <v>2328</v>
      </c>
      <c r="D233" s="704"/>
      <c r="E233" s="704"/>
      <c r="F233" s="704"/>
      <c r="G233" s="704"/>
      <c r="H233" s="704"/>
      <c r="I233" s="704"/>
      <c r="J233" s="704"/>
      <c r="K233" s="705"/>
      <c r="L233" s="308"/>
    </row>
    <row r="234" spans="1:12" s="285" customFormat="1" ht="16.5">
      <c r="A234" s="310"/>
      <c r="B234" s="214"/>
      <c r="C234" s="649" t="s">
        <v>2329</v>
      </c>
      <c r="D234" s="650"/>
      <c r="E234" s="650"/>
      <c r="F234" s="651"/>
      <c r="G234" s="261">
        <f>IFERROR(G55/G23,0)</f>
        <v>-4664.0020828707202</v>
      </c>
      <c r="H234" s="261">
        <f>IFERROR(H55/H23,0)</f>
        <v>0.12683043808026251</v>
      </c>
      <c r="I234" s="261">
        <f>IFERROR(I55/I23,0)</f>
        <v>0.15206832673246526</v>
      </c>
      <c r="J234" s="261">
        <f>IFERROR(J55/J23,0)</f>
        <v>0</v>
      </c>
      <c r="K234" s="262">
        <f>IFERROR(K55/K23,0)</f>
        <v>0</v>
      </c>
      <c r="L234" s="200"/>
    </row>
    <row r="235" spans="1:12" s="285" customFormat="1" ht="12.75">
      <c r="A235" s="125"/>
      <c r="B235" s="214"/>
      <c r="C235" s="618" t="s">
        <v>2330</v>
      </c>
      <c r="D235" s="619"/>
      <c r="E235" s="619"/>
      <c r="F235" s="620"/>
      <c r="G235" s="261">
        <f>IFERROR((G92-G73)/G23,0)</f>
        <v>-4971.0089532353331</v>
      </c>
      <c r="H235" s="261">
        <f>IFERROR((H92-H73)/H23,0)</f>
        <v>6.8402365682980429E-2</v>
      </c>
      <c r="I235" s="261">
        <f>IFERROR((I92-I73)/I23,0)</f>
        <v>7.4288478223870441E-2</v>
      </c>
      <c r="J235" s="261">
        <f>IFERROR((J92-J73)/J23,0)</f>
        <v>0</v>
      </c>
      <c r="K235" s="262">
        <f>IFERROR((K92-K73)/K23,0)</f>
        <v>0</v>
      </c>
      <c r="L235" s="200"/>
    </row>
    <row r="236" spans="1:12" s="285" customFormat="1" ht="12.75">
      <c r="A236" s="125"/>
      <c r="B236" s="214"/>
      <c r="C236" s="649" t="s">
        <v>2331</v>
      </c>
      <c r="D236" s="650"/>
      <c r="E236" s="650"/>
      <c r="F236" s="651"/>
      <c r="G236" s="261">
        <f>IFERROR((G100-G73)/G23,0)</f>
        <v>-4852.7353510680823</v>
      </c>
      <c r="H236" s="261">
        <f>IFERROR((H100-H73)/H23,0)</f>
        <v>9.2299418950012285E-2</v>
      </c>
      <c r="I236" s="261">
        <f>IFERROR((I100-I73)/I23,0)</f>
        <v>0.11629246610570096</v>
      </c>
      <c r="J236" s="261">
        <f>IFERROR((J100-J73)/J23,0)</f>
        <v>0</v>
      </c>
      <c r="K236" s="262">
        <f>IFERROR((K100-K73)/K23,0)</f>
        <v>0</v>
      </c>
      <c r="L236" s="200"/>
    </row>
    <row r="237" spans="1:12" s="285" customFormat="1" ht="12.75">
      <c r="A237" s="125"/>
      <c r="B237" s="214"/>
      <c r="C237" s="649" t="s">
        <v>2332</v>
      </c>
      <c r="D237" s="650"/>
      <c r="E237" s="650"/>
      <c r="F237" s="651"/>
      <c r="G237" s="261">
        <f>IFERROR(G65/(G222-G162),0)</f>
        <v>-3.3240270204515374</v>
      </c>
      <c r="H237" s="261">
        <f>IFERROR(H65/(H222-H162),0)</f>
        <v>0.30254926896911455</v>
      </c>
      <c r="I237" s="261">
        <f>IFERROR(I65/(I222-I162),0)</f>
        <v>0.25509555238434856</v>
      </c>
      <c r="J237" s="261">
        <f>IFERROR(J65/(J222-J162),0)</f>
        <v>0</v>
      </c>
      <c r="K237" s="262">
        <f>IFERROR(K65/(K222-K162),0)</f>
        <v>0</v>
      </c>
      <c r="L237" s="200"/>
    </row>
    <row r="238" spans="1:12" s="285" customFormat="1" ht="12.75">
      <c r="A238" s="125"/>
      <c r="B238" s="214"/>
      <c r="C238" s="649" t="s">
        <v>2333</v>
      </c>
      <c r="D238" s="650"/>
      <c r="E238" s="650"/>
      <c r="F238" s="651"/>
      <c r="G238" s="261">
        <f>IFERROR(G92/G119,0)</f>
        <v>-4.2564366713774167</v>
      </c>
      <c r="H238" s="261">
        <f>IFERROR(H92/H119,0)</f>
        <v>0.26354564620127424</v>
      </c>
      <c r="I238" s="261">
        <f>IFERROR(I92/I119,0)</f>
        <v>0.22262908489199029</v>
      </c>
      <c r="J238" s="261">
        <f>IFERROR(J92/J119,0)</f>
        <v>0</v>
      </c>
      <c r="K238" s="262">
        <f>IFERROR(K92/K119,0)</f>
        <v>0</v>
      </c>
      <c r="L238" s="200"/>
    </row>
    <row r="239" spans="1:12" s="285" customFormat="1" ht="12.75">
      <c r="A239" s="125"/>
      <c r="B239" s="214"/>
      <c r="C239" s="649" t="s">
        <v>2334</v>
      </c>
      <c r="D239" s="650"/>
      <c r="E239" s="650"/>
      <c r="F239" s="651"/>
      <c r="G239" s="261">
        <f>IFERROR(G92/G222,0)</f>
        <v>-1.9446708318393646</v>
      </c>
      <c r="H239" s="261">
        <f>IFERROR(H92/H222,0)</f>
        <v>0.11752442643197629</v>
      </c>
      <c r="I239" s="261">
        <f>IFERROR(I92/I222,0)</f>
        <v>9.7384618181900667E-2</v>
      </c>
      <c r="J239" s="261">
        <f>IFERROR(J92/J222,0)</f>
        <v>0</v>
      </c>
      <c r="K239" s="262">
        <f>IFERROR(K92/K222,0)</f>
        <v>0</v>
      </c>
      <c r="L239" s="200"/>
    </row>
    <row r="240" spans="1:12" ht="7.5" customHeight="1">
      <c r="A240" s="125"/>
      <c r="B240" s="127"/>
      <c r="C240" s="665"/>
      <c r="D240" s="666"/>
      <c r="E240" s="666"/>
      <c r="F240" s="667"/>
      <c r="G240" s="666"/>
      <c r="H240" s="666"/>
      <c r="I240" s="666"/>
      <c r="J240" s="666"/>
      <c r="K240" s="668"/>
      <c r="L240" s="128"/>
    </row>
    <row r="241" spans="1:12" s="309" customFormat="1" ht="16.5">
      <c r="A241" s="124"/>
      <c r="B241" s="307"/>
      <c r="C241" s="703" t="s">
        <v>2335</v>
      </c>
      <c r="D241" s="704"/>
      <c r="E241" s="704"/>
      <c r="F241" s="704"/>
      <c r="G241" s="704"/>
      <c r="H241" s="704"/>
      <c r="I241" s="704"/>
      <c r="J241" s="704"/>
      <c r="K241" s="705"/>
      <c r="L241" s="308"/>
    </row>
    <row r="242" spans="1:12" s="285" customFormat="1" ht="16.5">
      <c r="A242" s="310"/>
      <c r="B242" s="214"/>
      <c r="C242" s="649" t="s">
        <v>2336</v>
      </c>
      <c r="D242" s="650"/>
      <c r="E242" s="650"/>
      <c r="F242" s="651"/>
      <c r="G242" s="299">
        <f>IFERROR(G221/G162,0)</f>
        <v>1.4037212706582014</v>
      </c>
      <c r="H242" s="299">
        <f>IFERROR(H221/H162,0)</f>
        <v>1.4109258259260784</v>
      </c>
      <c r="I242" s="299">
        <f>IFERROR(I221/I162,0)</f>
        <v>1.5294591776210238</v>
      </c>
      <c r="J242" s="299">
        <f>IFERROR(J221/J162,0)</f>
        <v>0</v>
      </c>
      <c r="K242" s="300">
        <f>IFERROR(K221/K162,0)</f>
        <v>0</v>
      </c>
      <c r="L242" s="200"/>
    </row>
    <row r="243" spans="1:12" s="285" customFormat="1" ht="12.75">
      <c r="A243" s="125"/>
      <c r="B243" s="214"/>
      <c r="C243" s="649" t="s">
        <v>2337</v>
      </c>
      <c r="D243" s="650"/>
      <c r="E243" s="650"/>
      <c r="F243" s="651"/>
      <c r="G243" s="299">
        <f>G221-G162</f>
        <v>102147809</v>
      </c>
      <c r="H243" s="299">
        <f>H221-H162</f>
        <v>132707176</v>
      </c>
      <c r="I243" s="299">
        <f>I221-I162</f>
        <v>227574557</v>
      </c>
      <c r="J243" s="299">
        <f>J221-J162</f>
        <v>0</v>
      </c>
      <c r="K243" s="300">
        <f>K221-K162</f>
        <v>0</v>
      </c>
      <c r="L243" s="200"/>
    </row>
    <row r="244" spans="1:12" s="285" customFormat="1" ht="12.75">
      <c r="A244" s="125"/>
      <c r="B244" s="214"/>
      <c r="C244" s="649" t="s">
        <v>2338</v>
      </c>
      <c r="D244" s="650"/>
      <c r="E244" s="650"/>
      <c r="F244" s="651"/>
      <c r="G244" s="299">
        <f>IFERROR(G23/G243,0)</f>
        <v>2.2043546719636444E-3</v>
      </c>
      <c r="H244" s="299">
        <f>IFERROR(H23/H243,0)</f>
        <v>9.7397761745755176</v>
      </c>
      <c r="I244" s="299">
        <f>IFERROR(I23/I243,0)</f>
        <v>5.6839428495514985</v>
      </c>
      <c r="J244" s="299">
        <f>IFERROR(J23/J243,0)</f>
        <v>0</v>
      </c>
      <c r="K244" s="300">
        <f>IFERROR(K23/K243,0)</f>
        <v>0</v>
      </c>
      <c r="L244" s="200"/>
    </row>
    <row r="245" spans="1:12" s="285" customFormat="1" ht="12.75">
      <c r="A245" s="125"/>
      <c r="B245" s="214"/>
      <c r="C245" s="649" t="s">
        <v>2339</v>
      </c>
      <c r="D245" s="650"/>
      <c r="E245" s="650"/>
      <c r="F245" s="651"/>
      <c r="G245" s="299">
        <f>IFERROR((G221-G220-G203)/G162,0)</f>
        <v>1.3494471862223334</v>
      </c>
      <c r="H245" s="299">
        <f>IFERROR((H221-H220-H203)/H162,0)</f>
        <v>1.3543326761487013</v>
      </c>
      <c r="I245" s="299">
        <f>IFERROR((I221-I220-I203)/I162,0)</f>
        <v>1.1905687180396054</v>
      </c>
      <c r="J245" s="299">
        <f>IFERROR((J221-J220-J203)/J162,0)</f>
        <v>0</v>
      </c>
      <c r="K245" s="300">
        <f>IFERROR((K221-K220-K203)/K162,0)</f>
        <v>0</v>
      </c>
      <c r="L245" s="200"/>
    </row>
    <row r="246" spans="1:12" ht="7.5" customHeight="1">
      <c r="A246" s="125"/>
      <c r="B246" s="127"/>
      <c r="C246" s="665"/>
      <c r="D246" s="666"/>
      <c r="E246" s="666"/>
      <c r="F246" s="667"/>
      <c r="G246" s="666"/>
      <c r="H246" s="666"/>
      <c r="I246" s="666"/>
      <c r="J246" s="666"/>
      <c r="K246" s="668"/>
      <c r="L246" s="128"/>
    </row>
    <row r="247" spans="1:12" s="309" customFormat="1" ht="16.5">
      <c r="A247" s="124"/>
      <c r="B247" s="307"/>
      <c r="C247" s="703" t="s">
        <v>2340</v>
      </c>
      <c r="D247" s="704"/>
      <c r="E247" s="704"/>
      <c r="F247" s="704"/>
      <c r="G247" s="704"/>
      <c r="H247" s="704"/>
      <c r="I247" s="704"/>
      <c r="J247" s="704"/>
      <c r="K247" s="705"/>
      <c r="L247" s="308"/>
    </row>
    <row r="248" spans="1:12" s="285" customFormat="1" ht="16.5">
      <c r="A248" s="310"/>
      <c r="B248" s="214"/>
      <c r="C248" s="649" t="s">
        <v>2341</v>
      </c>
      <c r="D248" s="650"/>
      <c r="E248" s="650"/>
      <c r="F248" s="651"/>
      <c r="G248" s="299">
        <f>IFERROR(G26/G203,0)</f>
        <v>50.946553026598721</v>
      </c>
      <c r="H248" s="299">
        <f>IFERROR(H26/H203,0)</f>
        <v>52.411193820796676</v>
      </c>
      <c r="I248" s="299">
        <f>IFERROR(I26/I203,0)</f>
        <v>5.9154529626930952</v>
      </c>
      <c r="J248" s="299">
        <f>IFERROR(J26/J203,0)</f>
        <v>0</v>
      </c>
      <c r="K248" s="300">
        <f>IFERROR(K26/K203,0)</f>
        <v>0</v>
      </c>
      <c r="L248" s="200"/>
    </row>
    <row r="249" spans="1:12" s="285" customFormat="1" ht="12.75">
      <c r="A249" s="125"/>
      <c r="B249" s="214"/>
      <c r="C249" s="649" t="s">
        <v>2342</v>
      </c>
      <c r="D249" s="650"/>
      <c r="E249" s="650"/>
      <c r="F249" s="651"/>
      <c r="G249" s="299">
        <f>IFERROR(365/G248,0)</f>
        <v>7.1643708615465487</v>
      </c>
      <c r="H249" s="299">
        <f>IFERROR(365/H248,0)</f>
        <v>6.9641611532070957</v>
      </c>
      <c r="I249" s="299">
        <f>IFERROR(365/I248,0)</f>
        <v>61.702798129228718</v>
      </c>
      <c r="J249" s="299">
        <f>IFERROR(365/J248,0)</f>
        <v>0</v>
      </c>
      <c r="K249" s="300">
        <f>IFERROR(365/K248,0)</f>
        <v>0</v>
      </c>
      <c r="L249" s="200"/>
    </row>
    <row r="250" spans="1:12" s="285" customFormat="1" ht="12.75">
      <c r="A250" s="125"/>
      <c r="B250" s="214"/>
      <c r="C250" s="649" t="s">
        <v>2343</v>
      </c>
      <c r="D250" s="650"/>
      <c r="E250" s="650"/>
      <c r="F250" s="651"/>
      <c r="G250" s="299">
        <f>IFERROR(G23/G208,0)</f>
        <v>1.1393320292180451E-3</v>
      </c>
      <c r="H250" s="299">
        <f>IFERROR(H23/H208,0)</f>
        <v>8.5168091344516874</v>
      </c>
      <c r="I250" s="299">
        <f>IFERROR(I23/I208,0)</f>
        <v>4.5213498907179144</v>
      </c>
      <c r="J250" s="299">
        <f>IFERROR(J23/J208,0)</f>
        <v>0</v>
      </c>
      <c r="K250" s="300">
        <f>IFERROR(K23/K208,0)</f>
        <v>0</v>
      </c>
      <c r="L250" s="200"/>
    </row>
    <row r="251" spans="1:12" s="285" customFormat="1" ht="12.75">
      <c r="A251" s="125"/>
      <c r="B251" s="214"/>
      <c r="C251" s="649" t="s">
        <v>2344</v>
      </c>
      <c r="D251" s="650"/>
      <c r="E251" s="650"/>
      <c r="F251" s="651"/>
      <c r="G251" s="299">
        <f>IFERROR(365/G250,0)</f>
        <v>320363.1519518586</v>
      </c>
      <c r="H251" s="299">
        <f>IFERROR(365/H250,0)</f>
        <v>42.856425949892881</v>
      </c>
      <c r="I251" s="299">
        <f>IFERROR(365/I250,0)</f>
        <v>80.728103071457738</v>
      </c>
      <c r="J251" s="299">
        <f>IFERROR(365/J250,0)</f>
        <v>0</v>
      </c>
      <c r="K251" s="300">
        <f>IFERROR(365/K250,0)</f>
        <v>0</v>
      </c>
      <c r="L251" s="200"/>
    </row>
    <row r="252" spans="1:12" s="285" customFormat="1" ht="12.75">
      <c r="A252" s="125"/>
      <c r="B252" s="214"/>
      <c r="C252" s="649" t="s">
        <v>2345</v>
      </c>
      <c r="D252" s="650"/>
      <c r="E252" s="650"/>
      <c r="F252" s="651"/>
      <c r="G252" s="299">
        <f>IFERROR((G26+G38)/G152,0)</f>
        <v>4.2060755188029884</v>
      </c>
      <c r="H252" s="299">
        <f>IFERROR((H26+H38)/H152,0)</f>
        <v>4.3354536469234883</v>
      </c>
      <c r="I252" s="299">
        <f>IFERROR((I26+I38)/I152,0)</f>
        <v>2.764133488742083</v>
      </c>
      <c r="J252" s="299">
        <f>IFERROR((J26+J38)/J152,0)</f>
        <v>0</v>
      </c>
      <c r="K252" s="300">
        <f>IFERROR((K26+K38)/K152,0)</f>
        <v>0</v>
      </c>
      <c r="L252" s="200"/>
    </row>
    <row r="253" spans="1:12" s="285" customFormat="1" ht="12.75">
      <c r="A253" s="125"/>
      <c r="B253" s="214"/>
      <c r="C253" s="649" t="s">
        <v>2346</v>
      </c>
      <c r="D253" s="650"/>
      <c r="E253" s="650"/>
      <c r="F253" s="651"/>
      <c r="G253" s="299">
        <f>IFERROR(365/G252,0)</f>
        <v>86.779231225947115</v>
      </c>
      <c r="H253" s="299">
        <f>IFERROR(365/H252,0)</f>
        <v>84.189575007683501</v>
      </c>
      <c r="I253" s="299">
        <f>IFERROR(365/I252,0)</f>
        <v>132.04861541115591</v>
      </c>
      <c r="J253" s="299">
        <f>IFERROR(365/J252,0)</f>
        <v>0</v>
      </c>
      <c r="K253" s="300">
        <f>IFERROR(365/K252,0)</f>
        <v>0</v>
      </c>
      <c r="L253" s="200"/>
    </row>
    <row r="254" spans="1:12" s="285" customFormat="1" ht="12.75">
      <c r="A254" s="125"/>
      <c r="B254" s="214"/>
      <c r="C254" s="649" t="s">
        <v>2347</v>
      </c>
      <c r="D254" s="650"/>
      <c r="E254" s="650"/>
      <c r="F254" s="651"/>
      <c r="G254" s="299">
        <f>IFERROR(G249+G251-G253,0)</f>
        <v>320283.53709149419</v>
      </c>
      <c r="H254" s="299">
        <f>IFERROR(H249+H251-H253,0)</f>
        <v>-34.368987904583527</v>
      </c>
      <c r="I254" s="299">
        <f>IFERROR(I249+I251-I253,0)</f>
        <v>10.382285789530556</v>
      </c>
      <c r="J254" s="299">
        <f>IFERROR(J249+J251-J253,0)</f>
        <v>0</v>
      </c>
      <c r="K254" s="300">
        <f>IFERROR(K249+K251-K253,0)</f>
        <v>0</v>
      </c>
      <c r="L254" s="200"/>
    </row>
    <row r="255" spans="1:12" s="285" customFormat="1" ht="12.75">
      <c r="A255" s="125"/>
      <c r="B255" s="214"/>
      <c r="C255" s="649" t="s">
        <v>2348</v>
      </c>
      <c r="D255" s="650"/>
      <c r="E255" s="650"/>
      <c r="F255" s="651"/>
      <c r="G255" s="299">
        <f>IFERROR(G23/(G168-G172),0)</f>
        <v>2.6910307027636781E-3</v>
      </c>
      <c r="H255" s="299">
        <f>IFERROR(H23/(H168-H172),0)</f>
        <v>8.6872355260213361</v>
      </c>
      <c r="I255" s="299">
        <f>IFERROR(I23/(I168-I172),0)</f>
        <v>4.2546306223395112</v>
      </c>
      <c r="J255" s="299">
        <f>IFERROR(J23/(J168-J172),0)</f>
        <v>0</v>
      </c>
      <c r="K255" s="300">
        <f>IFERROR(K23/(K168-K172),0)</f>
        <v>0</v>
      </c>
      <c r="L255" s="200"/>
    </row>
    <row r="256" spans="1:12" s="285" customFormat="1" ht="12.75">
      <c r="A256" s="125"/>
      <c r="B256" s="214"/>
      <c r="C256" s="649" t="s">
        <v>2349</v>
      </c>
      <c r="D256" s="650"/>
      <c r="E256" s="650"/>
      <c r="F256" s="651"/>
      <c r="G256" s="299">
        <f>IFERROR(G23/G222,0)</f>
        <v>3.9241788212719068E-4</v>
      </c>
      <c r="H256" s="299">
        <f>IFERROR(H23/H222,0)</f>
        <v>1.6181823129718955</v>
      </c>
      <c r="I256" s="299">
        <f>IFERROR(I23/I222,0)</f>
        <v>1.2338292448538981</v>
      </c>
      <c r="J256" s="299">
        <f>IFERROR(J23/J222,0)</f>
        <v>0</v>
      </c>
      <c r="K256" s="300">
        <f>IFERROR(K23/K222,0)</f>
        <v>0</v>
      </c>
      <c r="L256" s="200"/>
    </row>
    <row r="257" spans="1:12" s="285" customFormat="1" ht="7.5" customHeight="1">
      <c r="A257" s="125"/>
      <c r="B257" s="214"/>
      <c r="C257" s="665"/>
      <c r="D257" s="666"/>
      <c r="E257" s="666"/>
      <c r="F257" s="666"/>
      <c r="G257" s="666"/>
      <c r="H257" s="666"/>
      <c r="I257" s="666"/>
      <c r="J257" s="666"/>
      <c r="K257" s="668"/>
      <c r="L257" s="200"/>
    </row>
    <row r="258" spans="1:12" s="309" customFormat="1" ht="16.5">
      <c r="A258" s="125"/>
      <c r="B258" s="307"/>
      <c r="C258" s="703" t="s">
        <v>2350</v>
      </c>
      <c r="D258" s="704"/>
      <c r="E258" s="704"/>
      <c r="F258" s="704"/>
      <c r="G258" s="704"/>
      <c r="H258" s="704"/>
      <c r="I258" s="704"/>
      <c r="J258" s="704"/>
      <c r="K258" s="705"/>
      <c r="L258" s="308"/>
    </row>
    <row r="259" spans="1:12" s="125" customFormat="1" ht="16.5">
      <c r="A259" s="310"/>
      <c r="B259" s="214"/>
      <c r="C259" s="649" t="s">
        <v>2351</v>
      </c>
      <c r="D259" s="650"/>
      <c r="E259" s="650"/>
      <c r="F259" s="651"/>
      <c r="G259" s="299">
        <f>IFERROR(G55/G67,0)</f>
        <v>-47.72760485437626</v>
      </c>
      <c r="H259" s="299">
        <f>IFERROR(H65/H67,0)</f>
        <v>6.4493417476545005</v>
      </c>
      <c r="I259" s="299">
        <f>IFERROR(I65/I67,0)</f>
        <v>6.1469066208075178</v>
      </c>
      <c r="J259" s="299">
        <f>IFERROR(J55/J67,0)</f>
        <v>0</v>
      </c>
      <c r="K259" s="300">
        <f>IFERROR(K55/K67,0)</f>
        <v>0</v>
      </c>
      <c r="L259" s="200"/>
    </row>
    <row r="260" spans="1:12" s="125" customFormat="1" ht="29.25" customHeight="1">
      <c r="B260" s="214"/>
      <c r="C260" s="649" t="s">
        <v>2352</v>
      </c>
      <c r="D260" s="650"/>
      <c r="E260" s="650"/>
      <c r="F260" s="651"/>
      <c r="G260" s="313">
        <f>IF(G144+G152=0,0,G55/(G144+G152))</f>
        <v>-5.4512317531163337</v>
      </c>
      <c r="H260" s="313">
        <f>IF(H144+H152=0,0,H55/(H144+H152))</f>
        <v>0.68646860859683034</v>
      </c>
      <c r="I260" s="313">
        <f>IF(I144+I152=0,0,I55/(I144+I152))</f>
        <v>0.56602078229766095</v>
      </c>
      <c r="J260" s="313">
        <f>IF(J144+J152=0,0,J55/(J144+J152))</f>
        <v>0</v>
      </c>
      <c r="K260" s="314">
        <f>IF(K144+K152=0,0,K55/(K144+K152))</f>
        <v>0</v>
      </c>
      <c r="L260" s="200"/>
    </row>
    <row r="261" spans="1:12" s="125" customFormat="1" ht="12.75">
      <c r="B261" s="214"/>
      <c r="C261" s="649" t="s">
        <v>2353</v>
      </c>
      <c r="D261" s="650"/>
      <c r="E261" s="650"/>
      <c r="F261" s="651"/>
      <c r="G261" s="261">
        <f>IFERROR((G141+G162)/G119,0)</f>
        <v>1.1887697401988959</v>
      </c>
      <c r="H261" s="261">
        <f>IFERROR((H141+H162)/H119,0)</f>
        <v>1.242475493839706</v>
      </c>
      <c r="I261" s="261">
        <f>IFERROR((I141+I162)/I119,0)</f>
        <v>1.2860805848840595</v>
      </c>
      <c r="J261" s="261">
        <f>IFERROR((J141+J162)/J119,0)</f>
        <v>0</v>
      </c>
      <c r="K261" s="261">
        <f>IFERROR((K141+K162)/K119,0)</f>
        <v>0</v>
      </c>
      <c r="L261" s="200"/>
    </row>
    <row r="262" spans="1:12" s="125" customFormat="1" ht="42" customHeight="1">
      <c r="B262" s="214"/>
      <c r="C262" s="649" t="s">
        <v>2354</v>
      </c>
      <c r="D262" s="650"/>
      <c r="E262" s="650"/>
      <c r="F262" s="651"/>
      <c r="G262" s="299">
        <f>IFERROR((G125+SUM(G144,G152))/(G92+G57),0)</f>
        <v>-0.21963677617733215</v>
      </c>
      <c r="H262" s="299">
        <f>IFERROR((H125+SUM(H144,H152))/(H92+H57),0)</f>
        <v>3.0426669051320987</v>
      </c>
      <c r="I262" s="299">
        <f>IFERROR((I125+SUM(I144,I152))/(I92+I57),0)</f>
        <v>3.5037814670986882</v>
      </c>
      <c r="J262" s="299">
        <f>IFERROR((J125+SUM(J144,J152))/(J92+J57),0)</f>
        <v>0</v>
      </c>
      <c r="K262" s="300">
        <f>IFERROR((K125+SUM(K144,K152))/(K92+K57),0)</f>
        <v>0</v>
      </c>
      <c r="L262" s="200"/>
    </row>
    <row r="263" spans="1:12" s="125" customFormat="1" ht="12.75">
      <c r="B263" s="214"/>
      <c r="C263" s="649" t="s">
        <v>2355</v>
      </c>
      <c r="D263" s="650"/>
      <c r="E263" s="650"/>
      <c r="F263" s="651"/>
      <c r="G263" s="299">
        <f>IFERROR(SUM(G144,G152,G125)/G119,0)</f>
        <v>0.92137493056025033</v>
      </c>
      <c r="H263" s="299">
        <f>IFERROR(SUM(H144,H152,H125)/H119,0)</f>
        <v>0.97252308491765316</v>
      </c>
      <c r="I263" s="299">
        <f>IFERROR(SUM(I144,I152,I125)/I119,0)</f>
        <v>1.0773507459973852</v>
      </c>
      <c r="J263" s="299">
        <f>IFERROR(SUM(J144,J152,J125)/J119,0)</f>
        <v>0</v>
      </c>
      <c r="K263" s="300">
        <f>IFERROR(SUM(K144,K152,K125)/K119,0)</f>
        <v>0</v>
      </c>
      <c r="L263" s="200"/>
    </row>
    <row r="264" spans="1:12" s="125" customFormat="1" ht="12.75">
      <c r="B264" s="214"/>
      <c r="C264" s="726" t="s">
        <v>2356</v>
      </c>
      <c r="D264" s="727"/>
      <c r="E264" s="727"/>
      <c r="F264" s="728"/>
      <c r="G264" s="315">
        <f>IF(G125+G144+G152=0,"No Debt",(G222-(G173+G174)-G191-(G162-(G144+G152)))/(G125+G144+G152))</f>
        <v>2.1256427948181797</v>
      </c>
      <c r="H264" s="315">
        <f>IF(H125+H144+H152=0,"No Debt",(H222-(H173+H174)-H191-(H162-(H144+H152)))/(H125+H144+H152))</f>
        <v>2.062939265924451</v>
      </c>
      <c r="I264" s="315">
        <f>IF(I125+I144+I152=0,"No Debt",(I222-(I173+I174)-I191-(I162-(I144+I152)))/(I125+I144+I152))</f>
        <v>1.9553598775872363</v>
      </c>
      <c r="J264" s="315" t="str">
        <f>IF(J125+J144+J152=0,"No Debt",(J222-(J173+J174)-J191-(J162-(J144+J152)))/(J125+J144+J152))</f>
        <v>No Debt</v>
      </c>
      <c r="K264" s="316" t="str">
        <f>IF(K125+K144+K152=0,"No Debt",(K222-(K173+K174)-K191-(K162-(K144+K152)))/(K125+K144+K152))</f>
        <v>No Debt</v>
      </c>
      <c r="L264" s="200"/>
    </row>
    <row r="265" spans="1:12" ht="13.5" customHeight="1">
      <c r="A265" s="125"/>
      <c r="B265" s="272"/>
      <c r="C265" s="275"/>
      <c r="D265" s="275"/>
      <c r="E265" s="275"/>
      <c r="F265" s="317"/>
      <c r="G265" s="275"/>
      <c r="H265" s="275"/>
      <c r="I265" s="275"/>
      <c r="J265" s="275"/>
      <c r="K265" s="275"/>
      <c r="L265" s="318"/>
    </row>
  </sheetData>
  <mergeCells count="254">
    <mergeCell ref="B2:L2"/>
    <mergeCell ref="D68:D71"/>
    <mergeCell ref="D35:D37"/>
    <mergeCell ref="E68:F68"/>
    <mergeCell ref="C250:F250"/>
    <mergeCell ref="C85:K85"/>
    <mergeCell ref="E151:F151"/>
    <mergeCell ref="E118:F118"/>
    <mergeCell ref="D52:F52"/>
    <mergeCell ref="C234:F234"/>
    <mergeCell ref="E201:F201"/>
    <mergeCell ref="C102:K102"/>
    <mergeCell ref="E168:F168"/>
    <mergeCell ref="E135:F135"/>
    <mergeCell ref="C196:C220"/>
    <mergeCell ref="C163:F163"/>
    <mergeCell ref="D196:F196"/>
    <mergeCell ref="E130:F130"/>
    <mergeCell ref="E97:F97"/>
    <mergeCell ref="D64:F64"/>
    <mergeCell ref="E31:F31"/>
    <mergeCell ref="C246:K246"/>
    <mergeCell ref="D213:F213"/>
    <mergeCell ref="E180:F180"/>
    <mergeCell ref="C264:F264"/>
    <mergeCell ref="C231:F231"/>
    <mergeCell ref="C165:K165"/>
    <mergeCell ref="C99:F99"/>
    <mergeCell ref="E132:F132"/>
    <mergeCell ref="C66:K66"/>
    <mergeCell ref="C248:F248"/>
    <mergeCell ref="D182:F182"/>
    <mergeCell ref="E215:F215"/>
    <mergeCell ref="E149:F149"/>
    <mergeCell ref="E116:F116"/>
    <mergeCell ref="D83:F83"/>
    <mergeCell ref="C232:K232"/>
    <mergeCell ref="C166:F166"/>
    <mergeCell ref="D133:F133"/>
    <mergeCell ref="C100:F100"/>
    <mergeCell ref="C67:C80"/>
    <mergeCell ref="D67:F67"/>
    <mergeCell ref="C249:F249"/>
    <mergeCell ref="E183:F183"/>
    <mergeCell ref="C84:F84"/>
    <mergeCell ref="E150:F150"/>
    <mergeCell ref="E117:F117"/>
    <mergeCell ref="C233:K233"/>
    <mergeCell ref="C263:F263"/>
    <mergeCell ref="C230:F230"/>
    <mergeCell ref="C164:K164"/>
    <mergeCell ref="E197:F197"/>
    <mergeCell ref="E131:F131"/>
    <mergeCell ref="C65:F65"/>
    <mergeCell ref="E98:F98"/>
    <mergeCell ref="D32:D33"/>
    <mergeCell ref="C247:K247"/>
    <mergeCell ref="D214:F214"/>
    <mergeCell ref="E181:F181"/>
    <mergeCell ref="C82:K82"/>
    <mergeCell ref="E148:F148"/>
    <mergeCell ref="E115:F115"/>
    <mergeCell ref="D49:F49"/>
    <mergeCell ref="E50:F50"/>
    <mergeCell ref="E34:F34"/>
    <mergeCell ref="E51:F51"/>
    <mergeCell ref="C167:C192"/>
    <mergeCell ref="D167:F167"/>
    <mergeCell ref="E200:F200"/>
    <mergeCell ref="D134:F134"/>
    <mergeCell ref="C262:F262"/>
    <mergeCell ref="C229:F229"/>
    <mergeCell ref="E48:F48"/>
    <mergeCell ref="C261:F261"/>
    <mergeCell ref="C228:K228"/>
    <mergeCell ref="C195:F195"/>
    <mergeCell ref="C162:F162"/>
    <mergeCell ref="D96:F96"/>
    <mergeCell ref="E129:F129"/>
    <mergeCell ref="E63:F63"/>
    <mergeCell ref="C245:F245"/>
    <mergeCell ref="E212:F212"/>
    <mergeCell ref="E179:F179"/>
    <mergeCell ref="D113:F113"/>
    <mergeCell ref="E146:F146"/>
    <mergeCell ref="E80:F80"/>
    <mergeCell ref="C260:F260"/>
    <mergeCell ref="C227:F227"/>
    <mergeCell ref="C194:K194"/>
    <mergeCell ref="E161:F161"/>
    <mergeCell ref="C95:F95"/>
    <mergeCell ref="E128:F128"/>
    <mergeCell ref="E62:F62"/>
    <mergeCell ref="E176:F176"/>
    <mergeCell ref="C244:F244"/>
    <mergeCell ref="E211:F211"/>
    <mergeCell ref="E178:F178"/>
    <mergeCell ref="E145:F145"/>
    <mergeCell ref="E112:F112"/>
    <mergeCell ref="E79:F79"/>
    <mergeCell ref="C259:F259"/>
    <mergeCell ref="C226:K226"/>
    <mergeCell ref="C193:F193"/>
    <mergeCell ref="E160:F160"/>
    <mergeCell ref="D94:F94"/>
    <mergeCell ref="E127:F127"/>
    <mergeCell ref="C258:K258"/>
    <mergeCell ref="C81:F81"/>
    <mergeCell ref="E147:F147"/>
    <mergeCell ref="E114:F114"/>
    <mergeCell ref="C257:K257"/>
    <mergeCell ref="C224:F224"/>
    <mergeCell ref="E191:F191"/>
    <mergeCell ref="D158:F158"/>
    <mergeCell ref="D125:F125"/>
    <mergeCell ref="C92:F92"/>
    <mergeCell ref="C256:F256"/>
    <mergeCell ref="C255:F255"/>
    <mergeCell ref="C254:F254"/>
    <mergeCell ref="C253:F253"/>
    <mergeCell ref="C252:F252"/>
    <mergeCell ref="C251:F251"/>
    <mergeCell ref="C243:F243"/>
    <mergeCell ref="E210:F210"/>
    <mergeCell ref="C144:C161"/>
    <mergeCell ref="D177:F177"/>
    <mergeCell ref="D144:F144"/>
    <mergeCell ref="E111:F111"/>
    <mergeCell ref="E192:F192"/>
    <mergeCell ref="E159:F159"/>
    <mergeCell ref="C93:K93"/>
    <mergeCell ref="E126:F126"/>
    <mergeCell ref="C242:F242"/>
    <mergeCell ref="E209:F209"/>
    <mergeCell ref="C241:K241"/>
    <mergeCell ref="D208:F208"/>
    <mergeCell ref="C142:K142"/>
    <mergeCell ref="E175:F175"/>
    <mergeCell ref="C43:F43"/>
    <mergeCell ref="E109:F109"/>
    <mergeCell ref="E76:F76"/>
    <mergeCell ref="D157:F157"/>
    <mergeCell ref="C124:F124"/>
    <mergeCell ref="E190:F190"/>
    <mergeCell ref="D91:F91"/>
    <mergeCell ref="D58:F58"/>
    <mergeCell ref="C221:F221"/>
    <mergeCell ref="D188:F188"/>
    <mergeCell ref="C122:K122"/>
    <mergeCell ref="E155:F155"/>
    <mergeCell ref="C56:K56"/>
    <mergeCell ref="D89:F89"/>
    <mergeCell ref="C44:K44"/>
    <mergeCell ref="E110:F110"/>
    <mergeCell ref="E77:F77"/>
    <mergeCell ref="D61:F61"/>
    <mergeCell ref="E78:F78"/>
    <mergeCell ref="D45:F45"/>
    <mergeCell ref="C240:K240"/>
    <mergeCell ref="E207:F207"/>
    <mergeCell ref="C141:F141"/>
    <mergeCell ref="C108:C118"/>
    <mergeCell ref="E174:F174"/>
    <mergeCell ref="E108:F108"/>
    <mergeCell ref="E75:F75"/>
    <mergeCell ref="E42:F42"/>
    <mergeCell ref="C222:F222"/>
    <mergeCell ref="D189:F189"/>
    <mergeCell ref="C123:F123"/>
    <mergeCell ref="C90:C91"/>
    <mergeCell ref="E156:F156"/>
    <mergeCell ref="D90:F90"/>
    <mergeCell ref="C57:C64"/>
    <mergeCell ref="D57:F57"/>
    <mergeCell ref="C239:F239"/>
    <mergeCell ref="E206:F206"/>
    <mergeCell ref="E173:F173"/>
    <mergeCell ref="D140:F140"/>
    <mergeCell ref="D107:F107"/>
    <mergeCell ref="D74:D80"/>
    <mergeCell ref="E74:F74"/>
    <mergeCell ref="E59:F59"/>
    <mergeCell ref="C238:F238"/>
    <mergeCell ref="E205:F205"/>
    <mergeCell ref="E172:F172"/>
    <mergeCell ref="C106:F106"/>
    <mergeCell ref="E139:F139"/>
    <mergeCell ref="D73:F73"/>
    <mergeCell ref="E40:F40"/>
    <mergeCell ref="C24:K24"/>
    <mergeCell ref="G90:K91"/>
    <mergeCell ref="E41:F41"/>
    <mergeCell ref="D220:F220"/>
    <mergeCell ref="E187:F187"/>
    <mergeCell ref="C121:F121"/>
    <mergeCell ref="E154:F154"/>
    <mergeCell ref="C55:F55"/>
    <mergeCell ref="E88:F88"/>
    <mergeCell ref="E71:F71"/>
    <mergeCell ref="E69:F69"/>
    <mergeCell ref="C25:F25"/>
    <mergeCell ref="D26:F26"/>
    <mergeCell ref="D28:D30"/>
    <mergeCell ref="C46:C54"/>
    <mergeCell ref="E46:F46"/>
    <mergeCell ref="E47:F47"/>
    <mergeCell ref="C237:F237"/>
    <mergeCell ref="E204:F204"/>
    <mergeCell ref="C105:K105"/>
    <mergeCell ref="E138:F138"/>
    <mergeCell ref="E72:F72"/>
    <mergeCell ref="E39:F39"/>
    <mergeCell ref="C12:C22"/>
    <mergeCell ref="E12:F12"/>
    <mergeCell ref="D13:D15"/>
    <mergeCell ref="E16:F16"/>
    <mergeCell ref="D17:D19"/>
    <mergeCell ref="E219:F219"/>
    <mergeCell ref="C120:K120"/>
    <mergeCell ref="E153:F153"/>
    <mergeCell ref="C87:C89"/>
    <mergeCell ref="E87:F87"/>
    <mergeCell ref="E54:F54"/>
    <mergeCell ref="D21:F21"/>
    <mergeCell ref="C236:F236"/>
    <mergeCell ref="D203:F203"/>
    <mergeCell ref="D137:F137"/>
    <mergeCell ref="C104:K104"/>
    <mergeCell ref="D38:F38"/>
    <mergeCell ref="C23:F23"/>
    <mergeCell ref="N3:N5"/>
    <mergeCell ref="C119:F119"/>
    <mergeCell ref="D152:F152"/>
    <mergeCell ref="D86:F86"/>
    <mergeCell ref="E53:F53"/>
    <mergeCell ref="E20:F20"/>
    <mergeCell ref="C235:F235"/>
    <mergeCell ref="E202:F202"/>
    <mergeCell ref="C103:F103"/>
    <mergeCell ref="E136:F136"/>
    <mergeCell ref="E70:F70"/>
    <mergeCell ref="C4:I4"/>
    <mergeCell ref="C5:K5"/>
    <mergeCell ref="C6:F6"/>
    <mergeCell ref="C7:F7"/>
    <mergeCell ref="C8:F8"/>
    <mergeCell ref="C9:F9"/>
    <mergeCell ref="C10:F10"/>
    <mergeCell ref="D11:F11"/>
    <mergeCell ref="D22:F22"/>
    <mergeCell ref="C27:C42"/>
    <mergeCell ref="E60:F60"/>
    <mergeCell ref="E27:F27"/>
    <mergeCell ref="C143:F143"/>
  </mergeCells>
  <conditionalFormatting sqref="G90">
    <cfRule type="expression" dxfId="68" priority="1">
      <formula>H$7=""</formula>
    </cfRule>
  </conditionalFormatting>
  <conditionalFormatting sqref="G11:K264">
    <cfRule type="expression" dxfId="67" priority="2">
      <formula>G$7=""</formula>
    </cfRule>
  </conditionalFormatting>
  <dataValidations count="3">
    <dataValidation type="list" allowBlank="1" showErrorMessage="1" errorTitle="The value you entered is not valid." error="The value entered violates data validation rules set in cell" sqref="G9:K9" xr:uid="{00000000-0002-0000-0B00-000000000000}">
      <formula1>"Material Qualification,Unqualified,No opinion / Unknown"</formula1>
    </dataValidation>
    <dataValidation type="list" allowBlank="1" showErrorMessage="1" errorTitle="The value you entered is not valid." error="The value entered violates data validation rules set in cell" sqref="K4" xr:uid="{00000000-0002-0000-0B00-000001000000}">
      <formula1>"Actuals, Thousands, Lakhs, Millions, Crores"</formula1>
    </dataValidation>
    <dataValidation type="list" allowBlank="1" showErrorMessage="1" errorTitle="The value you entered is not valid." error="The value entered violates data validation rules set in cell" sqref="G7:K7" xr:uid="{00000000-0002-0000-0B00-000002000000}">
      <formula1>"Audited,Unaudited,Provisional,Projection"</formula1>
    </dataValidation>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3">
    <tabColor rgb="FF0F243F"/>
  </sheetPr>
  <dimension ref="A1:AMJ37"/>
  <sheetViews>
    <sheetView workbookViewId="0"/>
  </sheetViews>
  <sheetFormatPr defaultRowHeight="15.75" customHeight="1" outlineLevelRow="1"/>
  <cols>
    <col min="1" max="1" width="2.85546875" style="319"/>
    <col min="2" max="2" width="6.85546875" style="319"/>
    <col min="3" max="3" width="37" style="319"/>
    <col min="4" max="4" width="15" style="319"/>
    <col min="5" max="5" width="15.140625" style="319"/>
    <col min="6" max="6" width="9.85546875" style="319"/>
    <col min="7" max="7" width="57.42578125" style="319"/>
    <col min="8" max="1024" width="9.85546875" style="319"/>
    <col min="1025" max="1025" width="11.42578125"/>
  </cols>
  <sheetData>
    <row r="1" spans="1:8" ht="15"/>
    <row r="2" spans="1:8" ht="18" outlineLevel="1">
      <c r="A2" s="320"/>
      <c r="B2" s="744" t="s">
        <v>2357</v>
      </c>
      <c r="C2" s="745"/>
      <c r="D2" s="745"/>
      <c r="E2" s="745"/>
      <c r="F2" s="745"/>
      <c r="G2" s="746"/>
      <c r="H2" s="321"/>
    </row>
    <row r="3" spans="1:8" ht="15" outlineLevel="1">
      <c r="A3" s="320"/>
      <c r="B3" s="322" t="s">
        <v>2358</v>
      </c>
      <c r="C3" s="323" t="s">
        <v>2359</v>
      </c>
      <c r="D3" s="324">
        <f>'Financial Statement'!I6</f>
        <v>44651</v>
      </c>
      <c r="E3" s="324">
        <f>'Financial Statement'!H6</f>
        <v>44286</v>
      </c>
      <c r="F3" s="323" t="s">
        <v>2360</v>
      </c>
      <c r="G3" s="325" t="s">
        <v>2361</v>
      </c>
      <c r="H3" s="321"/>
    </row>
    <row r="4" spans="1:8" ht="15" outlineLevel="1">
      <c r="A4" s="320"/>
      <c r="B4" s="752" t="s">
        <v>2362</v>
      </c>
      <c r="C4" s="753"/>
      <c r="D4" s="753"/>
      <c r="E4" s="753"/>
      <c r="F4" s="753"/>
      <c r="G4" s="754"/>
      <c r="H4" s="321"/>
    </row>
    <row r="5" spans="1:8" ht="15" outlineLevel="1">
      <c r="A5" s="320"/>
      <c r="B5" s="326">
        <v>1</v>
      </c>
      <c r="C5" s="327" t="s">
        <v>2363</v>
      </c>
      <c r="D5" s="328">
        <f>'Consolidated Financials'!I23</f>
        <v>1293520776</v>
      </c>
      <c r="E5" s="328">
        <f>'Consolidated Financials'!H23</f>
        <v>1292538191</v>
      </c>
      <c r="F5" s="329">
        <f t="shared" ref="F5:F11" si="0">IFERROR((D5-E5)/E5,"-")</f>
        <v>7.6019804044614103E-4</v>
      </c>
      <c r="G5" s="330" t="str">
        <f>IFERROR(_xlfn.IFS(F5&gt;0,C5&amp;" increased by "&amp;INT(F5*100)&amp;"%",F5&lt;0,C5&amp;"  decreased by "&amp;INT(F5*-100)&amp;"%",F5=0,C5&amp;" is stagnant"),"-")</f>
        <v>Net Sales increased by 0%</v>
      </c>
      <c r="H5" s="321"/>
    </row>
    <row r="6" spans="1:8" ht="15" outlineLevel="1">
      <c r="A6" s="320"/>
      <c r="B6" s="326">
        <v>2</v>
      </c>
      <c r="C6" s="327" t="s">
        <v>2364</v>
      </c>
      <c r="D6" s="328">
        <f>'Consolidated Financials'!I43</f>
        <v>701149688</v>
      </c>
      <c r="E6" s="328">
        <f>'Consolidated Financials'!H43</f>
        <v>689420605</v>
      </c>
      <c r="F6" s="329">
        <f t="shared" si="0"/>
        <v>1.7012956843667298E-2</v>
      </c>
      <c r="G6" s="330" t="str">
        <f>IFERROR(_xlfn.IFS(F6&gt;0,C6&amp;"  increased by "&amp;INT(F6*100)&amp;"%",F6&lt;0,C6&amp;" decreased by "&amp;INT(F6*-100)&amp;"%",F6=0,C6&amp;" is stagnant"),"-")</f>
        <v>Gross Profit  increased by 1%</v>
      </c>
      <c r="H6" s="321"/>
    </row>
    <row r="7" spans="1:8" ht="15" outlineLevel="1">
      <c r="A7" s="320"/>
      <c r="B7" s="326">
        <v>3</v>
      </c>
      <c r="C7" s="327" t="s">
        <v>2365</v>
      </c>
      <c r="D7" s="328">
        <f>'Consolidated Financials'!I55</f>
        <v>196703540</v>
      </c>
      <c r="E7" s="328">
        <f>'Consolidated Financials'!H55</f>
        <v>163933185</v>
      </c>
      <c r="F7" s="329">
        <f t="shared" si="0"/>
        <v>0.19990067904799141</v>
      </c>
      <c r="G7" s="330" t="str">
        <f t="shared" ref="G7:G11" si="1">IFERROR(_xlfn.IFS(F7&gt;0,C7&amp;" increased by "&amp;INT(F7*100)&amp;"%",F7&lt;0,C7&amp;" decreased by "&amp;INT(F7*-100)&amp;"%",F7=0,C7&amp;" is stagnant"),"-")</f>
        <v>EBITDA increased by 19%</v>
      </c>
      <c r="H7" s="321"/>
    </row>
    <row r="8" spans="1:8" ht="15" outlineLevel="1">
      <c r="A8" s="320"/>
      <c r="B8" s="326">
        <v>4</v>
      </c>
      <c r="C8" s="327" t="s">
        <v>2366</v>
      </c>
      <c r="D8" s="328">
        <f>'Consolidated Financials'!I57</f>
        <v>38913031</v>
      </c>
      <c r="E8" s="328">
        <f>'Consolidated Financials'!H57</f>
        <v>19976454</v>
      </c>
      <c r="F8" s="329">
        <f t="shared" si="0"/>
        <v>0.94794486549014156</v>
      </c>
      <c r="G8" s="330" t="str">
        <f t="shared" si="1"/>
        <v>Depreciation increased by 94%</v>
      </c>
      <c r="H8" s="321"/>
    </row>
    <row r="9" spans="1:8" ht="15" outlineLevel="1">
      <c r="A9" s="320"/>
      <c r="B9" s="326">
        <v>5</v>
      </c>
      <c r="C9" s="327" t="s">
        <v>2367</v>
      </c>
      <c r="D9" s="328">
        <f>'Consolidated Financials'!I81</f>
        <v>138122911</v>
      </c>
      <c r="E9" s="328">
        <f>'Consolidated Financials'!H81</f>
        <v>127096640</v>
      </c>
      <c r="F9" s="329">
        <f t="shared" si="0"/>
        <v>8.6755015710879527E-2</v>
      </c>
      <c r="G9" s="330" t="str">
        <f t="shared" si="1"/>
        <v>PBT increased by 8%</v>
      </c>
      <c r="H9" s="321"/>
    </row>
    <row r="10" spans="1:8" ht="15" outlineLevel="1">
      <c r="A10" s="320"/>
      <c r="B10" s="326">
        <v>6</v>
      </c>
      <c r="C10" s="327" t="s">
        <v>2368</v>
      </c>
      <c r="D10" s="328">
        <f>'Consolidated Financials'!I86</f>
        <v>36026914</v>
      </c>
      <c r="E10" s="328">
        <f>'Consolidated Financials'!H86</f>
        <v>33222910</v>
      </c>
      <c r="F10" s="329">
        <f t="shared" si="0"/>
        <v>8.4399710922372542E-2</v>
      </c>
      <c r="G10" s="330" t="str">
        <f t="shared" si="1"/>
        <v>Tax increased by 8%</v>
      </c>
      <c r="H10" s="321"/>
    </row>
    <row r="11" spans="1:8" ht="15" outlineLevel="1">
      <c r="A11" s="320"/>
      <c r="B11" s="326">
        <v>7</v>
      </c>
      <c r="C11" s="327" t="s">
        <v>2369</v>
      </c>
      <c r="D11" s="328">
        <f>'Consolidated Financials'!I92</f>
        <v>102095997</v>
      </c>
      <c r="E11" s="328">
        <f>'Consolidated Financials'!H92</f>
        <v>93873730</v>
      </c>
      <c r="F11" s="329">
        <f t="shared" si="0"/>
        <v>8.7588583089219949E-2</v>
      </c>
      <c r="G11" s="330" t="str">
        <f t="shared" si="1"/>
        <v>PAT increased by 8%</v>
      </c>
      <c r="H11" s="321"/>
    </row>
    <row r="12" spans="1:8" ht="15" outlineLevel="1">
      <c r="A12" s="320"/>
      <c r="B12" s="752" t="s">
        <v>2370</v>
      </c>
      <c r="C12" s="753"/>
      <c r="D12" s="753"/>
      <c r="E12" s="753"/>
      <c r="F12" s="753"/>
      <c r="G12" s="754"/>
      <c r="H12" s="321"/>
    </row>
    <row r="13" spans="1:8" ht="15" outlineLevel="1">
      <c r="A13" s="320"/>
      <c r="B13" s="326">
        <v>8</v>
      </c>
      <c r="C13" s="327" t="s">
        <v>2371</v>
      </c>
      <c r="D13" s="328">
        <f>'Consolidated Financials'!I107</f>
        <v>2100000</v>
      </c>
      <c r="E13" s="328">
        <f>'Consolidated Financials'!H107</f>
        <v>2100000</v>
      </c>
      <c r="F13" s="329">
        <f t="shared" ref="F13:F17" si="2">IFERROR((D13-E13)/E13,"-")</f>
        <v>0</v>
      </c>
      <c r="G13" s="330" t="str">
        <f t="shared" ref="G13:G17" si="3">IFERROR(_xlfn.IFS(F13&gt;0,C13&amp;" increased by "&amp;INT(F13*100)&amp;"%",F13&lt;0,C13&amp;" decreased by "&amp;INT(F13*-100)&amp;"%",F13=0,C13&amp;" is stagnant"),"-")</f>
        <v>Share Capital is stagnant</v>
      </c>
      <c r="H13" s="321"/>
    </row>
    <row r="14" spans="1:8" ht="15" outlineLevel="1">
      <c r="A14" s="320"/>
      <c r="B14" s="326">
        <v>9</v>
      </c>
      <c r="C14" s="327" t="s">
        <v>2372</v>
      </c>
      <c r="D14" s="328">
        <f>'Consolidated Financials'!I119</f>
        <v>458592358</v>
      </c>
      <c r="E14" s="328">
        <f>'Consolidated Financials'!H119</f>
        <v>356195336</v>
      </c>
      <c r="F14" s="329">
        <f t="shared" si="2"/>
        <v>0.28747434806389494</v>
      </c>
      <c r="G14" s="330" t="str">
        <f t="shared" si="3"/>
        <v>Networth increased by 28%</v>
      </c>
      <c r="H14" s="321"/>
    </row>
    <row r="15" spans="1:8" ht="15" outlineLevel="1">
      <c r="A15" s="320"/>
      <c r="B15" s="326">
        <v>10</v>
      </c>
      <c r="C15" s="327" t="s">
        <v>2373</v>
      </c>
      <c r="D15" s="328">
        <f>'Consolidated Financials'!I121</f>
        <v>458592358</v>
      </c>
      <c r="E15" s="328">
        <f>'Consolidated Financials'!H121</f>
        <v>356195336</v>
      </c>
      <c r="F15" s="329">
        <f t="shared" si="2"/>
        <v>0.28747434806389494</v>
      </c>
      <c r="G15" s="330" t="str">
        <f t="shared" si="3"/>
        <v>Tangible Networth increased by 28%</v>
      </c>
      <c r="H15" s="321"/>
    </row>
    <row r="16" spans="1:8" ht="15" outlineLevel="1">
      <c r="A16" s="320"/>
      <c r="B16" s="326">
        <v>11</v>
      </c>
      <c r="C16" s="327" t="s">
        <v>2374</v>
      </c>
      <c r="D16" s="328">
        <f>'Consolidated Financials'!I125</f>
        <v>146544823</v>
      </c>
      <c r="E16" s="328">
        <f>'Consolidated Financials'!H125</f>
        <v>107601659</v>
      </c>
      <c r="F16" s="329">
        <f t="shared" si="2"/>
        <v>0.36191973582860837</v>
      </c>
      <c r="G16" s="330" t="str">
        <f t="shared" si="3"/>
        <v>Long Term Liability increased by 36%</v>
      </c>
      <c r="H16" s="321"/>
    </row>
    <row r="17" spans="1:8" ht="15" outlineLevel="1">
      <c r="A17" s="320"/>
      <c r="B17" s="326">
        <v>12</v>
      </c>
      <c r="C17" s="327" t="s">
        <v>2375</v>
      </c>
      <c r="D17" s="328">
        <f>'Consolidated Financials'!I144</f>
        <v>133213744</v>
      </c>
      <c r="E17" s="328">
        <f>'Consolidated Financials'!H144</f>
        <v>99693615</v>
      </c>
      <c r="F17" s="329">
        <f t="shared" si="2"/>
        <v>0.3362314527364666</v>
      </c>
      <c r="G17" s="330" t="str">
        <f t="shared" si="3"/>
        <v>Short Term Liability increased by 33%</v>
      </c>
      <c r="H17" s="321"/>
    </row>
    <row r="18" spans="1:8" ht="15" outlineLevel="1">
      <c r="A18" s="320"/>
      <c r="B18" s="752" t="s">
        <v>2376</v>
      </c>
      <c r="C18" s="753"/>
      <c r="D18" s="753"/>
      <c r="E18" s="753"/>
      <c r="F18" s="753"/>
      <c r="G18" s="754"/>
      <c r="H18" s="321"/>
    </row>
    <row r="19" spans="1:8" ht="15" outlineLevel="1">
      <c r="A19" s="320"/>
      <c r="B19" s="326">
        <v>13</v>
      </c>
      <c r="C19" s="327" t="s">
        <v>2377</v>
      </c>
      <c r="D19" s="328">
        <f>'Consolidated Financials'!I167</f>
        <v>304026575</v>
      </c>
      <c r="E19" s="328">
        <f>'Consolidated Financials'!H167</f>
        <v>226229891</v>
      </c>
      <c r="F19" s="329">
        <f t="shared" ref="F19:F23" si="4">IFERROR((D19-E19)/E19,"-")</f>
        <v>0.34388331115802906</v>
      </c>
      <c r="G19" s="330" t="str">
        <f t="shared" ref="G19:G23" si="5">IFERROR(_xlfn.IFS(F19&gt;0,C19&amp;" increased by "&amp;INT(F19*100)&amp;"%",F19&lt;0,C19&amp;" decreased by "&amp;INT(F19*-100)&amp;"%",F19=0,C19&amp;" is stagnant"),"-")</f>
        <v>Fixed Assets increased by 34%</v>
      </c>
      <c r="H19" s="321"/>
    </row>
    <row r="20" spans="1:8" ht="15" outlineLevel="1">
      <c r="A20" s="320"/>
      <c r="B20" s="326">
        <v>14</v>
      </c>
      <c r="C20" s="327" t="s">
        <v>2378</v>
      </c>
      <c r="D20" s="328">
        <f>'Consolidated Financials'!I196+'Consolidated Financials'!I177</f>
        <v>0</v>
      </c>
      <c r="E20" s="328">
        <f>'Consolidated Financials'!H177+'Consolidated Financials'!H196</f>
        <v>0</v>
      </c>
      <c r="F20" s="329" t="str">
        <f t="shared" si="4"/>
        <v>-</v>
      </c>
      <c r="G20" s="330" t="str">
        <f t="shared" si="5"/>
        <v>-</v>
      </c>
      <c r="H20" s="321"/>
    </row>
    <row r="21" spans="1:8" ht="15" outlineLevel="1">
      <c r="A21" s="320"/>
      <c r="B21" s="326">
        <v>15</v>
      </c>
      <c r="C21" s="327" t="s">
        <v>2379</v>
      </c>
      <c r="D21" s="328">
        <f>'Consolidated Financials'!I203</f>
        <v>80739210</v>
      </c>
      <c r="E21" s="328">
        <f>'Consolidated Financials'!H203</f>
        <v>10141631</v>
      </c>
      <c r="F21" s="329">
        <f t="shared" si="4"/>
        <v>6.9611662068951237</v>
      </c>
      <c r="G21" s="330" t="str">
        <f t="shared" si="5"/>
        <v>Inventories increased by 696%</v>
      </c>
      <c r="H21" s="321"/>
    </row>
    <row r="22" spans="1:8" ht="15" outlineLevel="1">
      <c r="A22" s="320"/>
      <c r="B22" s="326">
        <v>16</v>
      </c>
      <c r="C22" s="327" t="s">
        <v>2380</v>
      </c>
      <c r="D22" s="328">
        <f>'Consolidated Financials'!I208</f>
        <v>286091722</v>
      </c>
      <c r="E22" s="328">
        <f>'Consolidated Financials'!H208</f>
        <v>151763198</v>
      </c>
      <c r="F22" s="329">
        <f t="shared" si="4"/>
        <v>0.8851192237000699</v>
      </c>
      <c r="G22" s="330" t="str">
        <f t="shared" si="5"/>
        <v>Debtors increased by 88%</v>
      </c>
      <c r="H22" s="321"/>
    </row>
    <row r="23" spans="1:8" ht="15" outlineLevel="1">
      <c r="A23" s="320"/>
      <c r="B23" s="331">
        <v>17</v>
      </c>
      <c r="C23" s="332" t="s">
        <v>2381</v>
      </c>
      <c r="D23" s="333">
        <f>'Consolidated Financials'!I213</f>
        <v>178190432</v>
      </c>
      <c r="E23" s="333">
        <f>'Consolidated Financials'!H213</f>
        <v>177674353</v>
      </c>
      <c r="F23" s="334">
        <f t="shared" si="4"/>
        <v>2.9046341876928067E-3</v>
      </c>
      <c r="G23" s="335" t="str">
        <f t="shared" si="5"/>
        <v>Cash and Cash Equivalents increased by 0%</v>
      </c>
      <c r="H23" s="321"/>
    </row>
    <row r="24" spans="1:8" s="319" customFormat="1" ht="12.75" outlineLevel="1">
      <c r="B24" s="336"/>
      <c r="C24" s="336"/>
      <c r="D24" s="336"/>
      <c r="E24" s="336"/>
      <c r="F24" s="336"/>
      <c r="G24" s="336"/>
    </row>
    <row r="25" spans="1:8" ht="18" outlineLevel="1">
      <c r="A25" s="320"/>
      <c r="B25" s="748" t="s">
        <v>2382</v>
      </c>
      <c r="C25" s="749"/>
      <c r="D25" s="749"/>
      <c r="E25" s="749"/>
      <c r="F25" s="749"/>
      <c r="G25" s="750"/>
      <c r="H25" s="321"/>
    </row>
    <row r="26" spans="1:8" ht="15" outlineLevel="1">
      <c r="A26" s="320"/>
      <c r="B26" s="337" t="s">
        <v>2383</v>
      </c>
      <c r="C26" s="337" t="s">
        <v>2384</v>
      </c>
      <c r="D26" s="338">
        <f>D3</f>
        <v>44651</v>
      </c>
      <c r="E26" s="338">
        <f>E3</f>
        <v>44286</v>
      </c>
      <c r="F26" s="751" t="s">
        <v>2385</v>
      </c>
      <c r="G26" s="751"/>
      <c r="H26" s="321"/>
    </row>
    <row r="27" spans="1:8" ht="15" hidden="1" outlineLevel="1">
      <c r="A27" s="320"/>
      <c r="B27" s="326">
        <v>1</v>
      </c>
      <c r="C27" s="327" t="s">
        <v>2386</v>
      </c>
      <c r="D27" s="339"/>
      <c r="E27" s="339"/>
      <c r="F27" s="747" t="str">
        <f>IFERROR(_xlfn.IFS(D27&lt;E27,C27&amp;" has decreased from "&amp;INT(E27)&amp;"% to "&amp;INT(D27)&amp;"%",D27&gt;E27,C27&amp;" has increased from "&amp;INT(E27)&amp;"% to "&amp;INT(D27)&amp;"%"),"-")</f>
        <v>-</v>
      </c>
      <c r="G27" s="747"/>
      <c r="H27" s="321"/>
    </row>
    <row r="28" spans="1:8" ht="15" outlineLevel="1">
      <c r="A28" s="320"/>
      <c r="B28" s="326">
        <v>1</v>
      </c>
      <c r="C28" s="327" t="s">
        <v>2387</v>
      </c>
      <c r="D28" s="339">
        <f>'Consolidated Financials'!I243</f>
        <v>227574557</v>
      </c>
      <c r="E28" s="339">
        <f>'Consolidated Financials'!H243</f>
        <v>132707176</v>
      </c>
      <c r="F28" s="747" t="str">
        <f>IFERROR(_xlfn.IFS(D28&lt;E28,C28&amp;" has decreased from Rs. "&amp;TEXT(E28,"##,##0")&amp;" to Rs. "&amp;TEXT(D28,"##,##0"),D28&gt;E28,C28&amp;" has increased from Rs. "&amp;TEXT(E28,"##,##0")&amp;" to Rs. "&amp;TEXT(D28,"##,##0")),"-")</f>
        <v>Working capital has increased from Rs. 13,27,07,176 to Rs. 22,75,74,557</v>
      </c>
      <c r="G28" s="747"/>
      <c r="H28" s="321"/>
    </row>
    <row r="29" spans="1:8" ht="15" outlineLevel="1">
      <c r="A29" s="320"/>
      <c r="B29" s="326">
        <v>2</v>
      </c>
      <c r="C29" s="327" t="s">
        <v>2388</v>
      </c>
      <c r="D29" s="339">
        <f>'Consolidated Financials'!I242</f>
        <v>1.5294591776210238</v>
      </c>
      <c r="E29" s="339">
        <f>'Consolidated Financials'!H242</f>
        <v>1.4109258259260784</v>
      </c>
      <c r="F29" s="747" t="str">
        <f t="shared" ref="F29:F30" si="6">IFERROR(_xlfn.IFS(D29&lt;E29,C29&amp;" has decreased from "&amp;INT(E29)&amp;" times to "&amp;INT(D29)&amp;" times",D29&gt;E29,C29&amp;" has increased from "&amp;INT(E29)&amp;" times to "&amp;INT(D29)&amp;" times"),"-")</f>
        <v>Current ratio  has increased from 1 times to 1 times</v>
      </c>
      <c r="G29" s="747"/>
      <c r="H29" s="321"/>
    </row>
    <row r="30" spans="1:8" ht="15" outlineLevel="1">
      <c r="A30" s="320"/>
      <c r="B30" s="326">
        <v>3</v>
      </c>
      <c r="C30" s="327" t="s">
        <v>2389</v>
      </c>
      <c r="D30" s="339">
        <f>'Consolidated Financials'!I245</f>
        <v>1.1905687180396054</v>
      </c>
      <c r="E30" s="339">
        <f>'Consolidated Financials'!H245</f>
        <v>1.3543326761487013</v>
      </c>
      <c r="F30" s="747" t="str">
        <f t="shared" si="6"/>
        <v>Quick ratio has decreased from 1 times to 1 times</v>
      </c>
      <c r="G30" s="747"/>
      <c r="H30" s="321"/>
    </row>
    <row r="31" spans="1:8" ht="15" outlineLevel="1">
      <c r="A31" s="320"/>
      <c r="B31" s="326">
        <v>4</v>
      </c>
      <c r="C31" s="327" t="s">
        <v>2390</v>
      </c>
      <c r="D31" s="339">
        <f>'Consolidated Financials'!I251</f>
        <v>80.728103071457738</v>
      </c>
      <c r="E31" s="339">
        <f>'Consolidated Financials'!H251</f>
        <v>42.856425949892881</v>
      </c>
      <c r="F31" s="747" t="str">
        <f t="shared" ref="F31:F33" si="7">IFERROR(_xlfn.IFS(D31&lt;E31,C31&amp;" has decreased from "&amp;INT(E31)&amp;" days to "&amp;INT(D31)&amp;" days",D31&gt;E31,C31&amp;" has increased from "&amp;INT(E31)&amp;" days to "&amp;INT(D31)&amp;" days"),"-")</f>
        <v>Debtor collection period has increased from 42 days to 80 days</v>
      </c>
      <c r="G31" s="747"/>
      <c r="H31" s="321"/>
    </row>
    <row r="32" spans="1:8" ht="15" outlineLevel="1">
      <c r="A32" s="320"/>
      <c r="B32" s="326">
        <v>5</v>
      </c>
      <c r="C32" s="327" t="s">
        <v>2391</v>
      </c>
      <c r="D32" s="339">
        <f>'Consolidated Financials'!I249</f>
        <v>61.702798129228718</v>
      </c>
      <c r="E32" s="339">
        <f>'Consolidated Financials'!H249</f>
        <v>6.9641611532070957</v>
      </c>
      <c r="F32" s="747" t="str">
        <f t="shared" si="7"/>
        <v>Inventories turnover period has increased from 6 days to 61 days</v>
      </c>
      <c r="G32" s="747"/>
      <c r="H32" s="321"/>
    </row>
    <row r="33" spans="1:8" ht="15" outlineLevel="1">
      <c r="A33" s="320"/>
      <c r="B33" s="326">
        <v>6</v>
      </c>
      <c r="C33" s="327" t="s">
        <v>2392</v>
      </c>
      <c r="D33" s="339">
        <f>'Consolidated Financials'!I253</f>
        <v>132.04861541115591</v>
      </c>
      <c r="E33" s="339">
        <f>'Consolidated Financials'!H253</f>
        <v>84.189575007683501</v>
      </c>
      <c r="F33" s="747" t="str">
        <f t="shared" si="7"/>
        <v>Creditors payment period has increased from 84 days to 132 days</v>
      </c>
      <c r="G33" s="747"/>
      <c r="H33" s="321"/>
    </row>
    <row r="34" spans="1:8" ht="15" outlineLevel="1">
      <c r="A34" s="320"/>
      <c r="B34" s="326">
        <v>7</v>
      </c>
      <c r="C34" s="327" t="s">
        <v>2393</v>
      </c>
      <c r="D34" s="339">
        <f>'Consolidated Financials'!I234</f>
        <v>0.15206832673246526</v>
      </c>
      <c r="E34" s="339">
        <f>'Consolidated Financials'!H234</f>
        <v>0.12683043808026251</v>
      </c>
      <c r="F34" s="747" t="str">
        <f t="shared" ref="F34:F36" si="8">IFERROR(_xlfn.IFS(D34&lt;E34,C34&amp;" has decreased from "&amp;INT(E34)&amp;"% to "&amp;INT(D34)&amp;"%",D34&gt;E34,C34&amp;" has increased from "&amp;INT(E34)&amp;"% to "&amp;INT(D34)&amp;"%"),"-")</f>
        <v>EBITDA Margin has increased from 0% to 0%</v>
      </c>
      <c r="G34" s="747"/>
      <c r="H34" s="321"/>
    </row>
    <row r="35" spans="1:8" ht="15" outlineLevel="1">
      <c r="A35" s="320"/>
      <c r="B35" s="326">
        <v>8</v>
      </c>
      <c r="C35" s="327" t="s">
        <v>2394</v>
      </c>
      <c r="D35" s="339">
        <f>'Consolidated Financials'!I235</f>
        <v>7.4288478223870441E-2</v>
      </c>
      <c r="E35" s="339">
        <f>'Consolidated Financials'!H235</f>
        <v>6.8402365682980429E-2</v>
      </c>
      <c r="F35" s="747" t="str">
        <f t="shared" si="8"/>
        <v>PAT Margin has increased from 0% to 0%</v>
      </c>
      <c r="G35" s="747"/>
      <c r="H35" s="321"/>
    </row>
    <row r="36" spans="1:8" ht="15" outlineLevel="1">
      <c r="A36" s="320"/>
      <c r="B36" s="326">
        <v>9</v>
      </c>
      <c r="C36" s="332" t="s">
        <v>2395</v>
      </c>
      <c r="D36" s="340">
        <f>'Consolidated Financials'!I263</f>
        <v>1.0773507459973852</v>
      </c>
      <c r="E36" s="340">
        <f>'Consolidated Financials'!H263</f>
        <v>0.97252308491765316</v>
      </c>
      <c r="F36" s="747" t="str">
        <f t="shared" si="8"/>
        <v>Debt to Equity has increased from 0% to 1%</v>
      </c>
      <c r="G36" s="747"/>
      <c r="H36" s="321"/>
    </row>
    <row r="37" spans="1:8" s="319" customFormat="1" ht="12.75">
      <c r="B37" s="336"/>
      <c r="C37" s="336"/>
      <c r="D37" s="336"/>
      <c r="E37" s="336"/>
      <c r="F37" s="336"/>
      <c r="G37" s="341"/>
    </row>
  </sheetData>
  <mergeCells count="16">
    <mergeCell ref="B2:G2"/>
    <mergeCell ref="F36:G36"/>
    <mergeCell ref="F35:G35"/>
    <mergeCell ref="F34:G34"/>
    <mergeCell ref="F33:G33"/>
    <mergeCell ref="F32:G32"/>
    <mergeCell ref="F31:G31"/>
    <mergeCell ref="F30:G30"/>
    <mergeCell ref="F29:G29"/>
    <mergeCell ref="B25:G25"/>
    <mergeCell ref="F28:G28"/>
    <mergeCell ref="F27:G27"/>
    <mergeCell ref="F26:G26"/>
    <mergeCell ref="B18:G18"/>
    <mergeCell ref="B12:G12"/>
    <mergeCell ref="B4:G4"/>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4">
    <tabColor rgb="FF0F243F"/>
  </sheetPr>
  <dimension ref="A2:AMJ265"/>
  <sheetViews>
    <sheetView workbookViewId="0"/>
  </sheetViews>
  <sheetFormatPr defaultRowHeight="15.75" customHeight="1" outlineLevelRow="2"/>
  <cols>
    <col min="1" max="5" width="2.5703125" style="124"/>
    <col min="6" max="6" width="49.28515625" style="126"/>
    <col min="7" max="7" width="22.85546875" style="124"/>
    <col min="8" max="8" width="19.7109375" style="124"/>
    <col min="9" max="9" width="18.42578125" style="124"/>
    <col min="10" max="11" width="16.140625" style="124"/>
    <col min="12" max="12" width="2" style="124"/>
    <col min="13" max="13" width="23.140625" style="124"/>
    <col min="14" max="15" width="13.42578125" style="124"/>
    <col min="16" max="1024" width="9.85546875" style="124"/>
    <col min="1025" max="1025" width="11.42578125"/>
  </cols>
  <sheetData>
    <row r="2" spans="2:12" ht="26.25" customHeight="1">
      <c r="B2" s="738" t="s">
        <v>2396</v>
      </c>
      <c r="C2" s="739"/>
      <c r="D2" s="739"/>
      <c r="E2" s="739"/>
      <c r="F2" s="739"/>
      <c r="G2" s="739"/>
      <c r="H2" s="739"/>
      <c r="I2" s="739"/>
      <c r="J2" s="739"/>
      <c r="K2" s="739"/>
      <c r="L2" s="740"/>
    </row>
    <row r="3" spans="2:12" ht="15">
      <c r="B3" s="189"/>
      <c r="F3" s="124"/>
      <c r="G3" s="125"/>
      <c r="L3" s="128"/>
    </row>
    <row r="4" spans="2:12" ht="15">
      <c r="B4" s="189"/>
      <c r="C4" s="755" t="s">
        <v>2397</v>
      </c>
      <c r="D4" s="755"/>
      <c r="E4" s="755"/>
      <c r="F4" s="342"/>
      <c r="G4" s="125"/>
      <c r="J4" s="191" t="s">
        <v>2398</v>
      </c>
      <c r="K4" s="192" t="s">
        <v>2399</v>
      </c>
      <c r="L4" s="128"/>
    </row>
    <row r="5" spans="2:12" ht="19.5">
      <c r="B5" s="127"/>
      <c r="C5" s="630" t="s">
        <v>2400</v>
      </c>
      <c r="D5" s="631"/>
      <c r="E5" s="631"/>
      <c r="F5" s="631"/>
      <c r="G5" s="631"/>
      <c r="H5" s="631"/>
      <c r="I5" s="631"/>
      <c r="J5" s="631"/>
      <c r="K5" s="632"/>
      <c r="L5" s="128"/>
    </row>
    <row r="6" spans="2:12" s="193" customFormat="1" ht="19.5" customHeight="1">
      <c r="B6" s="194"/>
      <c r="C6" s="633" t="s">
        <v>2401</v>
      </c>
      <c r="D6" s="634"/>
      <c r="E6" s="634"/>
      <c r="F6" s="634"/>
      <c r="G6" s="195">
        <f>IFERROR(EDATE(H6,-12),"-")</f>
        <v>43921</v>
      </c>
      <c r="H6" s="195">
        <f>IFERROR(EDATE(I6,-12),"-")</f>
        <v>44286</v>
      </c>
      <c r="I6" s="195">
        <v>44651</v>
      </c>
      <c r="J6" s="195">
        <f>IFERROR(EDATE(I6,12),"-")</f>
        <v>45016</v>
      </c>
      <c r="K6" s="196">
        <f>IFERROR(EDATE(J6,12),"-")</f>
        <v>45382</v>
      </c>
      <c r="L6" s="197"/>
    </row>
    <row r="7" spans="2:12" s="125" customFormat="1" ht="16.5" customHeight="1">
      <c r="B7" s="189"/>
      <c r="C7" s="635" t="s">
        <v>2402</v>
      </c>
      <c r="D7" s="636"/>
      <c r="E7" s="636"/>
      <c r="F7" s="637"/>
      <c r="G7" s="199" t="s">
        <v>2403</v>
      </c>
      <c r="H7" s="199" t="s">
        <v>2404</v>
      </c>
      <c r="I7" s="199" t="s">
        <v>2405</v>
      </c>
      <c r="J7" s="199"/>
      <c r="K7" s="199"/>
      <c r="L7" s="200"/>
    </row>
    <row r="8" spans="2:12" s="201" customFormat="1" ht="12.75">
      <c r="B8" s="202"/>
      <c r="C8" s="638" t="s">
        <v>2406</v>
      </c>
      <c r="D8" s="639"/>
      <c r="E8" s="639"/>
      <c r="F8" s="640"/>
      <c r="G8" s="203" t="s">
        <v>2407</v>
      </c>
      <c r="H8" s="203" t="s">
        <v>2408</v>
      </c>
      <c r="I8" s="203" t="s">
        <v>2409</v>
      </c>
      <c r="J8" s="203"/>
      <c r="K8" s="204"/>
      <c r="L8" s="205"/>
    </row>
    <row r="9" spans="2:12" s="201" customFormat="1" ht="12.75">
      <c r="B9" s="202"/>
      <c r="C9" s="641" t="s">
        <v>2410</v>
      </c>
      <c r="D9" s="642"/>
      <c r="E9" s="642"/>
      <c r="F9" s="643"/>
      <c r="G9" s="206" t="s">
        <v>2411</v>
      </c>
      <c r="H9" s="206" t="s">
        <v>2412</v>
      </c>
      <c r="I9" s="206" t="s">
        <v>2413</v>
      </c>
      <c r="J9" s="206"/>
      <c r="K9" s="207"/>
      <c r="L9" s="205"/>
    </row>
    <row r="10" spans="2:12" ht="17.25" customHeight="1">
      <c r="B10" s="127"/>
      <c r="C10" s="644" t="s">
        <v>2414</v>
      </c>
      <c r="D10" s="645"/>
      <c r="E10" s="645"/>
      <c r="F10" s="645"/>
      <c r="G10" s="208"/>
      <c r="H10" s="208"/>
      <c r="I10" s="208"/>
      <c r="J10" s="208"/>
      <c r="K10" s="209"/>
      <c r="L10" s="128"/>
    </row>
    <row r="11" spans="2:12" ht="17.25" customHeight="1">
      <c r="B11" s="127"/>
      <c r="C11" s="210"/>
      <c r="D11" s="611" t="s">
        <v>2415</v>
      </c>
      <c r="E11" s="612"/>
      <c r="F11" s="613"/>
      <c r="G11" s="212">
        <f>SUM(G12,G16,G20)</f>
        <v>1203921944</v>
      </c>
      <c r="H11" s="212">
        <f>SUM(H12,H16,H20)</f>
        <v>1292538191</v>
      </c>
      <c r="I11" s="212">
        <f>SUM(I12,I16,I20)</f>
        <v>1293520776</v>
      </c>
      <c r="J11" s="212">
        <f>SUM(J12,J16,J20)</f>
        <v>0</v>
      </c>
      <c r="K11" s="213">
        <f>SUM(K12,K16,K20)</f>
        <v>0</v>
      </c>
      <c r="L11" s="128"/>
    </row>
    <row r="12" spans="2:12" s="125" customFormat="1" ht="12.75" outlineLevel="1">
      <c r="B12" s="214"/>
      <c r="C12" s="657"/>
      <c r="D12" s="215"/>
      <c r="E12" s="659" t="s">
        <v>2416</v>
      </c>
      <c r="F12" s="660"/>
      <c r="G12" s="216">
        <f>SUM(G13:G15)</f>
        <v>1203921944</v>
      </c>
      <c r="H12" s="216">
        <f>SUM(H13:H15)</f>
        <v>1292538191</v>
      </c>
      <c r="I12" s="216">
        <f>SUM(I13:I15)</f>
        <v>1293520776</v>
      </c>
      <c r="J12" s="216">
        <f>SUM(J13:J15)</f>
        <v>0</v>
      </c>
      <c r="K12" s="217">
        <f>SUM(K13:K15)</f>
        <v>0</v>
      </c>
      <c r="L12" s="200"/>
    </row>
    <row r="13" spans="2:12" s="218" customFormat="1" ht="14.25" customHeight="1" outlineLevel="2">
      <c r="B13" s="219"/>
      <c r="C13" s="657"/>
      <c r="D13" s="661"/>
      <c r="E13" s="220"/>
      <c r="F13" s="221" t="s">
        <v>2417</v>
      </c>
      <c r="G13" s="223"/>
      <c r="H13" s="223"/>
      <c r="I13" s="223"/>
      <c r="J13" s="343"/>
      <c r="K13" s="224"/>
      <c r="L13" s="225"/>
    </row>
    <row r="14" spans="2:12" s="218" customFormat="1" ht="14.25" customHeight="1" outlineLevel="2">
      <c r="B14" s="219"/>
      <c r="C14" s="657"/>
      <c r="D14" s="661"/>
      <c r="F14" s="226" t="s">
        <v>2418</v>
      </c>
      <c r="G14" s="227">
        <f>4012738+34638025</f>
        <v>38650763</v>
      </c>
      <c r="H14" s="227">
        <f>4287875+77471498</f>
        <v>81759373</v>
      </c>
      <c r="I14" s="227">
        <f>44518893+73700633</f>
        <v>118219526</v>
      </c>
      <c r="J14" s="227"/>
      <c r="K14" s="228"/>
      <c r="L14" s="225"/>
    </row>
    <row r="15" spans="2:12" s="218" customFormat="1" ht="14.25" customHeight="1" outlineLevel="2">
      <c r="B15" s="219"/>
      <c r="C15" s="657"/>
      <c r="D15" s="661"/>
      <c r="F15" s="226" t="s">
        <v>2419</v>
      </c>
      <c r="G15" s="227">
        <f>1165271181</f>
        <v>1165271181</v>
      </c>
      <c r="H15" s="227">
        <f>1210778818</f>
        <v>1210778818</v>
      </c>
      <c r="I15" s="227">
        <f>1175301250</f>
        <v>1175301250</v>
      </c>
      <c r="J15" s="227"/>
      <c r="K15" s="228"/>
      <c r="L15" s="225"/>
    </row>
    <row r="16" spans="2:12" s="125" customFormat="1" ht="12.75" outlineLevel="1">
      <c r="B16" s="214"/>
      <c r="C16" s="657"/>
      <c r="E16" s="611" t="s">
        <v>2420</v>
      </c>
      <c r="F16" s="613"/>
      <c r="G16" s="229">
        <f>SUM(G17:G19)</f>
        <v>0</v>
      </c>
      <c r="H16" s="229">
        <f>SUM(H17:H19)</f>
        <v>0</v>
      </c>
      <c r="I16" s="229">
        <f>SUM(I17:I19)</f>
        <v>0</v>
      </c>
      <c r="J16" s="229">
        <f>SUM(J17:J19)</f>
        <v>0</v>
      </c>
      <c r="K16" s="230">
        <f>SUM(K17:K19)</f>
        <v>0</v>
      </c>
      <c r="L16" s="200"/>
    </row>
    <row r="17" spans="2:12" s="218" customFormat="1" ht="14.25" customHeight="1" outlineLevel="2">
      <c r="B17" s="219"/>
      <c r="C17" s="657"/>
      <c r="D17" s="661"/>
      <c r="E17" s="220"/>
      <c r="F17" s="221" t="s">
        <v>2421</v>
      </c>
      <c r="G17" s="223"/>
      <c r="H17" s="223"/>
      <c r="I17" s="223"/>
      <c r="J17" s="223"/>
      <c r="K17" s="224"/>
      <c r="L17" s="225"/>
    </row>
    <row r="18" spans="2:12" s="218" customFormat="1" ht="14.25" customHeight="1" outlineLevel="2">
      <c r="B18" s="219"/>
      <c r="C18" s="657"/>
      <c r="D18" s="661"/>
      <c r="F18" s="226" t="s">
        <v>2422</v>
      </c>
      <c r="G18" s="227"/>
      <c r="H18" s="227"/>
      <c r="I18" s="227"/>
      <c r="J18" s="227"/>
      <c r="K18" s="228"/>
      <c r="L18" s="225"/>
    </row>
    <row r="19" spans="2:12" s="218" customFormat="1" ht="14.25" customHeight="1" outlineLevel="2">
      <c r="B19" s="219"/>
      <c r="C19" s="657"/>
      <c r="D19" s="661"/>
      <c r="F19" s="226" t="s">
        <v>2423</v>
      </c>
      <c r="G19" s="227"/>
      <c r="H19" s="227"/>
      <c r="I19" s="227"/>
      <c r="J19" s="227"/>
      <c r="K19" s="228"/>
      <c r="L19" s="225"/>
    </row>
    <row r="20" spans="2:12" s="218" customFormat="1" ht="14.25" customHeight="1" outlineLevel="1">
      <c r="B20" s="219"/>
      <c r="C20" s="657"/>
      <c r="E20" s="611" t="s">
        <v>2424</v>
      </c>
      <c r="F20" s="613"/>
      <c r="G20" s="227"/>
      <c r="H20" s="227"/>
      <c r="I20" s="227"/>
      <c r="J20" s="227"/>
      <c r="K20" s="228"/>
      <c r="L20" s="225"/>
    </row>
    <row r="21" spans="2:12" s="125" customFormat="1" ht="12.75">
      <c r="B21" s="214"/>
      <c r="C21" s="657"/>
      <c r="D21" s="611" t="s">
        <v>2425</v>
      </c>
      <c r="E21" s="612"/>
      <c r="F21" s="613"/>
      <c r="G21" s="212">
        <v>225170</v>
      </c>
      <c r="H21" s="212"/>
      <c r="I21" s="212"/>
      <c r="J21" s="212"/>
      <c r="K21" s="213"/>
      <c r="L21" s="200"/>
    </row>
    <row r="22" spans="2:12" s="125" customFormat="1" ht="12.75">
      <c r="B22" s="214"/>
      <c r="C22" s="658"/>
      <c r="D22" s="646" t="s">
        <v>2426</v>
      </c>
      <c r="E22" s="647"/>
      <c r="F22" s="648"/>
      <c r="G22" s="344"/>
      <c r="H22" s="344"/>
      <c r="I22" s="344"/>
      <c r="J22" s="344"/>
      <c r="K22" s="345"/>
      <c r="L22" s="200"/>
    </row>
    <row r="23" spans="2:12" ht="17.25" customHeight="1">
      <c r="B23" s="127"/>
      <c r="C23" s="609" t="s">
        <v>2427</v>
      </c>
      <c r="D23" s="610"/>
      <c r="E23" s="610"/>
      <c r="F23" s="610"/>
      <c r="G23" s="233">
        <f>SUM(G11+G21)-G22</f>
        <v>1204147114</v>
      </c>
      <c r="H23" s="233">
        <f>SUM(H11+H21)-H22</f>
        <v>1292538191</v>
      </c>
      <c r="I23" s="233">
        <f>SUM(I11+I21)-I22</f>
        <v>1293520776</v>
      </c>
      <c r="J23" s="233">
        <f>SUM(J11+J21)-J22</f>
        <v>0</v>
      </c>
      <c r="K23" s="234">
        <f>SUM(K11+K21)-K22</f>
        <v>0</v>
      </c>
      <c r="L23" s="128"/>
    </row>
    <row r="24" spans="2:12" ht="7.5" customHeight="1">
      <c r="B24" s="127"/>
      <c r="C24" s="671"/>
      <c r="D24" s="672"/>
      <c r="E24" s="672"/>
      <c r="F24" s="672"/>
      <c r="G24" s="672"/>
      <c r="H24" s="672"/>
      <c r="I24" s="672"/>
      <c r="J24" s="672"/>
      <c r="K24" s="673"/>
      <c r="L24" s="128"/>
    </row>
    <row r="25" spans="2:12" ht="17.25" customHeight="1">
      <c r="B25" s="127"/>
      <c r="C25" s="684" t="s">
        <v>2428</v>
      </c>
      <c r="D25" s="685"/>
      <c r="E25" s="685"/>
      <c r="F25" s="685"/>
      <c r="G25" s="218"/>
      <c r="H25" s="218"/>
      <c r="I25" s="218"/>
      <c r="J25" s="218"/>
      <c r="K25" s="225"/>
      <c r="L25" s="225"/>
    </row>
    <row r="26" spans="2:12" ht="17.25" customHeight="1">
      <c r="B26" s="127"/>
      <c r="C26" s="236"/>
      <c r="D26" s="611" t="s">
        <v>2429</v>
      </c>
      <c r="E26" s="612"/>
      <c r="F26" s="613"/>
      <c r="G26" s="229">
        <f>G27+G31+G34</f>
        <v>514707523</v>
      </c>
      <c r="H26" s="229">
        <f>H27+H31+H34</f>
        <v>531534988</v>
      </c>
      <c r="I26" s="229">
        <f>I27+I31+I34</f>
        <v>477608999</v>
      </c>
      <c r="J26" s="229">
        <f>J27+J31+J34</f>
        <v>0</v>
      </c>
      <c r="K26" s="230">
        <f>K27+K31+K34</f>
        <v>0</v>
      </c>
      <c r="L26" s="225"/>
    </row>
    <row r="27" spans="2:12" s="125" customFormat="1" ht="12.75" outlineLevel="1">
      <c r="B27" s="214"/>
      <c r="C27" s="657"/>
      <c r="D27" s="215"/>
      <c r="E27" s="718" t="s">
        <v>2430</v>
      </c>
      <c r="F27" s="719"/>
      <c r="G27" s="216">
        <f>G29+G28-G30</f>
        <v>524810415</v>
      </c>
      <c r="H27" s="216">
        <f>H29+H28-H30</f>
        <v>541676619</v>
      </c>
      <c r="I27" s="216">
        <f>I29+I28-I30</f>
        <v>558348209</v>
      </c>
      <c r="J27" s="216">
        <f>J29+J28-J30</f>
        <v>0</v>
      </c>
      <c r="K27" s="217">
        <f>K29+K28-K30</f>
        <v>0</v>
      </c>
      <c r="L27" s="200"/>
    </row>
    <row r="28" spans="2:12" s="218" customFormat="1" ht="14.25" customHeight="1" outlineLevel="2">
      <c r="B28" s="219"/>
      <c r="C28" s="657"/>
      <c r="D28" s="661"/>
      <c r="E28" s="220"/>
      <c r="F28" s="221" t="s">
        <v>2431</v>
      </c>
      <c r="G28" s="223"/>
      <c r="H28" s="223"/>
      <c r="I28" s="223"/>
      <c r="J28" s="346"/>
      <c r="K28" s="224"/>
      <c r="L28" s="225"/>
    </row>
    <row r="29" spans="2:12" s="218" customFormat="1" ht="17.25" customHeight="1" outlineLevel="2">
      <c r="B29" s="219"/>
      <c r="C29" s="657"/>
      <c r="D29" s="661"/>
      <c r="F29" s="226" t="s">
        <v>2432</v>
      </c>
      <c r="G29" s="227">
        <f>41632801+483177614</f>
        <v>524810415</v>
      </c>
      <c r="H29" s="227">
        <f>10102892+531573727</f>
        <v>541676619</v>
      </c>
      <c r="I29" s="227">
        <f>10141631+548206578</f>
        <v>558348209</v>
      </c>
      <c r="J29" s="227"/>
      <c r="K29" s="228"/>
      <c r="L29" s="225"/>
    </row>
    <row r="30" spans="2:12" s="218" customFormat="1" ht="17.25" customHeight="1" outlineLevel="2">
      <c r="B30" s="219"/>
      <c r="C30" s="657"/>
      <c r="D30" s="661"/>
      <c r="F30" s="226" t="s">
        <v>2433</v>
      </c>
      <c r="G30" s="227"/>
      <c r="H30" s="227"/>
      <c r="I30" s="227"/>
      <c r="J30" s="227"/>
      <c r="K30" s="228"/>
      <c r="L30" s="225"/>
    </row>
    <row r="31" spans="2:12" s="125" customFormat="1" ht="17.25" customHeight="1" outlineLevel="1">
      <c r="B31" s="214"/>
      <c r="C31" s="657"/>
      <c r="E31" s="724" t="s">
        <v>2434</v>
      </c>
      <c r="F31" s="725"/>
      <c r="G31" s="229">
        <f>G32-G33</f>
        <v>-10102892</v>
      </c>
      <c r="H31" s="229">
        <f>H32-H33</f>
        <v>-10141631</v>
      </c>
      <c r="I31" s="229">
        <f>I32-I33</f>
        <v>-80739210</v>
      </c>
      <c r="J31" s="229">
        <f>J32-J33</f>
        <v>0</v>
      </c>
      <c r="K31" s="230">
        <f>K32-K33</f>
        <v>0</v>
      </c>
      <c r="L31" s="200"/>
    </row>
    <row r="32" spans="2:12" s="218" customFormat="1" ht="14.25" customHeight="1" outlineLevel="2">
      <c r="B32" s="219"/>
      <c r="C32" s="657"/>
      <c r="D32" s="661"/>
      <c r="E32" s="220"/>
      <c r="F32" s="221" t="s">
        <v>2435</v>
      </c>
      <c r="G32" s="223"/>
      <c r="H32" s="223"/>
      <c r="I32" s="223"/>
      <c r="J32" s="223"/>
      <c r="K32" s="224"/>
      <c r="L32" s="225"/>
    </row>
    <row r="33" spans="2:12" s="218" customFormat="1" ht="14.25" customHeight="1" outlineLevel="2">
      <c r="B33" s="219"/>
      <c r="C33" s="657"/>
      <c r="D33" s="661"/>
      <c r="F33" s="226" t="s">
        <v>2436</v>
      </c>
      <c r="G33" s="227">
        <v>10102892</v>
      </c>
      <c r="H33" s="227">
        <v>10141631</v>
      </c>
      <c r="I33" s="227">
        <v>80739210</v>
      </c>
      <c r="J33" s="227"/>
      <c r="K33" s="228"/>
      <c r="L33" s="225"/>
    </row>
    <row r="34" spans="2:12" s="125" customFormat="1" ht="12.75" outlineLevel="1">
      <c r="B34" s="214"/>
      <c r="C34" s="657"/>
      <c r="E34" s="724" t="s">
        <v>2437</v>
      </c>
      <c r="F34" s="725"/>
      <c r="G34" s="229">
        <f>G36+G35-G37</f>
        <v>0</v>
      </c>
      <c r="H34" s="229">
        <f>H36+H35-H37</f>
        <v>0</v>
      </c>
      <c r="I34" s="229">
        <f>I36+I35-I37</f>
        <v>0</v>
      </c>
      <c r="J34" s="229">
        <f>J36+J35-J37</f>
        <v>0</v>
      </c>
      <c r="K34" s="230">
        <f>K36+K35-K37</f>
        <v>0</v>
      </c>
      <c r="L34" s="200"/>
    </row>
    <row r="35" spans="2:12" s="218" customFormat="1" ht="14.25" customHeight="1" outlineLevel="1">
      <c r="B35" s="219"/>
      <c r="C35" s="657"/>
      <c r="D35" s="661"/>
      <c r="E35" s="220"/>
      <c r="F35" s="221" t="s">
        <v>2438</v>
      </c>
      <c r="G35" s="223"/>
      <c r="H35" s="223"/>
      <c r="I35" s="223"/>
      <c r="J35" s="223"/>
      <c r="K35" s="224"/>
      <c r="L35" s="225"/>
    </row>
    <row r="36" spans="2:12" s="218" customFormat="1" ht="14.25" customHeight="1" outlineLevel="1">
      <c r="B36" s="219"/>
      <c r="C36" s="657"/>
      <c r="D36" s="661"/>
      <c r="F36" s="226" t="s">
        <v>2439</v>
      </c>
      <c r="G36" s="227"/>
      <c r="H36" s="227"/>
      <c r="I36" s="227"/>
      <c r="J36" s="227"/>
      <c r="K36" s="228"/>
      <c r="L36" s="225"/>
    </row>
    <row r="37" spans="2:12" s="218" customFormat="1" ht="14.25" customHeight="1" outlineLevel="1">
      <c r="B37" s="219"/>
      <c r="C37" s="657"/>
      <c r="D37" s="661"/>
      <c r="F37" s="226" t="s">
        <v>2440</v>
      </c>
      <c r="G37" s="227"/>
      <c r="H37" s="227"/>
      <c r="I37" s="227"/>
      <c r="J37" s="227"/>
      <c r="K37" s="228"/>
      <c r="L37" s="225"/>
    </row>
    <row r="38" spans="2:12" s="218" customFormat="1" ht="14.25" customHeight="1">
      <c r="B38" s="219"/>
      <c r="C38" s="657"/>
      <c r="D38" s="611" t="s">
        <v>2441</v>
      </c>
      <c r="E38" s="612"/>
      <c r="F38" s="613"/>
      <c r="G38" s="227">
        <f>SUM(G39:G42)</f>
        <v>46088303</v>
      </c>
      <c r="H38" s="227">
        <f>SUM(H39:H42)</f>
        <v>71582598</v>
      </c>
      <c r="I38" s="227">
        <f>SUM(I39:I42)</f>
        <v>114762089</v>
      </c>
      <c r="J38" s="227">
        <f>SUM(J39:J42)</f>
        <v>0</v>
      </c>
      <c r="K38" s="228">
        <f>SUM(K39:K42)</f>
        <v>0</v>
      </c>
      <c r="L38" s="225"/>
    </row>
    <row r="39" spans="2:12" s="218" customFormat="1" ht="12" outlineLevel="1">
      <c r="B39" s="219"/>
      <c r="C39" s="657"/>
      <c r="D39" s="220"/>
      <c r="E39" s="616" t="s">
        <v>2442</v>
      </c>
      <c r="F39" s="617"/>
      <c r="G39" s="223"/>
      <c r="H39" s="223"/>
      <c r="I39" s="223"/>
      <c r="J39" s="223"/>
      <c r="K39" s="224"/>
      <c r="L39" s="225"/>
    </row>
    <row r="40" spans="2:12" s="218" customFormat="1" ht="12" outlineLevel="1">
      <c r="B40" s="219"/>
      <c r="C40" s="657"/>
      <c r="E40" s="626" t="s">
        <v>2443</v>
      </c>
      <c r="F40" s="627"/>
      <c r="G40" s="227">
        <f>3851617+34999581</f>
        <v>38851198</v>
      </c>
      <c r="H40" s="227">
        <f>4410727+58677810</f>
        <v>63088537</v>
      </c>
      <c r="I40" s="227">
        <f>5051350+103063919</f>
        <v>108115269</v>
      </c>
      <c r="J40" s="227"/>
      <c r="K40" s="228"/>
      <c r="L40" s="225"/>
    </row>
    <row r="41" spans="2:12" s="218" customFormat="1" ht="12" outlineLevel="1">
      <c r="B41" s="219"/>
      <c r="C41" s="657"/>
      <c r="E41" s="626" t="s">
        <v>2444</v>
      </c>
      <c r="F41" s="627"/>
      <c r="G41" s="227">
        <v>7237105</v>
      </c>
      <c r="H41" s="227">
        <v>8494061</v>
      </c>
      <c r="I41" s="227">
        <v>6646820</v>
      </c>
      <c r="J41" s="227"/>
      <c r="K41" s="228"/>
      <c r="L41" s="225"/>
    </row>
    <row r="42" spans="2:12" s="218" customFormat="1" ht="12" outlineLevel="1">
      <c r="B42" s="219"/>
      <c r="C42" s="658"/>
      <c r="D42" s="241"/>
      <c r="E42" s="663" t="s">
        <v>2445</v>
      </c>
      <c r="F42" s="664"/>
      <c r="G42" s="227"/>
      <c r="H42" s="227"/>
      <c r="I42" s="227"/>
      <c r="J42" s="227"/>
      <c r="K42" s="228"/>
      <c r="L42" s="225"/>
    </row>
    <row r="43" spans="2:12" ht="17.25" customHeight="1">
      <c r="B43" s="127"/>
      <c r="C43" s="609" t="s">
        <v>2446</v>
      </c>
      <c r="D43" s="610"/>
      <c r="E43" s="610"/>
      <c r="F43" s="610" t="s">
        <v>2447</v>
      </c>
      <c r="G43" s="233">
        <f>G23-SUM(G26,G38)</f>
        <v>643351288</v>
      </c>
      <c r="H43" s="233">
        <f>H23-SUM(H26,H38)</f>
        <v>689420605</v>
      </c>
      <c r="I43" s="233">
        <f>I23-SUM(I26,I38)</f>
        <v>701149688</v>
      </c>
      <c r="J43" s="233">
        <f>J23-SUM(J26,J38)</f>
        <v>0</v>
      </c>
      <c r="K43" s="234">
        <f>K23-SUM(K26,K38)</f>
        <v>0</v>
      </c>
      <c r="L43" s="128"/>
    </row>
    <row r="44" spans="2:12" ht="7.5" customHeight="1">
      <c r="B44" s="127"/>
      <c r="C44" s="671"/>
      <c r="D44" s="672"/>
      <c r="E44" s="672"/>
      <c r="F44" s="672"/>
      <c r="G44" s="672"/>
      <c r="H44" s="672"/>
      <c r="I44" s="672"/>
      <c r="J44" s="672"/>
      <c r="K44" s="673"/>
      <c r="L44" s="128"/>
    </row>
    <row r="45" spans="2:12" s="125" customFormat="1" ht="12.75">
      <c r="B45" s="214"/>
      <c r="C45" s="214"/>
      <c r="D45" s="611" t="s">
        <v>2448</v>
      </c>
      <c r="E45" s="612"/>
      <c r="F45" s="613"/>
      <c r="G45" s="212">
        <f>SUM(G46,G47,G48)</f>
        <v>474618448</v>
      </c>
      <c r="H45" s="212">
        <f>SUM(H46,H47,H48)</f>
        <v>508665441</v>
      </c>
      <c r="I45" s="212">
        <f>SUM(I46,I47,I48)</f>
        <v>482069778</v>
      </c>
      <c r="J45" s="212">
        <f>SUM(J46,J47,J48)</f>
        <v>0</v>
      </c>
      <c r="K45" s="213">
        <f>SUM(K46,K47,K48)</f>
        <v>0</v>
      </c>
      <c r="L45" s="200"/>
    </row>
    <row r="46" spans="2:12" s="218" customFormat="1" ht="12" outlineLevel="1">
      <c r="B46" s="219"/>
      <c r="C46" s="618"/>
      <c r="D46" s="220"/>
      <c r="E46" s="701" t="s">
        <v>2449</v>
      </c>
      <c r="F46" s="702"/>
      <c r="G46" s="346">
        <f>76097565+3008641+1914241+993460+13363362+3095581+657095</f>
        <v>99129945</v>
      </c>
      <c r="H46" s="223">
        <f>80038259+3518117+3660066+2322093+70500+11561753+731854</f>
        <v>101902642</v>
      </c>
      <c r="I46" s="223">
        <f>94607862+4833526+3509110+1312354+847133+11663620+266032</f>
        <v>117039637</v>
      </c>
      <c r="J46" s="223"/>
      <c r="K46" s="224"/>
      <c r="L46" s="225"/>
    </row>
    <row r="47" spans="2:12" s="218" customFormat="1" ht="12" outlineLevel="1">
      <c r="B47" s="219"/>
      <c r="C47" s="618"/>
      <c r="D47" s="240"/>
      <c r="E47" s="626" t="s">
        <v>2450</v>
      </c>
      <c r="F47" s="627"/>
      <c r="G47" s="227">
        <v>10000</v>
      </c>
      <c r="H47" s="227"/>
      <c r="I47" s="227"/>
      <c r="J47" s="227"/>
      <c r="K47" s="228"/>
      <c r="L47" s="225"/>
    </row>
    <row r="48" spans="2:12" s="218" customFormat="1" ht="12" outlineLevel="1">
      <c r="B48" s="219"/>
      <c r="C48" s="618"/>
      <c r="D48" s="240"/>
      <c r="E48" s="621" t="s">
        <v>2451</v>
      </c>
      <c r="F48" s="622"/>
      <c r="G48" s="347">
        <f>275000+1792377+27067558+23662040+36508025+3188142+52296+2023301+3903933+1877759+85528+502917+1614132+296539+739770+681000+1716948+3852692+2821951+4935231+250856579+301186+216580+1293310+4519049+694660</f>
        <v>375478503</v>
      </c>
      <c r="H48" s="347">
        <f>400000+1372945+30488329+2859970+22012544+45284091+7862637+144618+2514123+11684325+1391802+75250+1239592+732342+397798+731807+1718794+6672166+6918886+9706241+247664735+191411+135400+1667956+2602741+292296</f>
        <v>406762799</v>
      </c>
      <c r="I48" s="227">
        <f>450000+436378+2689763+2409780+19819033+31718018+1832423+692570+5822445+8400143+122077+5000208+1275318+127750+989576+8600304+6829706+9463660+7532235+245840970+226123+296208+1292755+2695373+467325</f>
        <v>365030141</v>
      </c>
      <c r="J48" s="227"/>
      <c r="K48" s="228"/>
      <c r="L48" s="225"/>
    </row>
    <row r="49" spans="1:12" s="125" customFormat="1" ht="12.75">
      <c r="B49" s="214"/>
      <c r="C49" s="618"/>
      <c r="D49" s="611" t="s">
        <v>2452</v>
      </c>
      <c r="E49" s="612"/>
      <c r="F49" s="613"/>
      <c r="G49" s="229">
        <f>SUM(G50:G51)</f>
        <v>10524000</v>
      </c>
      <c r="H49" s="229">
        <f>SUM(H50:H51)</f>
        <v>10911400</v>
      </c>
      <c r="I49" s="229">
        <f>SUM(I50:I51)</f>
        <v>15420000</v>
      </c>
      <c r="J49" s="229">
        <f>SUM(J50:J51)</f>
        <v>0</v>
      </c>
      <c r="K49" s="230">
        <f>SUM(K50:K51)</f>
        <v>0</v>
      </c>
      <c r="L49" s="200"/>
    </row>
    <row r="50" spans="1:12" s="218" customFormat="1" ht="14.25" customHeight="1" outlineLevel="1">
      <c r="B50" s="219"/>
      <c r="C50" s="618"/>
      <c r="D50" s="220"/>
      <c r="E50" s="616" t="s">
        <v>2453</v>
      </c>
      <c r="F50" s="617"/>
      <c r="G50" s="223">
        <v>10524000</v>
      </c>
      <c r="H50" s="223">
        <v>10911400</v>
      </c>
      <c r="I50" s="223">
        <v>15420000</v>
      </c>
      <c r="J50" s="223"/>
      <c r="K50" s="224"/>
      <c r="L50" s="225"/>
    </row>
    <row r="51" spans="1:12" s="218" customFormat="1" ht="14.25" customHeight="1" outlineLevel="1">
      <c r="B51" s="219"/>
      <c r="C51" s="618"/>
      <c r="E51" s="626" t="s">
        <v>2454</v>
      </c>
      <c r="F51" s="627"/>
      <c r="G51" s="227"/>
      <c r="H51" s="227"/>
      <c r="I51" s="227"/>
      <c r="J51" s="227"/>
      <c r="K51" s="228"/>
      <c r="L51" s="225"/>
    </row>
    <row r="52" spans="1:12" s="125" customFormat="1" ht="12.75">
      <c r="A52" s="218"/>
      <c r="B52" s="214"/>
      <c r="C52" s="618"/>
      <c r="D52" s="611" t="s">
        <v>2455</v>
      </c>
      <c r="E52" s="612"/>
      <c r="F52" s="613"/>
      <c r="G52" s="229">
        <f>SUM(G53:G54)</f>
        <v>4480245</v>
      </c>
      <c r="H52" s="229">
        <f>SUM(H53:H54)</f>
        <v>5910579</v>
      </c>
      <c r="I52" s="229">
        <f>SUM(I53:I54)</f>
        <v>6956370</v>
      </c>
      <c r="J52" s="229">
        <f>SUM(J53:J54)</f>
        <v>0</v>
      </c>
      <c r="K52" s="230">
        <f>SUM(K53:K54)</f>
        <v>0</v>
      </c>
      <c r="L52" s="200"/>
    </row>
    <row r="53" spans="1:12" s="218" customFormat="1" ht="14.25" customHeight="1" outlineLevel="1">
      <c r="B53" s="219"/>
      <c r="C53" s="618"/>
      <c r="D53" s="220"/>
      <c r="E53" s="616" t="s">
        <v>2456</v>
      </c>
      <c r="F53" s="617"/>
      <c r="G53" s="223">
        <v>4480245</v>
      </c>
      <c r="H53" s="223">
        <v>5910579</v>
      </c>
      <c r="I53" s="223">
        <v>6956370</v>
      </c>
      <c r="J53" s="223"/>
      <c r="K53" s="224"/>
      <c r="L53" s="225"/>
    </row>
    <row r="54" spans="1:12" s="218" customFormat="1" ht="14.25" customHeight="1" outlineLevel="1">
      <c r="B54" s="219"/>
      <c r="C54" s="686"/>
      <c r="D54" s="241"/>
      <c r="E54" s="663" t="s">
        <v>2457</v>
      </c>
      <c r="F54" s="664"/>
      <c r="G54" s="231"/>
      <c r="H54" s="231"/>
      <c r="I54" s="231"/>
      <c r="J54" s="227"/>
      <c r="K54" s="232"/>
      <c r="L54" s="225"/>
    </row>
    <row r="55" spans="1:12" ht="17.25" customHeight="1">
      <c r="A55" s="218"/>
      <c r="B55" s="127"/>
      <c r="C55" s="682" t="s">
        <v>2458</v>
      </c>
      <c r="D55" s="683"/>
      <c r="E55" s="683"/>
      <c r="F55" s="683"/>
      <c r="G55" s="256">
        <f>G43-SUM(G45,G49,G52)</f>
        <v>153728595</v>
      </c>
      <c r="H55" s="256">
        <f>H43-SUM(H45,H49,H52)</f>
        <v>163933185</v>
      </c>
      <c r="I55" s="256">
        <f>I43-SUM(I45,I49,I52)</f>
        <v>196703540</v>
      </c>
      <c r="J55" s="256">
        <f>J43-SUM(J45,J49,J52)</f>
        <v>0</v>
      </c>
      <c r="K55" s="259">
        <f>K43-SUM(K45,K49,K52)</f>
        <v>0</v>
      </c>
      <c r="L55" s="128"/>
    </row>
    <row r="56" spans="1:12" ht="7.5" customHeight="1">
      <c r="B56" s="127"/>
      <c r="C56" s="671"/>
      <c r="D56" s="672"/>
      <c r="E56" s="672"/>
      <c r="F56" s="672"/>
      <c r="G56" s="672"/>
      <c r="H56" s="672"/>
      <c r="I56" s="672"/>
      <c r="J56" s="672"/>
      <c r="K56" s="673"/>
      <c r="L56" s="128"/>
    </row>
    <row r="57" spans="1:12" s="125" customFormat="1" ht="14.25">
      <c r="A57" s="124"/>
      <c r="B57" s="214"/>
      <c r="C57" s="618"/>
      <c r="D57" s="611" t="s">
        <v>2459</v>
      </c>
      <c r="E57" s="612"/>
      <c r="F57" s="613"/>
      <c r="G57" s="212">
        <v>16107667</v>
      </c>
      <c r="H57" s="212">
        <v>19976454</v>
      </c>
      <c r="I57" s="212">
        <v>38913031</v>
      </c>
      <c r="J57" s="212"/>
      <c r="K57" s="213"/>
      <c r="L57" s="200"/>
    </row>
    <row r="58" spans="1:12" s="125" customFormat="1" ht="12.75">
      <c r="B58" s="214"/>
      <c r="C58" s="618"/>
      <c r="D58" s="611" t="s">
        <v>2460</v>
      </c>
      <c r="E58" s="612"/>
      <c r="F58" s="613"/>
      <c r="G58" s="212">
        <f>SUM(G60:G60)</f>
        <v>0</v>
      </c>
      <c r="H58" s="212">
        <f>SUM(H59:H60)</f>
        <v>0</v>
      </c>
      <c r="I58" s="212">
        <f>SUM(I59:I60)</f>
        <v>0</v>
      </c>
      <c r="J58" s="212">
        <f>SUM(J59:J60)</f>
        <v>0</v>
      </c>
      <c r="K58" s="213">
        <f>SUM(K60:K60)</f>
        <v>0</v>
      </c>
      <c r="L58" s="200"/>
    </row>
    <row r="59" spans="1:12" s="218" customFormat="1" ht="12" outlineLevel="1">
      <c r="B59" s="219"/>
      <c r="C59" s="618"/>
      <c r="D59" s="220"/>
      <c r="E59" s="616" t="s">
        <v>2461</v>
      </c>
      <c r="F59" s="617"/>
      <c r="G59" s="223"/>
      <c r="H59" s="223"/>
      <c r="I59" s="223"/>
      <c r="J59" s="223"/>
      <c r="K59" s="224"/>
      <c r="L59" s="225"/>
    </row>
    <row r="60" spans="1:12" s="218" customFormat="1" ht="12" outlineLevel="1">
      <c r="B60" s="219"/>
      <c r="C60" s="618"/>
      <c r="E60" s="626" t="s">
        <v>2462</v>
      </c>
      <c r="F60" s="627"/>
      <c r="G60" s="227"/>
      <c r="H60" s="227"/>
      <c r="I60" s="227"/>
      <c r="J60" s="227"/>
      <c r="K60" s="228"/>
      <c r="L60" s="225"/>
    </row>
    <row r="61" spans="1:12" s="125" customFormat="1" ht="12.75">
      <c r="B61" s="214"/>
      <c r="C61" s="618"/>
      <c r="D61" s="611" t="s">
        <v>2463</v>
      </c>
      <c r="E61" s="612"/>
      <c r="F61" s="613"/>
      <c r="G61" s="212">
        <f>SUM(G62:G63)</f>
        <v>0</v>
      </c>
      <c r="H61" s="212">
        <f>SUM(H62:H63)</f>
        <v>0</v>
      </c>
      <c r="I61" s="212">
        <f>SUM(I62:I63)</f>
        <v>0</v>
      </c>
      <c r="J61" s="212">
        <f>SUM(J62:J63)</f>
        <v>0</v>
      </c>
      <c r="K61" s="213">
        <f>SUM(K62:K63)</f>
        <v>0</v>
      </c>
      <c r="L61" s="200"/>
    </row>
    <row r="62" spans="1:12" s="218" customFormat="1" ht="12" outlineLevel="1">
      <c r="B62" s="219"/>
      <c r="C62" s="618"/>
      <c r="D62" s="239"/>
      <c r="E62" s="701" t="s">
        <v>2464</v>
      </c>
      <c r="F62" s="702"/>
      <c r="G62" s="223"/>
      <c r="H62" s="223"/>
      <c r="I62" s="223"/>
      <c r="J62" s="223"/>
      <c r="K62" s="224"/>
      <c r="L62" s="225"/>
    </row>
    <row r="63" spans="1:12" s="218" customFormat="1" ht="12" outlineLevel="1">
      <c r="B63" s="219"/>
      <c r="C63" s="618"/>
      <c r="D63" s="240"/>
      <c r="E63" s="626" t="s">
        <v>2465</v>
      </c>
      <c r="F63" s="627"/>
      <c r="G63" s="227"/>
      <c r="H63" s="227"/>
      <c r="I63" s="227"/>
      <c r="J63" s="227"/>
      <c r="K63" s="228"/>
      <c r="L63" s="225"/>
    </row>
    <row r="64" spans="1:12" s="125" customFormat="1" ht="12.75">
      <c r="B64" s="214"/>
      <c r="C64" s="686"/>
      <c r="D64" s="646" t="s">
        <v>2466</v>
      </c>
      <c r="E64" s="647"/>
      <c r="F64" s="648"/>
      <c r="G64" s="344"/>
      <c r="H64" s="227"/>
      <c r="I64" s="227"/>
      <c r="J64" s="344"/>
      <c r="K64" s="345"/>
      <c r="L64" s="200"/>
    </row>
    <row r="65" spans="1:12" ht="17.25" customHeight="1">
      <c r="A65" s="125"/>
      <c r="B65" s="127"/>
      <c r="C65" s="609" t="s">
        <v>2467</v>
      </c>
      <c r="D65" s="610"/>
      <c r="E65" s="610"/>
      <c r="F65" s="610"/>
      <c r="G65" s="233">
        <f>G55-SUM(G57,G58,G61,G64)</f>
        <v>137620928</v>
      </c>
      <c r="H65" s="233">
        <f>H55-SUM(H57,H58,H61,H64)</f>
        <v>143956731</v>
      </c>
      <c r="I65" s="233">
        <f>I55-SUM(I57,I58,I61,I64)</f>
        <v>157790509</v>
      </c>
      <c r="J65" s="233">
        <f>J55-SUM(J57,J58,J61,J64)</f>
        <v>0</v>
      </c>
      <c r="K65" s="234">
        <f>K55-SUM(K57,K58,K61,K64)</f>
        <v>0</v>
      </c>
      <c r="L65" s="128"/>
    </row>
    <row r="66" spans="1:12" ht="7.5" customHeight="1">
      <c r="B66" s="127"/>
      <c r="C66" s="671"/>
      <c r="D66" s="672"/>
      <c r="E66" s="672"/>
      <c r="F66" s="672"/>
      <c r="G66" s="672"/>
      <c r="H66" s="672"/>
      <c r="I66" s="672"/>
      <c r="J66" s="672"/>
      <c r="K66" s="673"/>
      <c r="L66" s="128"/>
    </row>
    <row r="67" spans="1:12" s="125" customFormat="1" ht="14.25">
      <c r="A67" s="124"/>
      <c r="B67" s="214"/>
      <c r="C67" s="618"/>
      <c r="D67" s="611" t="s">
        <v>2468</v>
      </c>
      <c r="E67" s="612"/>
      <c r="F67" s="613"/>
      <c r="G67" s="258">
        <f>SUM(G68:G72)</f>
        <v>22003898</v>
      </c>
      <c r="H67" s="229">
        <f>SUM(H68:H72)</f>
        <v>22321151</v>
      </c>
      <c r="I67" s="229">
        <f>SUM(I68:I72)</f>
        <v>25669905</v>
      </c>
      <c r="J67" s="229">
        <f>SUM(J68:J72)</f>
        <v>0</v>
      </c>
      <c r="K67" s="230">
        <f>SUM(K68:K72)</f>
        <v>0</v>
      </c>
      <c r="L67" s="200"/>
    </row>
    <row r="68" spans="1:12" s="218" customFormat="1" ht="14.25" customHeight="1" outlineLevel="1">
      <c r="A68" s="125"/>
      <c r="B68" s="219"/>
      <c r="C68" s="618"/>
      <c r="D68" s="699"/>
      <c r="E68" s="616" t="s">
        <v>2469</v>
      </c>
      <c r="F68" s="617"/>
      <c r="G68" s="348">
        <v>22003898</v>
      </c>
      <c r="H68" s="223">
        <v>22321151</v>
      </c>
      <c r="I68" s="223">
        <v>25669905</v>
      </c>
      <c r="J68" s="223"/>
      <c r="K68" s="224"/>
      <c r="L68" s="225"/>
    </row>
    <row r="69" spans="1:12" s="218" customFormat="1" ht="14.25" customHeight="1" outlineLevel="1">
      <c r="B69" s="219"/>
      <c r="C69" s="618"/>
      <c r="D69" s="680"/>
      <c r="E69" s="626" t="s">
        <v>2470</v>
      </c>
      <c r="F69" s="627"/>
      <c r="G69" s="349"/>
      <c r="H69" s="227"/>
      <c r="I69" s="227"/>
      <c r="J69" s="227"/>
      <c r="K69" s="228"/>
      <c r="L69" s="225"/>
    </row>
    <row r="70" spans="1:12" s="218" customFormat="1" ht="14.25" customHeight="1" outlineLevel="1">
      <c r="B70" s="219"/>
      <c r="C70" s="618"/>
      <c r="D70" s="680"/>
      <c r="E70" s="626" t="s">
        <v>2471</v>
      </c>
      <c r="F70" s="627"/>
      <c r="G70" s="349"/>
      <c r="H70" s="227"/>
      <c r="I70" s="227"/>
      <c r="J70" s="227"/>
      <c r="K70" s="228"/>
      <c r="L70" s="225"/>
    </row>
    <row r="71" spans="1:12" s="218" customFormat="1" ht="14.25" customHeight="1" outlineLevel="1">
      <c r="B71" s="219"/>
      <c r="C71" s="618"/>
      <c r="D71" s="680"/>
      <c r="E71" s="626" t="s">
        <v>2472</v>
      </c>
      <c r="F71" s="627"/>
      <c r="G71" s="349"/>
      <c r="H71" s="227"/>
      <c r="I71" s="227"/>
      <c r="J71" s="227"/>
      <c r="K71" s="228"/>
      <c r="L71" s="225"/>
    </row>
    <row r="72" spans="1:12" s="218" customFormat="1" ht="14.25" customHeight="1" outlineLevel="1">
      <c r="B72" s="219"/>
      <c r="C72" s="618"/>
      <c r="E72" s="626" t="s">
        <v>2473</v>
      </c>
      <c r="F72" s="627"/>
      <c r="G72" s="349"/>
      <c r="H72" s="227"/>
      <c r="I72" s="227"/>
      <c r="J72" s="227"/>
      <c r="K72" s="228"/>
      <c r="L72" s="225"/>
    </row>
    <row r="73" spans="1:12" s="125" customFormat="1" ht="12.75">
      <c r="A73" s="218"/>
      <c r="B73" s="214"/>
      <c r="C73" s="618"/>
      <c r="D73" s="611" t="s">
        <v>2474</v>
      </c>
      <c r="E73" s="612"/>
      <c r="F73" s="613"/>
      <c r="G73" s="229">
        <f>SUM(G74:G80)</f>
        <v>3466894</v>
      </c>
      <c r="H73" s="229">
        <f>SUM(H74:H80)</f>
        <v>5461060</v>
      </c>
      <c r="I73" s="229">
        <f>SUM(I74:I80)</f>
        <v>6002307</v>
      </c>
      <c r="J73" s="229">
        <f>SUM(J74:J80)</f>
        <v>0</v>
      </c>
      <c r="K73" s="230">
        <f>SUM(K74:K80)</f>
        <v>0</v>
      </c>
      <c r="L73" s="200"/>
    </row>
    <row r="74" spans="1:12" s="218" customFormat="1" ht="14.25" customHeight="1" outlineLevel="1">
      <c r="A74" s="125"/>
      <c r="B74" s="219"/>
      <c r="C74" s="618"/>
      <c r="D74" s="699"/>
      <c r="E74" s="701" t="s">
        <v>2475</v>
      </c>
      <c r="F74" s="702"/>
      <c r="G74" s="223">
        <v>3466654</v>
      </c>
      <c r="H74" s="223">
        <v>5376308</v>
      </c>
      <c r="I74" s="223">
        <v>6002307</v>
      </c>
      <c r="J74" s="223"/>
      <c r="K74" s="224"/>
      <c r="L74" s="225"/>
    </row>
    <row r="75" spans="1:12" s="218" customFormat="1" ht="14.25" customHeight="1" outlineLevel="1">
      <c r="B75" s="219"/>
      <c r="C75" s="618"/>
      <c r="D75" s="680"/>
      <c r="E75" s="621" t="s">
        <v>2476</v>
      </c>
      <c r="F75" s="622"/>
      <c r="G75" s="227"/>
      <c r="H75" s="227"/>
      <c r="I75" s="227"/>
      <c r="J75" s="227"/>
      <c r="K75" s="228"/>
      <c r="L75" s="225"/>
    </row>
    <row r="76" spans="1:12" s="218" customFormat="1" ht="14.25" customHeight="1" outlineLevel="1">
      <c r="B76" s="219"/>
      <c r="C76" s="618"/>
      <c r="D76" s="680"/>
      <c r="E76" s="621" t="s">
        <v>2477</v>
      </c>
      <c r="F76" s="622"/>
      <c r="G76" s="227"/>
      <c r="H76" s="227"/>
      <c r="I76" s="227"/>
      <c r="J76" s="227"/>
      <c r="K76" s="228"/>
      <c r="L76" s="225"/>
    </row>
    <row r="77" spans="1:12" s="218" customFormat="1" ht="14.25" customHeight="1" outlineLevel="1">
      <c r="B77" s="219"/>
      <c r="C77" s="618"/>
      <c r="D77" s="680"/>
      <c r="E77" s="621" t="s">
        <v>2478</v>
      </c>
      <c r="F77" s="622"/>
      <c r="G77" s="227"/>
      <c r="H77" s="227"/>
      <c r="I77" s="227"/>
      <c r="J77" s="227"/>
      <c r="K77" s="228"/>
      <c r="L77" s="225"/>
    </row>
    <row r="78" spans="1:12" s="218" customFormat="1" ht="14.25" customHeight="1" outlineLevel="1">
      <c r="B78" s="219"/>
      <c r="C78" s="618"/>
      <c r="D78" s="680"/>
      <c r="E78" s="621" t="s">
        <v>2479</v>
      </c>
      <c r="F78" s="622"/>
      <c r="G78" s="227"/>
      <c r="H78" s="227"/>
      <c r="I78" s="227"/>
      <c r="J78" s="227"/>
      <c r="K78" s="228"/>
      <c r="L78" s="225"/>
    </row>
    <row r="79" spans="1:12" s="218" customFormat="1" ht="14.25" customHeight="1" outlineLevel="1">
      <c r="B79" s="219"/>
      <c r="C79" s="618"/>
      <c r="D79" s="680"/>
      <c r="E79" s="621" t="s">
        <v>2480</v>
      </c>
      <c r="F79" s="622"/>
      <c r="G79" s="227"/>
      <c r="H79" s="227"/>
      <c r="I79" s="227"/>
      <c r="J79" s="227"/>
      <c r="K79" s="228"/>
      <c r="L79" s="225"/>
    </row>
    <row r="80" spans="1:12" s="218" customFormat="1" ht="14.25" customHeight="1" outlineLevel="1">
      <c r="B80" s="219"/>
      <c r="C80" s="686"/>
      <c r="D80" s="700"/>
      <c r="E80" s="716" t="s">
        <v>2481</v>
      </c>
      <c r="F80" s="717"/>
      <c r="G80" s="231">
        <v>240</v>
      </c>
      <c r="H80" s="231">
        <v>84752</v>
      </c>
      <c r="I80" s="231"/>
      <c r="J80" s="231"/>
      <c r="K80" s="232"/>
      <c r="L80" s="225"/>
    </row>
    <row r="81" spans="1:1024" ht="17.25" customHeight="1">
      <c r="A81" s="218"/>
      <c r="B81" s="127"/>
      <c r="C81" s="682" t="s">
        <v>2482</v>
      </c>
      <c r="D81" s="683"/>
      <c r="E81" s="683"/>
      <c r="F81" s="683"/>
      <c r="G81" s="256">
        <f>G65-G67+G73</f>
        <v>119083924</v>
      </c>
      <c r="H81" s="256">
        <f>H65-H67+H73</f>
        <v>127096640</v>
      </c>
      <c r="I81" s="256">
        <f>I65-I67+I73</f>
        <v>138122911</v>
      </c>
      <c r="J81" s="256">
        <f>J65-J67+J73</f>
        <v>0</v>
      </c>
      <c r="K81" s="259">
        <f>K65-K67+K73</f>
        <v>0</v>
      </c>
      <c r="L81" s="128"/>
    </row>
    <row r="82" spans="1:1024" ht="7.5" customHeight="1">
      <c r="B82" s="127"/>
      <c r="C82" s="671"/>
      <c r="D82" s="672"/>
      <c r="E82" s="672"/>
      <c r="F82" s="672"/>
      <c r="G82" s="672"/>
      <c r="H82" s="672"/>
      <c r="I82" s="672"/>
      <c r="J82" s="672"/>
      <c r="K82" s="673"/>
      <c r="L82" s="128"/>
    </row>
    <row r="83" spans="1:1024" s="125" customFormat="1" ht="14.25">
      <c r="A83" s="124"/>
      <c r="B83" s="214"/>
      <c r="C83" s="214"/>
      <c r="D83" s="735" t="s">
        <v>2483</v>
      </c>
      <c r="E83" s="736"/>
      <c r="F83" s="737"/>
      <c r="G83" s="350"/>
      <c r="H83" s="212"/>
      <c r="I83" s="212"/>
      <c r="J83" s="212"/>
      <c r="K83" s="213"/>
      <c r="L83" s="260"/>
    </row>
    <row r="84" spans="1:1024" ht="17.25" customHeight="1">
      <c r="A84" s="125"/>
      <c r="B84" s="127"/>
      <c r="C84" s="609" t="s">
        <v>2484</v>
      </c>
      <c r="D84" s="610"/>
      <c r="E84" s="610"/>
      <c r="F84" s="610"/>
      <c r="G84" s="233">
        <f>G81+G83</f>
        <v>119083924</v>
      </c>
      <c r="H84" s="233">
        <f>H81+H83</f>
        <v>127096640</v>
      </c>
      <c r="I84" s="233">
        <f>I81+I83</f>
        <v>138122911</v>
      </c>
      <c r="J84" s="233">
        <f>J81+J83</f>
        <v>0</v>
      </c>
      <c r="K84" s="234">
        <f>K81+K83</f>
        <v>0</v>
      </c>
      <c r="L84" s="128"/>
    </row>
    <row r="85" spans="1:1024" ht="7.5" customHeight="1">
      <c r="B85" s="127"/>
      <c r="C85" s="665"/>
      <c r="D85" s="666"/>
      <c r="E85" s="666"/>
      <c r="F85" s="667"/>
      <c r="G85" s="666"/>
      <c r="H85" s="666"/>
      <c r="I85" s="666"/>
      <c r="J85" s="666"/>
      <c r="K85" s="668"/>
      <c r="L85" s="128"/>
    </row>
    <row r="86" spans="1:1024" s="125" customFormat="1" ht="12.75">
      <c r="B86" s="214"/>
      <c r="C86" s="214"/>
      <c r="D86" s="614" t="s">
        <v>2485</v>
      </c>
      <c r="E86" s="614"/>
      <c r="F86" s="615"/>
      <c r="G86" s="212">
        <f>SUM(G87,G88)</f>
        <v>31017172</v>
      </c>
      <c r="H86" s="212">
        <f>SUM(H87,H88)</f>
        <v>33222910</v>
      </c>
      <c r="I86" s="212">
        <f>SUM(I87,I88)</f>
        <v>36026914</v>
      </c>
      <c r="J86" s="212">
        <f>SUM(J87,J88)</f>
        <v>0</v>
      </c>
      <c r="K86" s="213">
        <f>SUM(K87,K88)</f>
        <v>0</v>
      </c>
      <c r="L86" s="200"/>
    </row>
    <row r="87" spans="1:1024" s="218" customFormat="1" ht="12" outlineLevel="1">
      <c r="B87" s="219"/>
      <c r="C87" s="618"/>
      <c r="D87" s="220"/>
      <c r="E87" s="616" t="s">
        <v>2486</v>
      </c>
      <c r="F87" s="617"/>
      <c r="G87" s="223">
        <v>31200000</v>
      </c>
      <c r="H87" s="223">
        <v>32705920</v>
      </c>
      <c r="I87" s="223">
        <v>35595769</v>
      </c>
      <c r="J87" s="223"/>
      <c r="K87" s="224"/>
      <c r="L87" s="225"/>
    </row>
    <row r="88" spans="1:1024" s="218" customFormat="1" ht="12" outlineLevel="1">
      <c r="B88" s="219"/>
      <c r="C88" s="618"/>
      <c r="E88" s="626" t="s">
        <v>2487</v>
      </c>
      <c r="F88" s="627"/>
      <c r="G88" s="227">
        <v>-182828</v>
      </c>
      <c r="H88" s="227">
        <v>516990</v>
      </c>
      <c r="I88" s="227">
        <v>431145</v>
      </c>
      <c r="J88" s="227"/>
      <c r="K88" s="228"/>
      <c r="L88" s="225"/>
    </row>
    <row r="89" spans="1:1024" s="125" customFormat="1" ht="12.75">
      <c r="B89" s="214"/>
      <c r="C89" s="618"/>
      <c r="D89" s="611" t="s">
        <v>2488</v>
      </c>
      <c r="E89" s="612"/>
      <c r="F89" s="613"/>
      <c r="G89" s="261">
        <f>IFERROR(G87/G84,"-")</f>
        <v>0.26200010003029461</v>
      </c>
      <c r="H89" s="261">
        <f>IFERROR(H87/H84,"-")</f>
        <v>0.25733111433945066</v>
      </c>
      <c r="I89" s="261">
        <f>IFERROR(I87/I84,"-")</f>
        <v>0.25771082250069288</v>
      </c>
      <c r="J89" s="261" t="str">
        <f>IFERROR(J87/J84,"-")</f>
        <v>-</v>
      </c>
      <c r="K89" s="262" t="str">
        <f>IFERROR(K87/K84,"-")</f>
        <v>-</v>
      </c>
      <c r="L89" s="200"/>
    </row>
    <row r="90" spans="1:1024" ht="15">
      <c r="A90" s="263"/>
      <c r="B90" s="264"/>
      <c r="C90" s="691"/>
      <c r="D90" s="695" t="s">
        <v>2489</v>
      </c>
      <c r="E90" s="695"/>
      <c r="F90" s="696"/>
      <c r="G90" s="351"/>
      <c r="H90" s="351">
        <v>44572</v>
      </c>
      <c r="I90" s="351">
        <v>44832</v>
      </c>
      <c r="J90" s="351"/>
      <c r="K90" s="352"/>
      <c r="L90" s="266"/>
      <c r="M90" s="267"/>
      <c r="N90" s="267"/>
      <c r="O90" s="267"/>
      <c r="P90" s="267"/>
      <c r="Q90" s="267"/>
      <c r="R90" s="267"/>
      <c r="S90" s="267"/>
      <c r="T90" s="267"/>
      <c r="U90" s="267"/>
      <c r="V90" s="267"/>
      <c r="W90" s="267"/>
      <c r="X90" s="267"/>
      <c r="Y90" s="267"/>
      <c r="Z90" s="267"/>
      <c r="AA90" s="267"/>
      <c r="AB90" s="267"/>
      <c r="AC90" s="267"/>
      <c r="AD90" s="267"/>
      <c r="AE90" s="267"/>
      <c r="AF90" s="267"/>
      <c r="AG90" s="267"/>
      <c r="AH90" s="267"/>
      <c r="AI90" s="267"/>
      <c r="AJ90" s="267"/>
      <c r="AK90" s="267"/>
      <c r="AL90" s="267"/>
      <c r="AM90" s="267"/>
      <c r="AN90" s="267"/>
      <c r="AO90" s="267"/>
      <c r="AP90" s="267"/>
      <c r="AQ90" s="267"/>
      <c r="AR90" s="267"/>
      <c r="AS90" s="267"/>
      <c r="AT90" s="267"/>
      <c r="AU90" s="267"/>
      <c r="AV90" s="267"/>
      <c r="AW90" s="267"/>
      <c r="AX90" s="267"/>
      <c r="AY90" s="267"/>
      <c r="AZ90" s="267"/>
      <c r="BA90" s="267"/>
      <c r="BB90" s="267"/>
      <c r="BC90" s="267"/>
      <c r="BD90" s="267"/>
      <c r="BE90" s="267"/>
      <c r="BF90" s="267"/>
      <c r="BG90" s="267"/>
      <c r="BH90" s="267"/>
      <c r="BI90" s="267"/>
      <c r="BJ90" s="267"/>
      <c r="BK90" s="267"/>
      <c r="BL90" s="267"/>
      <c r="BM90" s="267"/>
      <c r="BN90" s="267"/>
      <c r="BO90" s="267"/>
      <c r="BP90" s="267"/>
      <c r="BQ90" s="267"/>
      <c r="BR90" s="267"/>
      <c r="BS90" s="267"/>
      <c r="BT90" s="267"/>
      <c r="BU90" s="267"/>
      <c r="BV90" s="267"/>
      <c r="BW90" s="267"/>
      <c r="BX90" s="267"/>
      <c r="BY90" s="267"/>
      <c r="BZ90" s="267"/>
      <c r="CA90" s="267"/>
      <c r="CB90" s="267"/>
      <c r="CC90" s="267"/>
      <c r="CD90" s="267"/>
      <c r="CE90" s="267"/>
      <c r="CF90" s="267"/>
      <c r="CG90" s="267"/>
      <c r="CH90" s="267"/>
      <c r="CI90" s="267"/>
      <c r="CJ90" s="267"/>
      <c r="CK90" s="267"/>
      <c r="CL90" s="267"/>
      <c r="CM90" s="267"/>
      <c r="CN90" s="267"/>
      <c r="CO90" s="267"/>
      <c r="CP90" s="267"/>
      <c r="CQ90" s="267"/>
      <c r="CR90" s="267"/>
      <c r="CS90" s="267"/>
      <c r="CT90" s="267"/>
      <c r="CU90" s="267"/>
      <c r="CV90" s="267"/>
      <c r="CW90" s="267"/>
      <c r="CX90" s="267"/>
      <c r="CY90" s="267"/>
      <c r="CZ90" s="267"/>
      <c r="DA90" s="267"/>
      <c r="DB90" s="267"/>
      <c r="DC90" s="267"/>
      <c r="DD90" s="267"/>
      <c r="DE90" s="267"/>
      <c r="DF90" s="267"/>
      <c r="DG90" s="267"/>
      <c r="DH90" s="267"/>
      <c r="DI90" s="267"/>
      <c r="DJ90" s="267"/>
      <c r="DK90" s="267"/>
      <c r="DL90" s="267"/>
      <c r="DM90" s="267"/>
      <c r="DN90" s="267"/>
      <c r="DO90" s="267"/>
      <c r="DP90" s="267"/>
      <c r="DQ90" s="267"/>
      <c r="DR90" s="267"/>
      <c r="DS90" s="267"/>
      <c r="DT90" s="267"/>
      <c r="DU90" s="267"/>
      <c r="DV90" s="267"/>
      <c r="DW90" s="267"/>
      <c r="DX90" s="267"/>
      <c r="DY90" s="267"/>
      <c r="DZ90" s="267"/>
      <c r="EA90" s="267"/>
      <c r="EB90" s="267"/>
      <c r="EC90" s="267"/>
      <c r="ED90" s="267"/>
      <c r="EE90" s="267"/>
      <c r="EF90" s="267"/>
      <c r="EG90" s="267"/>
      <c r="EH90" s="267"/>
      <c r="EI90" s="267"/>
      <c r="EJ90" s="267"/>
      <c r="EK90" s="267"/>
      <c r="EL90" s="267"/>
      <c r="EM90" s="267"/>
      <c r="EN90" s="267"/>
      <c r="EO90" s="267"/>
      <c r="EP90" s="267"/>
      <c r="EQ90" s="267"/>
      <c r="ER90" s="267"/>
      <c r="ES90" s="267"/>
      <c r="ET90" s="267"/>
      <c r="EU90" s="267"/>
      <c r="EV90" s="267"/>
      <c r="EW90" s="267"/>
      <c r="EX90" s="267"/>
      <c r="EY90" s="267"/>
      <c r="EZ90" s="267"/>
      <c r="FA90" s="267"/>
      <c r="FB90" s="267"/>
      <c r="FC90" s="267"/>
      <c r="FD90" s="267"/>
      <c r="FE90" s="267"/>
      <c r="FF90" s="267"/>
      <c r="FG90" s="267"/>
      <c r="FH90" s="267"/>
      <c r="FI90" s="267"/>
      <c r="FJ90" s="267"/>
      <c r="FK90" s="267"/>
      <c r="FL90" s="267"/>
      <c r="FM90" s="267"/>
      <c r="FN90" s="267"/>
      <c r="FO90" s="267"/>
      <c r="FP90" s="267"/>
      <c r="FQ90" s="267"/>
      <c r="FR90" s="267"/>
      <c r="FS90" s="267"/>
      <c r="FT90" s="267"/>
      <c r="FU90" s="267"/>
      <c r="FV90" s="267"/>
      <c r="FW90" s="267"/>
      <c r="FX90" s="267"/>
      <c r="FY90" s="267"/>
      <c r="FZ90" s="267"/>
      <c r="GA90" s="267"/>
      <c r="GB90" s="267"/>
      <c r="GC90" s="267"/>
      <c r="GD90" s="267"/>
      <c r="GE90" s="267"/>
      <c r="GF90" s="267"/>
      <c r="GG90" s="267"/>
      <c r="GH90" s="267"/>
      <c r="GI90" s="267"/>
      <c r="GJ90" s="267"/>
      <c r="GK90" s="267"/>
      <c r="GL90" s="267"/>
      <c r="GM90" s="267"/>
      <c r="GN90" s="267"/>
      <c r="GO90" s="267"/>
      <c r="GP90" s="267"/>
      <c r="GQ90" s="267"/>
      <c r="GR90" s="267"/>
      <c r="GS90" s="267"/>
      <c r="GT90" s="267"/>
      <c r="GU90" s="267"/>
      <c r="GV90" s="267"/>
      <c r="GW90" s="267"/>
      <c r="GX90" s="267"/>
      <c r="GY90" s="267"/>
      <c r="GZ90" s="267"/>
      <c r="HA90" s="267"/>
      <c r="HB90" s="267"/>
      <c r="HC90" s="267"/>
      <c r="HD90" s="267"/>
      <c r="HE90" s="267"/>
      <c r="HF90" s="267"/>
      <c r="HG90" s="267"/>
      <c r="HH90" s="267"/>
      <c r="HI90" s="267"/>
      <c r="HJ90" s="267"/>
      <c r="HK90" s="267"/>
      <c r="HL90" s="267"/>
      <c r="HM90" s="267"/>
      <c r="HN90" s="267"/>
      <c r="HO90" s="267"/>
      <c r="HP90" s="267"/>
      <c r="HQ90" s="267"/>
      <c r="HR90" s="267"/>
      <c r="HS90" s="267"/>
      <c r="HT90" s="267"/>
      <c r="HU90" s="267"/>
      <c r="HV90" s="267"/>
      <c r="HW90" s="267"/>
      <c r="HX90" s="267"/>
      <c r="HY90" s="267"/>
      <c r="HZ90" s="267"/>
      <c r="IA90" s="267"/>
      <c r="IB90" s="267"/>
      <c r="IC90" s="267"/>
      <c r="ID90" s="267"/>
      <c r="IE90" s="267"/>
      <c r="IF90" s="267"/>
      <c r="IG90" s="267"/>
      <c r="IH90" s="267"/>
      <c r="II90" s="267"/>
      <c r="IJ90" s="267"/>
      <c r="IK90" s="267"/>
      <c r="IL90" s="267"/>
      <c r="IM90" s="267"/>
      <c r="IN90" s="267"/>
      <c r="IO90" s="267"/>
      <c r="IP90" s="267"/>
      <c r="IQ90" s="267"/>
      <c r="IR90" s="267"/>
      <c r="IS90" s="267"/>
      <c r="IT90" s="267"/>
      <c r="IU90" s="267"/>
      <c r="IV90" s="267"/>
      <c r="IW90" s="267"/>
      <c r="IX90" s="267"/>
      <c r="IY90" s="267"/>
      <c r="IZ90" s="267"/>
      <c r="JA90" s="267"/>
      <c r="JB90" s="267"/>
      <c r="JC90" s="267"/>
      <c r="JD90" s="267"/>
      <c r="JE90" s="267"/>
      <c r="JF90" s="267"/>
      <c r="JG90" s="267"/>
      <c r="JH90" s="267"/>
      <c r="JI90" s="267"/>
      <c r="JJ90" s="267"/>
      <c r="JK90" s="267"/>
      <c r="JL90" s="267"/>
      <c r="JM90" s="267"/>
      <c r="JN90" s="267"/>
      <c r="JO90" s="267"/>
      <c r="JP90" s="267"/>
      <c r="JQ90" s="267"/>
      <c r="JR90" s="267"/>
      <c r="JS90" s="267"/>
      <c r="JT90" s="267"/>
      <c r="JU90" s="267"/>
      <c r="JV90" s="267"/>
      <c r="JW90" s="267"/>
      <c r="JX90" s="267"/>
      <c r="JY90" s="267"/>
      <c r="JZ90" s="267"/>
      <c r="KA90" s="267"/>
      <c r="KB90" s="267"/>
      <c r="KC90" s="267"/>
      <c r="KD90" s="267"/>
      <c r="KE90" s="267"/>
      <c r="KF90" s="267"/>
      <c r="KG90" s="267"/>
      <c r="KH90" s="267"/>
      <c r="KI90" s="267"/>
      <c r="KJ90" s="267"/>
      <c r="KK90" s="267"/>
      <c r="KL90" s="267"/>
      <c r="KM90" s="267"/>
      <c r="KN90" s="267"/>
      <c r="KO90" s="267"/>
      <c r="KP90" s="267"/>
      <c r="KQ90" s="267"/>
      <c r="KR90" s="267"/>
      <c r="KS90" s="267"/>
      <c r="KT90" s="267"/>
      <c r="KU90" s="267"/>
      <c r="KV90" s="267"/>
      <c r="KW90" s="267"/>
      <c r="KX90" s="267"/>
      <c r="KY90" s="267"/>
      <c r="KZ90" s="267"/>
      <c r="LA90" s="267"/>
      <c r="LB90" s="267"/>
      <c r="LC90" s="267"/>
      <c r="LD90" s="267"/>
      <c r="LE90" s="267"/>
      <c r="LF90" s="267"/>
      <c r="LG90" s="267"/>
      <c r="LH90" s="267"/>
      <c r="LI90" s="267"/>
      <c r="LJ90" s="267"/>
      <c r="LK90" s="267"/>
      <c r="LL90" s="267"/>
      <c r="LM90" s="267"/>
      <c r="LN90" s="267"/>
      <c r="LO90" s="267"/>
      <c r="LP90" s="267"/>
      <c r="LQ90" s="267"/>
      <c r="LR90" s="267"/>
      <c r="LS90" s="267"/>
      <c r="LT90" s="267"/>
      <c r="LU90" s="267"/>
      <c r="LV90" s="267"/>
      <c r="LW90" s="267"/>
      <c r="LX90" s="267"/>
      <c r="LY90" s="267"/>
      <c r="LZ90" s="267"/>
      <c r="MA90" s="267"/>
      <c r="MB90" s="267"/>
      <c r="MC90" s="267"/>
      <c r="MD90" s="267"/>
      <c r="ME90" s="267"/>
      <c r="MF90" s="267"/>
      <c r="MG90" s="267"/>
      <c r="MH90" s="267"/>
      <c r="MI90" s="267"/>
      <c r="MJ90" s="267"/>
      <c r="MK90" s="267"/>
      <c r="ML90" s="267"/>
      <c r="MM90" s="267"/>
      <c r="MN90" s="267"/>
      <c r="MO90" s="267"/>
      <c r="MP90" s="267"/>
      <c r="MQ90" s="267"/>
      <c r="MR90" s="267"/>
      <c r="MS90" s="267"/>
      <c r="MT90" s="267"/>
      <c r="MU90" s="267"/>
      <c r="MV90" s="267"/>
      <c r="MW90" s="267"/>
      <c r="MX90" s="267"/>
      <c r="MY90" s="267"/>
      <c r="MZ90" s="267"/>
      <c r="NA90" s="267"/>
      <c r="NB90" s="267"/>
      <c r="NC90" s="267"/>
      <c r="ND90" s="267"/>
      <c r="NE90" s="267"/>
      <c r="NF90" s="267"/>
      <c r="NG90" s="267"/>
      <c r="NH90" s="267"/>
      <c r="NI90" s="267"/>
      <c r="NJ90" s="267"/>
      <c r="NK90" s="267"/>
      <c r="NL90" s="267"/>
      <c r="NM90" s="267"/>
      <c r="NN90" s="267"/>
      <c r="NO90" s="267"/>
      <c r="NP90" s="267"/>
      <c r="NQ90" s="267"/>
      <c r="NR90" s="267"/>
      <c r="NS90" s="267"/>
      <c r="NT90" s="267"/>
      <c r="NU90" s="267"/>
      <c r="NV90" s="267"/>
      <c r="NW90" s="267"/>
      <c r="NX90" s="267"/>
      <c r="NY90" s="267"/>
      <c r="NZ90" s="267"/>
      <c r="OA90" s="267"/>
      <c r="OB90" s="267"/>
      <c r="OC90" s="267"/>
      <c r="OD90" s="267"/>
      <c r="OE90" s="267"/>
      <c r="OF90" s="267"/>
      <c r="OG90" s="267"/>
      <c r="OH90" s="267"/>
      <c r="OI90" s="267"/>
      <c r="OJ90" s="267"/>
      <c r="OK90" s="267"/>
      <c r="OL90" s="267"/>
      <c r="OM90" s="267"/>
      <c r="ON90" s="267"/>
      <c r="OO90" s="267"/>
      <c r="OP90" s="267"/>
      <c r="OQ90" s="267"/>
      <c r="OR90" s="267"/>
      <c r="OS90" s="267"/>
      <c r="OT90" s="267"/>
      <c r="OU90" s="267"/>
      <c r="OV90" s="267"/>
      <c r="OW90" s="267"/>
      <c r="OX90" s="267"/>
      <c r="OY90" s="267"/>
      <c r="OZ90" s="267"/>
      <c r="PA90" s="267"/>
      <c r="PB90" s="267"/>
      <c r="PC90" s="267"/>
      <c r="PD90" s="267"/>
      <c r="PE90" s="267"/>
      <c r="PF90" s="267"/>
      <c r="PG90" s="267"/>
      <c r="PH90" s="267"/>
      <c r="PI90" s="267"/>
      <c r="PJ90" s="267"/>
      <c r="PK90" s="267"/>
      <c r="PL90" s="267"/>
      <c r="PM90" s="267"/>
      <c r="PN90" s="267"/>
      <c r="PO90" s="267"/>
      <c r="PP90" s="267"/>
      <c r="PQ90" s="267"/>
      <c r="PR90" s="267"/>
      <c r="PS90" s="267"/>
      <c r="PT90" s="267"/>
      <c r="PU90" s="267"/>
      <c r="PV90" s="267"/>
      <c r="PW90" s="267"/>
      <c r="PX90" s="267"/>
      <c r="PY90" s="267"/>
      <c r="PZ90" s="267"/>
      <c r="QA90" s="267"/>
      <c r="QB90" s="267"/>
      <c r="QC90" s="267"/>
      <c r="QD90" s="267"/>
      <c r="QE90" s="267"/>
      <c r="QF90" s="267"/>
      <c r="QG90" s="267"/>
      <c r="QH90" s="267"/>
      <c r="QI90" s="267"/>
      <c r="QJ90" s="267"/>
      <c r="QK90" s="267"/>
      <c r="QL90" s="267"/>
      <c r="QM90" s="267"/>
      <c r="QN90" s="267"/>
      <c r="QO90" s="267"/>
      <c r="QP90" s="267"/>
      <c r="QQ90" s="267"/>
      <c r="QR90" s="267"/>
      <c r="QS90" s="267"/>
      <c r="QT90" s="267"/>
      <c r="QU90" s="267"/>
      <c r="QV90" s="267"/>
      <c r="QW90" s="267"/>
      <c r="QX90" s="267"/>
      <c r="QY90" s="267"/>
      <c r="QZ90" s="267"/>
      <c r="RA90" s="267"/>
      <c r="RB90" s="267"/>
      <c r="RC90" s="267"/>
      <c r="RD90" s="267"/>
      <c r="RE90" s="267"/>
      <c r="RF90" s="267"/>
      <c r="RG90" s="267"/>
      <c r="RH90" s="267"/>
      <c r="RI90" s="267"/>
      <c r="RJ90" s="267"/>
      <c r="RK90" s="267"/>
      <c r="RL90" s="267"/>
      <c r="RM90" s="267"/>
      <c r="RN90" s="267"/>
      <c r="RO90" s="267"/>
      <c r="RP90" s="267"/>
      <c r="RQ90" s="267"/>
      <c r="RR90" s="267"/>
      <c r="RS90" s="267"/>
      <c r="RT90" s="267"/>
      <c r="RU90" s="267"/>
      <c r="RV90" s="267"/>
      <c r="RW90" s="267"/>
      <c r="RX90" s="267"/>
      <c r="RY90" s="267"/>
      <c r="RZ90" s="267"/>
      <c r="SA90" s="267"/>
      <c r="SB90" s="267"/>
      <c r="SC90" s="267"/>
      <c r="SD90" s="267"/>
      <c r="SE90" s="267"/>
      <c r="SF90" s="267"/>
      <c r="SG90" s="267"/>
      <c r="SH90" s="267"/>
      <c r="SI90" s="267"/>
      <c r="SJ90" s="267"/>
      <c r="SK90" s="267"/>
      <c r="SL90" s="267"/>
      <c r="SM90" s="267"/>
      <c r="SN90" s="267"/>
      <c r="SO90" s="267"/>
      <c r="SP90" s="267"/>
      <c r="SQ90" s="267"/>
      <c r="SR90" s="267"/>
      <c r="SS90" s="267"/>
      <c r="ST90" s="267"/>
      <c r="SU90" s="267"/>
      <c r="SV90" s="267"/>
      <c r="SW90" s="267"/>
      <c r="SX90" s="267"/>
      <c r="SY90" s="267"/>
      <c r="SZ90" s="267"/>
      <c r="TA90" s="267"/>
      <c r="TB90" s="267"/>
      <c r="TC90" s="267"/>
      <c r="TD90" s="267"/>
      <c r="TE90" s="267"/>
      <c r="TF90" s="267"/>
      <c r="TG90" s="267"/>
      <c r="TH90" s="267"/>
      <c r="TI90" s="267"/>
      <c r="TJ90" s="267"/>
      <c r="TK90" s="267"/>
      <c r="TL90" s="267"/>
      <c r="TM90" s="267"/>
      <c r="TN90" s="267"/>
      <c r="TO90" s="267"/>
      <c r="TP90" s="267"/>
      <c r="TQ90" s="267"/>
      <c r="TR90" s="267"/>
      <c r="TS90" s="267"/>
      <c r="TT90" s="267"/>
      <c r="TU90" s="267"/>
      <c r="TV90" s="267"/>
      <c r="TW90" s="267"/>
      <c r="TX90" s="267"/>
      <c r="TY90" s="267"/>
      <c r="TZ90" s="267"/>
      <c r="UA90" s="267"/>
      <c r="UB90" s="267"/>
      <c r="UC90" s="267"/>
      <c r="UD90" s="267"/>
      <c r="UE90" s="267"/>
      <c r="UF90" s="267"/>
      <c r="UG90" s="267"/>
      <c r="UH90" s="267"/>
      <c r="UI90" s="267"/>
      <c r="UJ90" s="267"/>
      <c r="UK90" s="267"/>
      <c r="UL90" s="267"/>
      <c r="UM90" s="267"/>
      <c r="UN90" s="267"/>
      <c r="UO90" s="267"/>
      <c r="UP90" s="267"/>
      <c r="UQ90" s="267"/>
      <c r="UR90" s="267"/>
      <c r="US90" s="267"/>
      <c r="UT90" s="267"/>
      <c r="UU90" s="267"/>
      <c r="UV90" s="267"/>
      <c r="UW90" s="267"/>
      <c r="UX90" s="267"/>
      <c r="UY90" s="267"/>
      <c r="UZ90" s="267"/>
      <c r="VA90" s="267"/>
      <c r="VB90" s="267"/>
      <c r="VC90" s="267"/>
      <c r="VD90" s="267"/>
      <c r="VE90" s="267"/>
      <c r="VF90" s="267"/>
      <c r="VG90" s="267"/>
      <c r="VH90" s="267"/>
      <c r="VI90" s="267"/>
      <c r="VJ90" s="267"/>
      <c r="VK90" s="267"/>
      <c r="VL90" s="267"/>
      <c r="VM90" s="267"/>
      <c r="VN90" s="267"/>
      <c r="VO90" s="267"/>
      <c r="VP90" s="267"/>
      <c r="VQ90" s="267"/>
      <c r="VR90" s="267"/>
      <c r="VS90" s="267"/>
      <c r="VT90" s="267"/>
      <c r="VU90" s="267"/>
      <c r="VV90" s="267"/>
      <c r="VW90" s="267"/>
      <c r="VX90" s="267"/>
      <c r="VY90" s="267"/>
      <c r="VZ90" s="267"/>
      <c r="WA90" s="267"/>
      <c r="WB90" s="267"/>
      <c r="WC90" s="267"/>
      <c r="WD90" s="267"/>
      <c r="WE90" s="267"/>
      <c r="WF90" s="267"/>
      <c r="WG90" s="267"/>
      <c r="WH90" s="267"/>
      <c r="WI90" s="267"/>
      <c r="WJ90" s="267"/>
      <c r="WK90" s="267"/>
      <c r="WL90" s="267"/>
      <c r="WM90" s="267"/>
      <c r="WN90" s="267"/>
      <c r="WO90" s="267"/>
      <c r="WP90" s="267"/>
      <c r="WQ90" s="267"/>
      <c r="WR90" s="267"/>
      <c r="WS90" s="267"/>
      <c r="WT90" s="267"/>
      <c r="WU90" s="267"/>
      <c r="WV90" s="267"/>
      <c r="WW90" s="267"/>
      <c r="WX90" s="267"/>
      <c r="WY90" s="267"/>
      <c r="WZ90" s="267"/>
      <c r="XA90" s="267"/>
      <c r="XB90" s="267"/>
      <c r="XC90" s="267"/>
      <c r="XD90" s="267"/>
      <c r="XE90" s="267"/>
      <c r="XF90" s="267"/>
      <c r="XG90" s="267"/>
      <c r="XH90" s="267"/>
      <c r="XI90" s="267"/>
      <c r="XJ90" s="267"/>
      <c r="XK90" s="267"/>
      <c r="XL90" s="267"/>
      <c r="XM90" s="267"/>
      <c r="XN90" s="267"/>
      <c r="XO90" s="267"/>
      <c r="XP90" s="267"/>
      <c r="XQ90" s="267"/>
      <c r="XR90" s="267"/>
      <c r="XS90" s="267"/>
      <c r="XT90" s="267"/>
      <c r="XU90" s="267"/>
      <c r="XV90" s="267"/>
      <c r="XW90" s="267"/>
      <c r="XX90" s="267"/>
      <c r="XY90" s="267"/>
      <c r="XZ90" s="267"/>
      <c r="YA90" s="267"/>
      <c r="YB90" s="267"/>
      <c r="YC90" s="267"/>
      <c r="YD90" s="267"/>
      <c r="YE90" s="267"/>
      <c r="YF90" s="267"/>
      <c r="YG90" s="267"/>
      <c r="YH90" s="267"/>
      <c r="YI90" s="267"/>
      <c r="YJ90" s="267"/>
      <c r="YK90" s="267"/>
      <c r="YL90" s="267"/>
      <c r="YM90" s="267"/>
      <c r="YN90" s="267"/>
      <c r="YO90" s="267"/>
      <c r="YP90" s="267"/>
      <c r="YQ90" s="267"/>
      <c r="YR90" s="267"/>
      <c r="YS90" s="267"/>
      <c r="YT90" s="267"/>
      <c r="YU90" s="267"/>
      <c r="YV90" s="267"/>
      <c r="YW90" s="267"/>
      <c r="YX90" s="267"/>
      <c r="YY90" s="267"/>
      <c r="YZ90" s="267"/>
      <c r="ZA90" s="267"/>
      <c r="ZB90" s="267"/>
      <c r="ZC90" s="267"/>
      <c r="ZD90" s="267"/>
      <c r="ZE90" s="267"/>
      <c r="ZF90" s="267"/>
      <c r="ZG90" s="267"/>
      <c r="ZH90" s="267"/>
      <c r="ZI90" s="267"/>
      <c r="ZJ90" s="267"/>
      <c r="ZK90" s="267"/>
      <c r="ZL90" s="267"/>
      <c r="ZM90" s="267"/>
      <c r="ZN90" s="267"/>
      <c r="ZO90" s="267"/>
      <c r="ZP90" s="267"/>
      <c r="ZQ90" s="267"/>
      <c r="ZR90" s="267"/>
      <c r="ZS90" s="267"/>
      <c r="ZT90" s="267"/>
      <c r="ZU90" s="267"/>
      <c r="ZV90" s="267"/>
      <c r="ZW90" s="267"/>
      <c r="ZX90" s="267"/>
      <c r="ZY90" s="267"/>
      <c r="ZZ90" s="267"/>
      <c r="AAA90" s="267"/>
      <c r="AAB90" s="267"/>
      <c r="AAC90" s="267"/>
      <c r="AAD90" s="267"/>
      <c r="AAE90" s="267"/>
      <c r="AAF90" s="267"/>
      <c r="AAG90" s="267"/>
      <c r="AAH90" s="267"/>
      <c r="AAI90" s="267"/>
      <c r="AAJ90" s="267"/>
      <c r="AAK90" s="267"/>
      <c r="AAL90" s="267"/>
      <c r="AAM90" s="267"/>
      <c r="AAN90" s="267"/>
      <c r="AAO90" s="267"/>
      <c r="AAP90" s="267"/>
      <c r="AAQ90" s="267"/>
      <c r="AAR90" s="267"/>
      <c r="AAS90" s="267"/>
      <c r="AAT90" s="267"/>
      <c r="AAU90" s="267"/>
      <c r="AAV90" s="267"/>
      <c r="AAW90" s="267"/>
      <c r="AAX90" s="267"/>
      <c r="AAY90" s="267"/>
      <c r="AAZ90" s="267"/>
      <c r="ABA90" s="267"/>
      <c r="ABB90" s="267"/>
      <c r="ABC90" s="267"/>
      <c r="ABD90" s="267"/>
      <c r="ABE90" s="267"/>
      <c r="ABF90" s="267"/>
      <c r="ABG90" s="267"/>
      <c r="ABH90" s="267"/>
      <c r="ABI90" s="267"/>
      <c r="ABJ90" s="267"/>
      <c r="ABK90" s="267"/>
      <c r="ABL90" s="267"/>
      <c r="ABM90" s="267"/>
      <c r="ABN90" s="267"/>
      <c r="ABO90" s="267"/>
      <c r="ABP90" s="267"/>
      <c r="ABQ90" s="267"/>
      <c r="ABR90" s="267"/>
      <c r="ABS90" s="267"/>
      <c r="ABT90" s="267"/>
      <c r="ABU90" s="267"/>
      <c r="ABV90" s="267"/>
      <c r="ABW90" s="267"/>
      <c r="ABX90" s="267"/>
      <c r="ABY90" s="267"/>
      <c r="ABZ90" s="267"/>
      <c r="ACA90" s="267"/>
      <c r="ACB90" s="267"/>
      <c r="ACC90" s="267"/>
      <c r="ACD90" s="267"/>
      <c r="ACE90" s="267"/>
      <c r="ACF90" s="267"/>
      <c r="ACG90" s="267"/>
      <c r="ACH90" s="267"/>
      <c r="ACI90" s="267"/>
      <c r="ACJ90" s="267"/>
      <c r="ACK90" s="267"/>
      <c r="ACL90" s="267"/>
      <c r="ACM90" s="267"/>
      <c r="ACN90" s="267"/>
      <c r="ACO90" s="267"/>
      <c r="ACP90" s="267"/>
      <c r="ACQ90" s="267"/>
      <c r="ACR90" s="267"/>
      <c r="ACS90" s="267"/>
      <c r="ACT90" s="267"/>
      <c r="ACU90" s="267"/>
      <c r="ACV90" s="267"/>
      <c r="ACW90" s="267"/>
      <c r="ACX90" s="267"/>
      <c r="ACY90" s="267"/>
      <c r="ACZ90" s="267"/>
      <c r="ADA90" s="267"/>
      <c r="ADB90" s="267"/>
      <c r="ADC90" s="267"/>
      <c r="ADD90" s="267"/>
      <c r="ADE90" s="267"/>
      <c r="ADF90" s="267"/>
      <c r="ADG90" s="267"/>
      <c r="ADH90" s="267"/>
      <c r="ADI90" s="267"/>
      <c r="ADJ90" s="267"/>
      <c r="ADK90" s="267"/>
      <c r="ADL90" s="267"/>
      <c r="ADM90" s="267"/>
      <c r="ADN90" s="267"/>
      <c r="ADO90" s="267"/>
      <c r="ADP90" s="267"/>
      <c r="ADQ90" s="267"/>
      <c r="ADR90" s="267"/>
      <c r="ADS90" s="267"/>
      <c r="ADT90" s="267"/>
      <c r="ADU90" s="267"/>
      <c r="ADV90" s="267"/>
      <c r="ADW90" s="267"/>
      <c r="ADX90" s="267"/>
      <c r="ADY90" s="267"/>
      <c r="ADZ90" s="267"/>
      <c r="AEA90" s="267"/>
      <c r="AEB90" s="267"/>
      <c r="AEC90" s="267"/>
      <c r="AED90" s="267"/>
      <c r="AEE90" s="267"/>
      <c r="AEF90" s="267"/>
      <c r="AEG90" s="267"/>
      <c r="AEH90" s="267"/>
      <c r="AEI90" s="267"/>
      <c r="AEJ90" s="267"/>
      <c r="AEK90" s="267"/>
      <c r="AEL90" s="267"/>
      <c r="AEM90" s="267"/>
      <c r="AEN90" s="267"/>
      <c r="AEO90" s="267"/>
      <c r="AEP90" s="267"/>
      <c r="AEQ90" s="267"/>
      <c r="AER90" s="267"/>
      <c r="AES90" s="267"/>
      <c r="AET90" s="267"/>
      <c r="AEU90" s="267"/>
      <c r="AEV90" s="267"/>
      <c r="AEW90" s="267"/>
      <c r="AEX90" s="267"/>
      <c r="AEY90" s="267"/>
      <c r="AEZ90" s="267"/>
      <c r="AFA90" s="267"/>
      <c r="AFB90" s="267"/>
      <c r="AFC90" s="267"/>
      <c r="AFD90" s="267"/>
      <c r="AFE90" s="267"/>
      <c r="AFF90" s="267"/>
      <c r="AFG90" s="267"/>
      <c r="AFH90" s="267"/>
      <c r="AFI90" s="267"/>
      <c r="AFJ90" s="267"/>
      <c r="AFK90" s="267"/>
      <c r="AFL90" s="267"/>
      <c r="AFM90" s="267"/>
      <c r="AFN90" s="267"/>
      <c r="AFO90" s="267"/>
      <c r="AFP90" s="267"/>
      <c r="AFQ90" s="267"/>
      <c r="AFR90" s="267"/>
      <c r="AFS90" s="267"/>
      <c r="AFT90" s="267"/>
      <c r="AFU90" s="267"/>
      <c r="AFV90" s="267"/>
      <c r="AFW90" s="267"/>
      <c r="AFX90" s="267"/>
      <c r="AFY90" s="267"/>
      <c r="AFZ90" s="267"/>
      <c r="AGA90" s="267"/>
      <c r="AGB90" s="267"/>
      <c r="AGC90" s="267"/>
      <c r="AGD90" s="267"/>
      <c r="AGE90" s="267"/>
      <c r="AGF90" s="267"/>
      <c r="AGG90" s="267"/>
      <c r="AGH90" s="267"/>
      <c r="AGI90" s="267"/>
      <c r="AGJ90" s="267"/>
      <c r="AGK90" s="267"/>
      <c r="AGL90" s="267"/>
      <c r="AGM90" s="267"/>
      <c r="AGN90" s="267"/>
      <c r="AGO90" s="267"/>
      <c r="AGP90" s="267"/>
      <c r="AGQ90" s="267"/>
      <c r="AGR90" s="267"/>
      <c r="AGS90" s="267"/>
      <c r="AGT90" s="267"/>
      <c r="AGU90" s="267"/>
      <c r="AGV90" s="267"/>
      <c r="AGW90" s="267"/>
      <c r="AGX90" s="267"/>
      <c r="AGY90" s="267"/>
      <c r="AGZ90" s="267"/>
      <c r="AHA90" s="267"/>
      <c r="AHB90" s="267"/>
      <c r="AHC90" s="267"/>
      <c r="AHD90" s="267"/>
      <c r="AHE90" s="267"/>
      <c r="AHF90" s="267"/>
      <c r="AHG90" s="267"/>
      <c r="AHH90" s="267"/>
      <c r="AHI90" s="267"/>
      <c r="AHJ90" s="267"/>
      <c r="AHK90" s="267"/>
      <c r="AHL90" s="267"/>
      <c r="AHM90" s="267"/>
      <c r="AHN90" s="267"/>
      <c r="AHO90" s="267"/>
      <c r="AHP90" s="267"/>
      <c r="AHQ90" s="267"/>
      <c r="AHR90" s="267"/>
      <c r="AHS90" s="267"/>
      <c r="AHT90" s="267"/>
      <c r="AHU90" s="267"/>
      <c r="AHV90" s="267"/>
      <c r="AHW90" s="267"/>
      <c r="AHX90" s="267"/>
      <c r="AHY90" s="267"/>
      <c r="AHZ90" s="267"/>
      <c r="AIA90" s="267"/>
      <c r="AIB90" s="267"/>
      <c r="AIC90" s="267"/>
      <c r="AID90" s="267"/>
      <c r="AIE90" s="267"/>
      <c r="AIF90" s="267"/>
      <c r="AIG90" s="267"/>
      <c r="AIH90" s="267"/>
      <c r="AII90" s="267"/>
      <c r="AIJ90" s="267"/>
      <c r="AIK90" s="267"/>
      <c r="AIL90" s="267"/>
      <c r="AIM90" s="267"/>
      <c r="AIN90" s="267"/>
      <c r="AIO90" s="267"/>
      <c r="AIP90" s="267"/>
      <c r="AIQ90" s="267"/>
      <c r="AIR90" s="267"/>
      <c r="AIS90" s="267"/>
      <c r="AIT90" s="267"/>
      <c r="AIU90" s="267"/>
      <c r="AIV90" s="267"/>
      <c r="AIW90" s="267"/>
      <c r="AIX90" s="267"/>
      <c r="AIY90" s="267"/>
      <c r="AIZ90" s="267"/>
      <c r="AJA90" s="267"/>
      <c r="AJB90" s="267"/>
      <c r="AJC90" s="267"/>
      <c r="AJD90" s="267"/>
      <c r="AJE90" s="267"/>
      <c r="AJF90" s="267"/>
      <c r="AJG90" s="267"/>
      <c r="AJH90" s="267"/>
      <c r="AJI90" s="267"/>
      <c r="AJJ90" s="267"/>
      <c r="AJK90" s="267"/>
      <c r="AJL90" s="267"/>
      <c r="AJM90" s="267"/>
      <c r="AJN90" s="267"/>
      <c r="AJO90" s="267"/>
      <c r="AJP90" s="267"/>
      <c r="AJQ90" s="267"/>
      <c r="AJR90" s="267"/>
      <c r="AJS90" s="267"/>
      <c r="AJT90" s="267"/>
      <c r="AJU90" s="267"/>
      <c r="AJV90" s="267"/>
      <c r="AJW90" s="267"/>
      <c r="AJX90" s="267"/>
      <c r="AJY90" s="267"/>
      <c r="AJZ90" s="267"/>
      <c r="AKA90" s="267"/>
      <c r="AKB90" s="267"/>
      <c r="AKC90" s="267"/>
      <c r="AKD90" s="267"/>
      <c r="AKE90" s="267"/>
      <c r="AKF90" s="267"/>
      <c r="AKG90" s="267"/>
      <c r="AKH90" s="267"/>
      <c r="AKI90" s="267"/>
      <c r="AKJ90" s="267"/>
      <c r="AKK90" s="267"/>
      <c r="AKL90" s="267"/>
      <c r="AKM90" s="267"/>
      <c r="AKN90" s="267"/>
      <c r="AKO90" s="267"/>
      <c r="AKP90" s="267"/>
      <c r="AKQ90" s="267"/>
      <c r="AKR90" s="267"/>
      <c r="AKS90" s="267"/>
      <c r="AKT90" s="267"/>
      <c r="AKU90" s="267"/>
      <c r="AKV90" s="267"/>
      <c r="AKW90" s="267"/>
      <c r="AKX90" s="267"/>
      <c r="AKY90" s="267"/>
      <c r="AKZ90" s="267"/>
      <c r="ALA90" s="267"/>
      <c r="ALB90" s="267"/>
      <c r="ALC90" s="267"/>
      <c r="ALD90" s="267"/>
      <c r="ALE90" s="267"/>
      <c r="ALF90" s="267"/>
      <c r="ALG90" s="267"/>
      <c r="ALH90" s="267"/>
      <c r="ALI90" s="267"/>
      <c r="ALJ90" s="267"/>
      <c r="ALK90" s="267"/>
      <c r="ALL90" s="267"/>
      <c r="ALM90" s="267"/>
      <c r="ALN90" s="267"/>
      <c r="ALO90" s="267"/>
      <c r="ALP90" s="267"/>
      <c r="ALQ90" s="267"/>
      <c r="ALR90" s="267"/>
      <c r="ALS90" s="267"/>
      <c r="ALT90" s="267"/>
      <c r="ALU90" s="267"/>
      <c r="ALV90" s="267"/>
      <c r="ALW90" s="267"/>
      <c r="ALX90" s="267"/>
      <c r="ALY90" s="267"/>
      <c r="ALZ90" s="267"/>
      <c r="AMA90" s="267"/>
      <c r="AMB90" s="267"/>
      <c r="AMC90" s="267"/>
      <c r="AMD90" s="267"/>
      <c r="AME90" s="267"/>
      <c r="AMF90" s="267"/>
      <c r="AMG90" s="267"/>
      <c r="AMH90" s="267"/>
      <c r="AMI90" s="267"/>
      <c r="AMJ90" s="267"/>
    </row>
    <row r="91" spans="1:1024" s="268" customFormat="1" ht="11.25">
      <c r="B91" s="265"/>
      <c r="C91" s="691"/>
      <c r="D91" s="756" t="s">
        <v>2490</v>
      </c>
      <c r="E91" s="756"/>
      <c r="F91" s="757"/>
      <c r="G91" s="353"/>
      <c r="H91" s="354">
        <f>IF((H90-G90)/30&lt;0,"No Data",(H90-G90)/30)</f>
        <v>1485.7333333333333</v>
      </c>
      <c r="I91" s="354">
        <f>IF((I90-H90)/30&lt;0,"No Data",(I90-H90)/30)</f>
        <v>8.6666666666666661</v>
      </c>
      <c r="J91" s="354" t="str">
        <f>IF((J90-I90)/30&lt;0,"No Data",(J90-I90)/30)</f>
        <v>No Data</v>
      </c>
      <c r="K91" s="355">
        <f>IF((K90-J90)/30&lt;0,"No Data",(K90-J90)/30)</f>
        <v>0</v>
      </c>
      <c r="L91" s="269"/>
    </row>
    <row r="92" spans="1:1024" ht="17.25" customHeight="1">
      <c r="A92" s="268"/>
      <c r="B92" s="127"/>
      <c r="C92" s="708" t="s">
        <v>2491</v>
      </c>
      <c r="D92" s="709"/>
      <c r="E92" s="709"/>
      <c r="F92" s="709"/>
      <c r="G92" s="270">
        <f>G84-SUM(G87:G88)</f>
        <v>88066752</v>
      </c>
      <c r="H92" s="270">
        <f>H84-SUM(H87:H88)</f>
        <v>93873730</v>
      </c>
      <c r="I92" s="270">
        <f>I84-SUM(I87:I88)</f>
        <v>102095997</v>
      </c>
      <c r="J92" s="270">
        <f>J84-SUM(J87:J88)</f>
        <v>0</v>
      </c>
      <c r="K92" s="271">
        <f>K84-SUM(K87:K88)</f>
        <v>0</v>
      </c>
      <c r="L92" s="128"/>
    </row>
    <row r="93" spans="1:1024" ht="7.5" customHeight="1">
      <c r="B93" s="127"/>
      <c r="C93" s="671"/>
      <c r="D93" s="672"/>
      <c r="E93" s="672"/>
      <c r="F93" s="672"/>
      <c r="G93" s="672"/>
      <c r="H93" s="672"/>
      <c r="I93" s="672"/>
      <c r="J93" s="672"/>
      <c r="K93" s="673"/>
      <c r="L93" s="128"/>
    </row>
    <row r="94" spans="1:1024" ht="15" customHeight="1">
      <c r="B94" s="127"/>
      <c r="C94" s="127"/>
      <c r="D94" s="611" t="s">
        <v>2492</v>
      </c>
      <c r="E94" s="612"/>
      <c r="F94" s="613"/>
      <c r="G94" s="229"/>
      <c r="H94" s="229"/>
      <c r="I94" s="229"/>
      <c r="J94" s="229"/>
      <c r="K94" s="230"/>
      <c r="L94" s="128"/>
    </row>
    <row r="95" spans="1:1024" ht="17.25" customHeight="1">
      <c r="A95" s="268"/>
      <c r="B95" s="127"/>
      <c r="C95" s="708" t="s">
        <v>2493</v>
      </c>
      <c r="D95" s="709"/>
      <c r="E95" s="709"/>
      <c r="F95" s="709"/>
      <c r="G95" s="270">
        <f>G92+G94</f>
        <v>88066752</v>
      </c>
      <c r="H95" s="270">
        <f>H92+H94</f>
        <v>93873730</v>
      </c>
      <c r="I95" s="270">
        <f>I92+I94</f>
        <v>102095997</v>
      </c>
      <c r="J95" s="270">
        <f>J92+J94</f>
        <v>0</v>
      </c>
      <c r="K95" s="271">
        <f>K92+K94</f>
        <v>0</v>
      </c>
      <c r="L95" s="128"/>
    </row>
    <row r="96" spans="1:1024" ht="15">
      <c r="B96" s="127"/>
      <c r="C96" s="127"/>
      <c r="D96" s="611" t="s">
        <v>2494</v>
      </c>
      <c r="E96" s="612"/>
      <c r="F96" s="613"/>
      <c r="G96" s="229">
        <f>G97+G98</f>
        <v>0</v>
      </c>
      <c r="H96" s="229">
        <f>H97+H98</f>
        <v>0</v>
      </c>
      <c r="I96" s="229">
        <f>I97+I98</f>
        <v>0</v>
      </c>
      <c r="J96" s="229">
        <f>J97+J98</f>
        <v>0</v>
      </c>
      <c r="K96" s="230">
        <f>K97+K98</f>
        <v>0</v>
      </c>
      <c r="L96" s="128"/>
    </row>
    <row r="97" spans="1:12" s="218" customFormat="1" ht="12" outlineLevel="1">
      <c r="B97" s="219"/>
      <c r="C97" s="219"/>
      <c r="D97" s="220"/>
      <c r="E97" s="701" t="s">
        <v>2495</v>
      </c>
      <c r="F97" s="702"/>
      <c r="G97" s="223"/>
      <c r="H97" s="223"/>
      <c r="I97" s="223"/>
      <c r="J97" s="223"/>
      <c r="K97" s="224"/>
      <c r="L97" s="225"/>
    </row>
    <row r="98" spans="1:12" s="218" customFormat="1" ht="12" outlineLevel="1">
      <c r="B98" s="219"/>
      <c r="C98" s="219"/>
      <c r="E98" s="621" t="s">
        <v>2496</v>
      </c>
      <c r="F98" s="622"/>
      <c r="G98" s="227"/>
      <c r="H98" s="227"/>
      <c r="I98" s="227"/>
      <c r="J98" s="227"/>
      <c r="K98" s="228"/>
      <c r="L98" s="225"/>
    </row>
    <row r="99" spans="1:12" s="125" customFormat="1" ht="14.25">
      <c r="A99" s="124"/>
      <c r="B99" s="214"/>
      <c r="C99" s="732" t="s">
        <v>2497</v>
      </c>
      <c r="D99" s="733"/>
      <c r="E99" s="733"/>
      <c r="F99" s="734"/>
      <c r="G99" s="273">
        <f>G92-G96</f>
        <v>88066752</v>
      </c>
      <c r="H99" s="273">
        <f>H92-H96</f>
        <v>93873730</v>
      </c>
      <c r="I99" s="273">
        <f>I92-I96</f>
        <v>102095997</v>
      </c>
      <c r="J99" s="273">
        <f>J92-J96</f>
        <v>0</v>
      </c>
      <c r="K99" s="274">
        <f>K92-K96</f>
        <v>0</v>
      </c>
      <c r="L99" s="200"/>
    </row>
    <row r="100" spans="1:12" s="125" customFormat="1" ht="12.75">
      <c r="B100" s="214"/>
      <c r="C100" s="732" t="s">
        <v>2498</v>
      </c>
      <c r="D100" s="733"/>
      <c r="E100" s="733"/>
      <c r="F100" s="734"/>
      <c r="G100" s="273">
        <f>G92+G57+G58+G63+G49</f>
        <v>114698419</v>
      </c>
      <c r="H100" s="273">
        <f>H92+H57+H58+H63+H49</f>
        <v>124761584</v>
      </c>
      <c r="I100" s="273">
        <f>I92+I57+I58+I63+I49</f>
        <v>156429028</v>
      </c>
      <c r="J100" s="273">
        <f>J92+J57+J58+J63+J49</f>
        <v>0</v>
      </c>
      <c r="K100" s="274">
        <f>K92+K57+K58+K63+K49</f>
        <v>0</v>
      </c>
      <c r="L100" s="200"/>
    </row>
    <row r="101" spans="1:12" ht="14.25" customHeight="1">
      <c r="A101" s="125"/>
      <c r="B101" s="127"/>
      <c r="C101" s="272"/>
      <c r="D101" s="275"/>
      <c r="E101" s="275"/>
      <c r="F101" s="243"/>
      <c r="G101" s="276"/>
      <c r="H101" s="277"/>
      <c r="I101" s="277"/>
      <c r="J101" s="277"/>
      <c r="K101" s="278"/>
      <c r="L101" s="128"/>
    </row>
    <row r="102" spans="1:12" ht="19.5">
      <c r="B102" s="127"/>
      <c r="C102" s="720" t="s">
        <v>2499</v>
      </c>
      <c r="D102" s="721"/>
      <c r="E102" s="721"/>
      <c r="F102" s="721"/>
      <c r="G102" s="721"/>
      <c r="H102" s="721"/>
      <c r="I102" s="721"/>
      <c r="J102" s="721"/>
      <c r="K102" s="722"/>
      <c r="L102" s="128"/>
    </row>
    <row r="103" spans="1:12" ht="17.25" customHeight="1">
      <c r="B103" s="127"/>
      <c r="C103" s="623" t="s">
        <v>2500</v>
      </c>
      <c r="D103" s="624"/>
      <c r="E103" s="624"/>
      <c r="F103" s="625" t="s">
        <v>2501</v>
      </c>
      <c r="G103" s="279">
        <f>G6</f>
        <v>43921</v>
      </c>
      <c r="H103" s="279">
        <f>H6</f>
        <v>44286</v>
      </c>
      <c r="I103" s="279">
        <f>I6</f>
        <v>44651</v>
      </c>
      <c r="J103" s="279">
        <f>J6</f>
        <v>45016</v>
      </c>
      <c r="K103" s="280">
        <f>K6</f>
        <v>45382</v>
      </c>
      <c r="L103" s="128"/>
    </row>
    <row r="104" spans="1:12" ht="15">
      <c r="B104" s="127"/>
      <c r="C104" s="665"/>
      <c r="D104" s="666"/>
      <c r="E104" s="666"/>
      <c r="F104" s="667"/>
      <c r="G104" s="666"/>
      <c r="H104" s="666"/>
      <c r="I104" s="666"/>
      <c r="J104" s="666"/>
      <c r="K104" s="668"/>
      <c r="L104" s="128"/>
    </row>
    <row r="105" spans="1:12" ht="18">
      <c r="B105" s="127"/>
      <c r="C105" s="654" t="s">
        <v>2502</v>
      </c>
      <c r="D105" s="655"/>
      <c r="E105" s="655"/>
      <c r="F105" s="655"/>
      <c r="G105" s="655"/>
      <c r="H105" s="655"/>
      <c r="I105" s="655"/>
      <c r="J105" s="655"/>
      <c r="K105" s="656"/>
      <c r="L105" s="128"/>
    </row>
    <row r="106" spans="1:12" ht="17.25" customHeight="1">
      <c r="B106" s="127"/>
      <c r="C106" s="689" t="s">
        <v>2503</v>
      </c>
      <c r="D106" s="690"/>
      <c r="E106" s="690"/>
      <c r="F106" s="690"/>
      <c r="G106" s="286"/>
      <c r="H106" s="287"/>
      <c r="I106" s="287"/>
      <c r="J106" s="287"/>
      <c r="K106" s="288"/>
      <c r="L106" s="128"/>
    </row>
    <row r="107" spans="1:12" ht="17.25" customHeight="1">
      <c r="B107" s="127"/>
      <c r="C107" s="284"/>
      <c r="D107" s="697" t="s">
        <v>2504</v>
      </c>
      <c r="E107" s="697"/>
      <c r="F107" s="698"/>
      <c r="G107" s="229">
        <f>SUM(G108:G112)</f>
        <v>100000</v>
      </c>
      <c r="H107" s="229">
        <f>SUM(H108:H112)</f>
        <v>2100000</v>
      </c>
      <c r="I107" s="229">
        <f>SUM(I108:I112)</f>
        <v>2100000</v>
      </c>
      <c r="J107" s="229">
        <f>SUM(J108:J112)</f>
        <v>0</v>
      </c>
      <c r="K107" s="230">
        <f>SUM(K108:K112)</f>
        <v>0</v>
      </c>
      <c r="L107" s="128"/>
    </row>
    <row r="108" spans="1:12" s="218" customFormat="1" ht="12" outlineLevel="1">
      <c r="B108" s="219"/>
      <c r="C108" s="618"/>
      <c r="D108" s="220"/>
      <c r="E108" s="616" t="s">
        <v>2505</v>
      </c>
      <c r="F108" s="617"/>
      <c r="G108" s="223">
        <v>100000</v>
      </c>
      <c r="H108" s="223">
        <v>2100000</v>
      </c>
      <c r="I108" s="356">
        <v>2100000</v>
      </c>
      <c r="J108" s="223"/>
      <c r="K108" s="224"/>
      <c r="L108" s="225"/>
    </row>
    <row r="109" spans="1:12" s="218" customFormat="1" ht="12" outlineLevel="1">
      <c r="B109" s="219"/>
      <c r="C109" s="618"/>
      <c r="E109" s="621" t="s">
        <v>2506</v>
      </c>
      <c r="F109" s="622"/>
      <c r="G109" s="349"/>
      <c r="H109" s="349"/>
      <c r="I109" s="349"/>
      <c r="J109" s="227"/>
      <c r="K109" s="228"/>
      <c r="L109" s="225"/>
    </row>
    <row r="110" spans="1:12" s="218" customFormat="1" ht="12" outlineLevel="1">
      <c r="B110" s="219"/>
      <c r="C110" s="618"/>
      <c r="E110" s="621" t="s">
        <v>2507</v>
      </c>
      <c r="F110" s="622"/>
      <c r="G110" s="349"/>
      <c r="H110" s="349"/>
      <c r="I110" s="349"/>
      <c r="J110" s="227"/>
      <c r="K110" s="228"/>
      <c r="L110" s="225"/>
    </row>
    <row r="111" spans="1:12" s="218" customFormat="1" ht="12" outlineLevel="1">
      <c r="B111" s="219"/>
      <c r="C111" s="618"/>
      <c r="E111" s="621" t="s">
        <v>2508</v>
      </c>
      <c r="F111" s="622"/>
      <c r="G111" s="349"/>
      <c r="H111" s="349"/>
      <c r="I111" s="349"/>
      <c r="J111" s="227"/>
      <c r="K111" s="228"/>
      <c r="L111" s="225"/>
    </row>
    <row r="112" spans="1:12" s="218" customFormat="1" ht="12" outlineLevel="1">
      <c r="B112" s="219"/>
      <c r="C112" s="618"/>
      <c r="E112" s="621" t="s">
        <v>2509</v>
      </c>
      <c r="F112" s="622"/>
      <c r="G112" s="349"/>
      <c r="H112" s="349"/>
      <c r="I112" s="349"/>
      <c r="J112" s="227"/>
      <c r="K112" s="228"/>
      <c r="L112" s="225"/>
    </row>
    <row r="113" spans="1:13" s="125" customFormat="1" ht="12.75">
      <c r="B113" s="214"/>
      <c r="C113" s="618"/>
      <c r="D113" s="611" t="s">
        <v>2510</v>
      </c>
      <c r="E113" s="612"/>
      <c r="F113" s="613"/>
      <c r="G113" s="229">
        <f>SUM(G114:G118)</f>
        <v>262057123</v>
      </c>
      <c r="H113" s="229">
        <f>SUM(H114:H118)</f>
        <v>354095336</v>
      </c>
      <c r="I113" s="229">
        <f>SUM(I114:I118)</f>
        <v>456492358</v>
      </c>
      <c r="J113" s="229">
        <f>SUM(J114:J118)</f>
        <v>0</v>
      </c>
      <c r="K113" s="230">
        <f>SUM(K114:K118)</f>
        <v>0</v>
      </c>
      <c r="L113" s="200"/>
    </row>
    <row r="114" spans="1:13" s="218" customFormat="1" ht="12" outlineLevel="1">
      <c r="B114" s="219"/>
      <c r="C114" s="618"/>
      <c r="D114" s="220"/>
      <c r="E114" s="701" t="s">
        <v>2511</v>
      </c>
      <c r="F114" s="702"/>
      <c r="G114" s="348">
        <v>262057123</v>
      </c>
      <c r="H114" s="348">
        <v>354095336</v>
      </c>
      <c r="I114" s="348">
        <v>456492358</v>
      </c>
      <c r="J114" s="223"/>
      <c r="K114" s="224"/>
      <c r="L114" s="225"/>
      <c r="M114" s="227"/>
    </row>
    <row r="115" spans="1:13" s="218" customFormat="1" ht="12" outlineLevel="1">
      <c r="B115" s="219"/>
      <c r="C115" s="618"/>
      <c r="E115" s="621" t="s">
        <v>2512</v>
      </c>
      <c r="F115" s="622"/>
      <c r="G115" s="349"/>
      <c r="H115" s="349"/>
      <c r="I115" s="349"/>
      <c r="J115" s="227"/>
      <c r="K115" s="228"/>
      <c r="L115" s="225"/>
    </row>
    <row r="116" spans="1:13" s="218" customFormat="1" ht="12" outlineLevel="1">
      <c r="B116" s="219"/>
      <c r="C116" s="618"/>
      <c r="E116" s="626" t="s">
        <v>2513</v>
      </c>
      <c r="F116" s="627"/>
      <c r="G116" s="240"/>
      <c r="H116" s="349"/>
      <c r="I116" s="349"/>
      <c r="J116" s="227"/>
      <c r="K116" s="228"/>
      <c r="L116" s="225"/>
    </row>
    <row r="117" spans="1:13" s="218" customFormat="1" ht="12" outlineLevel="1">
      <c r="B117" s="219"/>
      <c r="C117" s="618"/>
      <c r="E117" s="626" t="s">
        <v>2514</v>
      </c>
      <c r="F117" s="627"/>
      <c r="G117" s="349"/>
      <c r="H117" s="349"/>
      <c r="I117" s="349"/>
      <c r="J117" s="227"/>
      <c r="K117" s="228"/>
      <c r="L117" s="225"/>
    </row>
    <row r="118" spans="1:13" s="218" customFormat="1" ht="12" outlineLevel="1">
      <c r="B118" s="219"/>
      <c r="C118" s="686"/>
      <c r="D118" s="241"/>
      <c r="E118" s="663" t="s">
        <v>2515</v>
      </c>
      <c r="F118" s="664"/>
      <c r="G118" s="357"/>
      <c r="H118" s="231"/>
      <c r="I118" s="231"/>
      <c r="J118" s="231"/>
      <c r="K118" s="232"/>
      <c r="L118" s="225"/>
    </row>
    <row r="119" spans="1:13" ht="17.25" customHeight="1">
      <c r="A119" s="125"/>
      <c r="B119" s="127"/>
      <c r="C119" s="609" t="s">
        <v>2516</v>
      </c>
      <c r="D119" s="610"/>
      <c r="E119" s="610"/>
      <c r="F119" s="610"/>
      <c r="G119" s="233">
        <f>SUM(G107,G113)</f>
        <v>262157123</v>
      </c>
      <c r="H119" s="233">
        <f>SUM(H107,H113)</f>
        <v>356195336</v>
      </c>
      <c r="I119" s="233">
        <f>SUM(I107,I113)</f>
        <v>458592358</v>
      </c>
      <c r="J119" s="233">
        <f>SUM(J107,J113)</f>
        <v>0</v>
      </c>
      <c r="K119" s="234">
        <f>SUM(K107,K113)</f>
        <v>0</v>
      </c>
      <c r="L119" s="128"/>
    </row>
    <row r="120" spans="1:13" s="125" customFormat="1" ht="7.5" customHeight="1">
      <c r="A120" s="124"/>
      <c r="B120" s="214"/>
      <c r="C120" s="618"/>
      <c r="D120" s="619"/>
      <c r="E120" s="619"/>
      <c r="F120" s="619"/>
      <c r="G120" s="619"/>
      <c r="H120" s="619"/>
      <c r="I120" s="619"/>
      <c r="J120" s="619"/>
      <c r="K120" s="662"/>
      <c r="L120" s="200"/>
    </row>
    <row r="121" spans="1:13" ht="17.25" customHeight="1">
      <c r="A121" s="285"/>
      <c r="B121" s="127"/>
      <c r="C121" s="609" t="s">
        <v>2517</v>
      </c>
      <c r="D121" s="610"/>
      <c r="E121" s="610"/>
      <c r="F121" s="610" t="s">
        <v>2518</v>
      </c>
      <c r="G121" s="233">
        <f>G119-G116+G129+G149-G160-G180-G201</f>
        <v>262157123</v>
      </c>
      <c r="H121" s="233">
        <f>H119-H116+H129+H149-H160-H180-H201</f>
        <v>356195336</v>
      </c>
      <c r="I121" s="233">
        <f>I119-I116+I129+I149-I160-I180-I201</f>
        <v>458592358</v>
      </c>
      <c r="J121" s="233">
        <f>J119-J116+J129+J149-J160-J180-J201</f>
        <v>0</v>
      </c>
      <c r="K121" s="234">
        <f>K119-K116+K129+K149-K160-K180-K201</f>
        <v>0</v>
      </c>
      <c r="L121" s="128"/>
    </row>
    <row r="122" spans="1:13" ht="7.5" customHeight="1">
      <c r="B122" s="127"/>
      <c r="C122" s="671"/>
      <c r="D122" s="672"/>
      <c r="E122" s="672"/>
      <c r="F122" s="672"/>
      <c r="G122" s="672"/>
      <c r="H122" s="672"/>
      <c r="I122" s="672"/>
      <c r="J122" s="672"/>
      <c r="K122" s="673"/>
      <c r="L122" s="128"/>
    </row>
    <row r="123" spans="1:13" ht="17.25" customHeight="1">
      <c r="B123" s="127"/>
      <c r="C123" s="689" t="s">
        <v>2519</v>
      </c>
      <c r="D123" s="690"/>
      <c r="E123" s="690"/>
      <c r="F123" s="690"/>
      <c r="G123" s="286"/>
      <c r="H123" s="287"/>
      <c r="I123" s="287"/>
      <c r="J123" s="287"/>
      <c r="K123" s="288"/>
      <c r="L123" s="128"/>
    </row>
    <row r="124" spans="1:13" ht="17.25" customHeight="1">
      <c r="B124" s="127"/>
      <c r="C124" s="689" t="s">
        <v>2520</v>
      </c>
      <c r="D124" s="690"/>
      <c r="E124" s="690"/>
      <c r="F124" s="690"/>
      <c r="G124" s="286"/>
      <c r="H124" s="287"/>
      <c r="I124" s="287"/>
      <c r="J124" s="287"/>
      <c r="K124" s="288"/>
      <c r="L124" s="128"/>
    </row>
    <row r="125" spans="1:13" s="125" customFormat="1" ht="14.25">
      <c r="A125" s="124"/>
      <c r="B125" s="214"/>
      <c r="C125" s="252"/>
      <c r="D125" s="611" t="s">
        <v>2521</v>
      </c>
      <c r="E125" s="612"/>
      <c r="F125" s="613"/>
      <c r="G125" s="229">
        <f>SUM(G126:G132)</f>
        <v>48892515</v>
      </c>
      <c r="H125" s="229">
        <f>SUM(H126:H132)</f>
        <v>107601659</v>
      </c>
      <c r="I125" s="229">
        <f>SUM(I126:I132)</f>
        <v>146544823</v>
      </c>
      <c r="J125" s="229">
        <f>SUM(J126:J132)</f>
        <v>0</v>
      </c>
      <c r="K125" s="230">
        <f>SUM(K126:K132)</f>
        <v>0</v>
      </c>
      <c r="L125" s="200"/>
    </row>
    <row r="126" spans="1:13" s="218" customFormat="1" ht="14.25" customHeight="1" outlineLevel="1">
      <c r="A126" s="125"/>
      <c r="B126" s="219"/>
      <c r="C126" s="252"/>
      <c r="D126" s="220"/>
      <c r="E126" s="616" t="s">
        <v>2522</v>
      </c>
      <c r="F126" s="617"/>
      <c r="G126" s="348">
        <f>16533333+856006+953703+2726329+547768+683946+25291430</f>
        <v>47592515</v>
      </c>
      <c r="H126" s="223">
        <f>24595098+5687872+54482981+22835708</f>
        <v>107601659</v>
      </c>
      <c r="I126" s="223">
        <f>19430392+32230628+94883803</f>
        <v>146544823</v>
      </c>
      <c r="J126" s="223"/>
      <c r="K126" s="224"/>
      <c r="L126" s="225"/>
    </row>
    <row r="127" spans="1:13" s="218" customFormat="1" ht="14.25" customHeight="1" outlineLevel="1">
      <c r="B127" s="219"/>
      <c r="C127" s="252"/>
      <c r="E127" s="626" t="s">
        <v>2523</v>
      </c>
      <c r="F127" s="627"/>
      <c r="G127" s="227"/>
      <c r="H127" s="227"/>
      <c r="I127" s="227"/>
      <c r="J127" s="227"/>
      <c r="K127" s="228"/>
      <c r="L127" s="225"/>
    </row>
    <row r="128" spans="1:13" s="218" customFormat="1" ht="14.25" customHeight="1" outlineLevel="1">
      <c r="B128" s="219"/>
      <c r="C128" s="252"/>
      <c r="E128" s="626" t="s">
        <v>2524</v>
      </c>
      <c r="F128" s="627"/>
      <c r="G128" s="227"/>
      <c r="H128" s="227"/>
      <c r="I128" s="227"/>
      <c r="J128" s="227"/>
      <c r="K128" s="228"/>
      <c r="L128" s="225"/>
    </row>
    <row r="129" spans="1:13" s="125" customFormat="1" ht="12.75" outlineLevel="1">
      <c r="B129" s="289"/>
      <c r="C129" s="214"/>
      <c r="E129" s="626" t="s">
        <v>2525</v>
      </c>
      <c r="F129" s="627"/>
      <c r="G129" s="227"/>
      <c r="H129" s="227"/>
      <c r="I129" s="227"/>
      <c r="J129" s="227"/>
      <c r="K129" s="228"/>
      <c r="L129" s="200"/>
    </row>
    <row r="130" spans="1:13" s="218" customFormat="1" ht="14.25" customHeight="1" outlineLevel="1">
      <c r="B130" s="219"/>
      <c r="C130" s="252"/>
      <c r="E130" s="626" t="s">
        <v>2526</v>
      </c>
      <c r="F130" s="627"/>
      <c r="G130" s="227">
        <v>1300000</v>
      </c>
      <c r="H130" s="227"/>
      <c r="I130" s="227"/>
      <c r="J130" s="227"/>
      <c r="K130" s="228"/>
      <c r="L130" s="225"/>
      <c r="M130" s="125"/>
    </row>
    <row r="131" spans="1:13" s="218" customFormat="1" ht="14.25" customHeight="1" outlineLevel="1">
      <c r="B131" s="219"/>
      <c r="C131" s="252"/>
      <c r="E131" s="626" t="s">
        <v>2527</v>
      </c>
      <c r="F131" s="627"/>
      <c r="G131" s="227"/>
      <c r="H131" s="227"/>
      <c r="I131" s="227"/>
      <c r="J131" s="227"/>
      <c r="K131" s="228"/>
      <c r="L131" s="225"/>
      <c r="M131" s="125"/>
    </row>
    <row r="132" spans="1:13" s="125" customFormat="1" ht="14.25" outlineLevel="1">
      <c r="B132" s="214"/>
      <c r="C132" s="252"/>
      <c r="E132" s="626" t="s">
        <v>2528</v>
      </c>
      <c r="F132" s="627"/>
      <c r="G132" s="227"/>
      <c r="H132" s="227"/>
      <c r="I132" s="227"/>
      <c r="J132" s="227"/>
      <c r="K132" s="228"/>
      <c r="L132" s="200"/>
    </row>
    <row r="133" spans="1:13" s="125" customFormat="1" ht="14.25">
      <c r="A133" s="218"/>
      <c r="B133" s="214"/>
      <c r="C133" s="252"/>
      <c r="D133" s="611" t="s">
        <v>2529</v>
      </c>
      <c r="E133" s="612"/>
      <c r="F133" s="613"/>
      <c r="G133" s="227"/>
      <c r="H133" s="299"/>
      <c r="I133" s="299">
        <v>413930</v>
      </c>
      <c r="J133" s="212"/>
      <c r="K133" s="213"/>
      <c r="L133" s="200"/>
    </row>
    <row r="134" spans="1:13" s="125" customFormat="1" ht="14.25">
      <c r="B134" s="214"/>
      <c r="C134" s="252"/>
      <c r="D134" s="646" t="s">
        <v>2530</v>
      </c>
      <c r="E134" s="647"/>
      <c r="F134" s="648"/>
      <c r="G134" s="290">
        <f>SUM(G135:G136)</f>
        <v>9736267</v>
      </c>
      <c r="H134" s="290">
        <f>SUM(H135:H136)</f>
        <v>12015528</v>
      </c>
      <c r="I134" s="290">
        <f>SUM(I135:I136)</f>
        <v>13003417</v>
      </c>
      <c r="J134" s="290">
        <f>SUM(J135:J136)</f>
        <v>0</v>
      </c>
      <c r="K134" s="291">
        <f>SUM(K135:K136)</f>
        <v>0</v>
      </c>
      <c r="L134" s="200"/>
    </row>
    <row r="135" spans="1:13" s="125" customFormat="1" ht="14.25">
      <c r="B135" s="214"/>
      <c r="C135" s="252"/>
      <c r="D135" s="211"/>
      <c r="E135" s="626" t="s">
        <v>2531</v>
      </c>
      <c r="F135" s="627"/>
      <c r="G135" s="348">
        <v>9736267</v>
      </c>
      <c r="H135" s="223">
        <v>12015528</v>
      </c>
      <c r="I135" s="223">
        <v>13003417</v>
      </c>
      <c r="J135" s="212"/>
      <c r="K135" s="213"/>
      <c r="L135" s="200"/>
    </row>
    <row r="136" spans="1:13" s="125" customFormat="1" ht="16.5" customHeight="1">
      <c r="B136" s="214"/>
      <c r="C136" s="252"/>
      <c r="D136" s="211"/>
      <c r="E136" s="626" t="s">
        <v>2532</v>
      </c>
      <c r="F136" s="627"/>
      <c r="G136" s="227"/>
      <c r="H136" s="212"/>
      <c r="I136" s="212"/>
      <c r="J136" s="212"/>
      <c r="K136" s="213"/>
      <c r="L136" s="200"/>
    </row>
    <row r="137" spans="1:13" s="125" customFormat="1" ht="14.25">
      <c r="B137" s="214"/>
      <c r="C137" s="252"/>
      <c r="D137" s="611" t="s">
        <v>2533</v>
      </c>
      <c r="E137" s="612"/>
      <c r="F137" s="613"/>
      <c r="G137" s="212">
        <f>SUM(G138:G139)</f>
        <v>0</v>
      </c>
      <c r="H137" s="212">
        <f>SUM(H138:H139)</f>
        <v>0</v>
      </c>
      <c r="I137" s="229">
        <f>SUM(I138:I139)</f>
        <v>0</v>
      </c>
      <c r="J137" s="212">
        <f>SUM(J138:J139)</f>
        <v>0</v>
      </c>
      <c r="K137" s="213">
        <f>SUM(K138:K139)</f>
        <v>0</v>
      </c>
      <c r="L137" s="200"/>
    </row>
    <row r="138" spans="1:13" s="125" customFormat="1" ht="14.25" outlineLevel="1">
      <c r="B138" s="214"/>
      <c r="C138" s="252"/>
      <c r="D138" s="220"/>
      <c r="E138" s="616" t="s">
        <v>2534</v>
      </c>
      <c r="F138" s="617"/>
      <c r="G138" s="348"/>
      <c r="H138" s="223"/>
      <c r="I138" s="223"/>
      <c r="J138" s="223"/>
      <c r="K138" s="224"/>
      <c r="L138" s="200"/>
    </row>
    <row r="139" spans="1:13" s="218" customFormat="1" ht="14.25" customHeight="1" outlineLevel="1">
      <c r="B139" s="219"/>
      <c r="C139" s="252"/>
      <c r="E139" s="626" t="s">
        <v>2535</v>
      </c>
      <c r="F139" s="627"/>
      <c r="G139" s="227"/>
      <c r="H139" s="227"/>
      <c r="I139" s="227"/>
      <c r="J139" s="227"/>
      <c r="K139" s="228"/>
      <c r="L139" s="225"/>
    </row>
    <row r="140" spans="1:13" s="125" customFormat="1" ht="14.25">
      <c r="B140" s="214"/>
      <c r="C140" s="292"/>
      <c r="D140" s="646" t="s">
        <v>2536</v>
      </c>
      <c r="E140" s="647"/>
      <c r="F140" s="648"/>
      <c r="G140" s="290"/>
      <c r="H140" s="344"/>
      <c r="I140" s="344"/>
      <c r="J140" s="344"/>
      <c r="K140" s="345"/>
      <c r="L140" s="200"/>
    </row>
    <row r="141" spans="1:13" ht="17.25" customHeight="1">
      <c r="A141" s="125"/>
      <c r="B141" s="127"/>
      <c r="C141" s="682" t="s">
        <v>2537</v>
      </c>
      <c r="D141" s="683"/>
      <c r="E141" s="683"/>
      <c r="F141" s="683"/>
      <c r="G141" s="256">
        <f>G125+G133+G134+G137+G140</f>
        <v>58628782</v>
      </c>
      <c r="H141" s="256">
        <f>H125+H133+H134+H137+H140</f>
        <v>119617187</v>
      </c>
      <c r="I141" s="256">
        <f>I125+I133+I134+I137+I140</f>
        <v>159962170</v>
      </c>
      <c r="J141" s="256">
        <f>SUM(J133,J134,J137,J140,J125)</f>
        <v>0</v>
      </c>
      <c r="K141" s="259">
        <f>SUM(K133:K140,K125)</f>
        <v>0</v>
      </c>
      <c r="L141" s="128"/>
    </row>
    <row r="142" spans="1:13" ht="7.5" customHeight="1">
      <c r="B142" s="127"/>
      <c r="C142" s="671"/>
      <c r="D142" s="672"/>
      <c r="E142" s="672"/>
      <c r="F142" s="672"/>
      <c r="G142" s="672"/>
      <c r="H142" s="672"/>
      <c r="I142" s="672"/>
      <c r="J142" s="672"/>
      <c r="K142" s="673"/>
      <c r="L142" s="128"/>
    </row>
    <row r="143" spans="1:13" ht="17.25" customHeight="1">
      <c r="B143" s="127"/>
      <c r="C143" s="689" t="s">
        <v>2538</v>
      </c>
      <c r="D143" s="690"/>
      <c r="E143" s="690"/>
      <c r="F143" s="690"/>
      <c r="G143" s="286"/>
      <c r="H143" s="287"/>
      <c r="I143" s="287"/>
      <c r="J143" s="287"/>
      <c r="K143" s="288"/>
      <c r="L143" s="128"/>
    </row>
    <row r="144" spans="1:13" s="125" customFormat="1" ht="14.25">
      <c r="A144" s="124"/>
      <c r="B144" s="214"/>
      <c r="C144" s="689"/>
      <c r="D144" s="611" t="s">
        <v>2539</v>
      </c>
      <c r="E144" s="612"/>
      <c r="F144" s="613"/>
      <c r="G144" s="229">
        <f>SUM(G145:G151)</f>
        <v>59322539</v>
      </c>
      <c r="H144" s="229">
        <f>SUM(H145:H151)</f>
        <v>99693615</v>
      </c>
      <c r="I144" s="229">
        <f>SUM(I145:I151)</f>
        <v>133213744</v>
      </c>
      <c r="J144" s="229">
        <f>SUM(J145:J151)</f>
        <v>0</v>
      </c>
      <c r="K144" s="230">
        <f>SUM(K145:K151)</f>
        <v>0</v>
      </c>
      <c r="L144" s="200"/>
    </row>
    <row r="145" spans="1:12" s="218" customFormat="1" ht="14.25" customHeight="1" outlineLevel="1">
      <c r="B145" s="219"/>
      <c r="C145" s="689"/>
      <c r="D145" s="220"/>
      <c r="E145" s="616" t="s">
        <v>2540</v>
      </c>
      <c r="F145" s="617"/>
      <c r="G145" s="348">
        <v>16171510</v>
      </c>
      <c r="H145" s="223">
        <f>89799</f>
        <v>89799</v>
      </c>
      <c r="I145" s="223">
        <v>10000000</v>
      </c>
      <c r="J145" s="223"/>
      <c r="K145" s="224"/>
      <c r="L145" s="225"/>
    </row>
    <row r="146" spans="1:12" s="218" customFormat="1" ht="12" outlineLevel="1">
      <c r="B146" s="249"/>
      <c r="C146" s="689"/>
      <c r="E146" s="626" t="s">
        <v>2541</v>
      </c>
      <c r="F146" s="627"/>
      <c r="G146" s="349">
        <f>2304566+3518237+1179377+3956370+217449+2584252+1473285+2549725+2843844+22523924</f>
        <v>43151029</v>
      </c>
      <c r="H146" s="349">
        <f>1367116+947469+947181+683946+953703+547768+6302280+41275719+12432697</f>
        <v>65457879</v>
      </c>
      <c r="I146" s="349">
        <f>10386931+72955469</f>
        <v>83342400</v>
      </c>
      <c r="J146" s="349"/>
      <c r="K146" s="358"/>
      <c r="L146" s="225"/>
    </row>
    <row r="147" spans="1:12" s="218" customFormat="1" ht="12" outlineLevel="1">
      <c r="B147" s="249"/>
      <c r="C147" s="689"/>
      <c r="E147" s="626" t="s">
        <v>2542</v>
      </c>
      <c r="F147" s="627"/>
      <c r="G147" s="349"/>
      <c r="H147" s="349">
        <v>34145937</v>
      </c>
      <c r="I147" s="349">
        <v>39871344</v>
      </c>
      <c r="J147" s="349"/>
      <c r="K147" s="358"/>
      <c r="L147" s="225"/>
    </row>
    <row r="148" spans="1:12" s="218" customFormat="1" ht="12" outlineLevel="1">
      <c r="B148" s="249"/>
      <c r="C148" s="689"/>
      <c r="E148" s="626" t="s">
        <v>2543</v>
      </c>
      <c r="F148" s="627"/>
      <c r="G148" s="349"/>
      <c r="H148" s="349"/>
      <c r="I148" s="349"/>
      <c r="J148" s="349"/>
      <c r="K148" s="358"/>
      <c r="L148" s="225"/>
    </row>
    <row r="149" spans="1:12" s="218" customFormat="1" ht="14.25" customHeight="1" outlineLevel="1">
      <c r="B149" s="219"/>
      <c r="C149" s="689"/>
      <c r="E149" s="621" t="s">
        <v>2544</v>
      </c>
      <c r="F149" s="622"/>
      <c r="G149" s="349"/>
      <c r="H149" s="227"/>
      <c r="I149" s="227"/>
      <c r="J149" s="227"/>
      <c r="K149" s="228"/>
      <c r="L149" s="225"/>
    </row>
    <row r="150" spans="1:12" s="218" customFormat="1" ht="14.25" customHeight="1" outlineLevel="1">
      <c r="B150" s="219"/>
      <c r="C150" s="689"/>
      <c r="E150" s="626" t="s">
        <v>2545</v>
      </c>
      <c r="F150" s="627"/>
      <c r="G150" s="349"/>
      <c r="H150" s="227"/>
      <c r="I150" s="227"/>
      <c r="J150" s="227"/>
      <c r="K150" s="228"/>
      <c r="L150" s="225"/>
    </row>
    <row r="151" spans="1:12" s="218" customFormat="1" ht="14.25" customHeight="1" outlineLevel="1">
      <c r="B151" s="219"/>
      <c r="C151" s="689"/>
      <c r="E151" s="626" t="s">
        <v>2546</v>
      </c>
      <c r="F151" s="627"/>
      <c r="G151" s="349"/>
      <c r="H151" s="349"/>
      <c r="I151" s="227"/>
      <c r="J151" s="227"/>
      <c r="K151" s="228"/>
      <c r="L151" s="225"/>
    </row>
    <row r="152" spans="1:12" s="125" customFormat="1" ht="12.75">
      <c r="A152" s="218"/>
      <c r="B152" s="214"/>
      <c r="C152" s="689"/>
      <c r="D152" s="611" t="s">
        <v>2547</v>
      </c>
      <c r="E152" s="612"/>
      <c r="F152" s="613"/>
      <c r="G152" s="229">
        <f>SUM(G153:G156)</f>
        <v>133329947</v>
      </c>
      <c r="H152" s="229">
        <f>SUM(H153:H156)</f>
        <v>139112913</v>
      </c>
      <c r="I152" s="229">
        <f>SUM(I153:I156)</f>
        <v>214306252</v>
      </c>
      <c r="J152" s="229">
        <f>SUM(J153:J156)</f>
        <v>0</v>
      </c>
      <c r="K152" s="230">
        <f>SUM(K153:K156)</f>
        <v>0</v>
      </c>
      <c r="L152" s="200"/>
    </row>
    <row r="153" spans="1:12" s="218" customFormat="1" ht="12" outlineLevel="1">
      <c r="B153" s="219"/>
      <c r="C153" s="689"/>
      <c r="D153" s="239"/>
      <c r="E153" s="616" t="s">
        <v>2548</v>
      </c>
      <c r="F153" s="617"/>
      <c r="G153" s="348">
        <v>133329947</v>
      </c>
      <c r="H153" s="223">
        <v>139112913</v>
      </c>
      <c r="I153" s="223">
        <v>214306252</v>
      </c>
      <c r="J153" s="223"/>
      <c r="K153" s="224"/>
      <c r="L153" s="225"/>
    </row>
    <row r="154" spans="1:12" s="218" customFormat="1" ht="12" outlineLevel="1">
      <c r="B154" s="219"/>
      <c r="C154" s="689"/>
      <c r="E154" s="680" t="s">
        <v>2549</v>
      </c>
      <c r="F154" s="681"/>
      <c r="G154" s="227"/>
      <c r="H154" s="227"/>
      <c r="I154" s="227"/>
      <c r="J154" s="227"/>
      <c r="K154" s="228"/>
      <c r="L154" s="225"/>
    </row>
    <row r="155" spans="1:12" s="218" customFormat="1" ht="12" outlineLevel="1">
      <c r="B155" s="219"/>
      <c r="C155" s="689"/>
      <c r="E155" s="693" t="s">
        <v>2550</v>
      </c>
      <c r="F155" s="694"/>
      <c r="G155" s="227"/>
      <c r="H155" s="227"/>
      <c r="I155" s="227"/>
      <c r="J155" s="227"/>
      <c r="K155" s="228"/>
      <c r="L155" s="225"/>
    </row>
    <row r="156" spans="1:12" s="218" customFormat="1" ht="12" outlineLevel="1">
      <c r="B156" s="219"/>
      <c r="C156" s="689"/>
      <c r="E156" s="693" t="s">
        <v>2551</v>
      </c>
      <c r="F156" s="694"/>
      <c r="G156" s="227"/>
      <c r="H156" s="227"/>
      <c r="I156" s="349"/>
      <c r="J156" s="227"/>
      <c r="K156" s="228"/>
      <c r="L156" s="225"/>
    </row>
    <row r="157" spans="1:12" s="125" customFormat="1" ht="12.75">
      <c r="B157" s="214"/>
      <c r="C157" s="689"/>
      <c r="D157" s="611" t="s">
        <v>2552</v>
      </c>
      <c r="E157" s="612"/>
      <c r="F157" s="613"/>
      <c r="G157" s="212">
        <f>992500+275000+31200000</f>
        <v>32467500</v>
      </c>
      <c r="H157" s="212">
        <f>12503980+400000+32500000</f>
        <v>45403980</v>
      </c>
      <c r="I157" s="229">
        <f>834611+129576+450000+35000000</f>
        <v>36414187</v>
      </c>
      <c r="J157" s="212"/>
      <c r="K157" s="213"/>
      <c r="L157" s="200"/>
    </row>
    <row r="158" spans="1:12" s="125" customFormat="1" ht="12.75">
      <c r="B158" s="214"/>
      <c r="C158" s="689"/>
      <c r="D158" s="611" t="s">
        <v>2553</v>
      </c>
      <c r="E158" s="612"/>
      <c r="F158" s="613"/>
      <c r="G158" s="229">
        <f>SUM(G159:G161)</f>
        <v>27895687</v>
      </c>
      <c r="H158" s="229">
        <f>SUM(H159:H161)</f>
        <v>38736281</v>
      </c>
      <c r="I158" s="229">
        <f>SUM(I159:I161)</f>
        <v>45890375</v>
      </c>
      <c r="J158" s="229">
        <f>SUM(J159:J161)</f>
        <v>0</v>
      </c>
      <c r="K158" s="230">
        <f>SUM(K159:K161)</f>
        <v>0</v>
      </c>
      <c r="L158" s="200"/>
    </row>
    <row r="159" spans="1:12" s="218" customFormat="1" ht="12" outlineLevel="1">
      <c r="B159" s="219"/>
      <c r="C159" s="689"/>
      <c r="D159" s="239"/>
      <c r="E159" s="616" t="s">
        <v>2554</v>
      </c>
      <c r="F159" s="617"/>
      <c r="G159" s="348">
        <f>4547088+492724+22253+2150+7673453</f>
        <v>12737668</v>
      </c>
      <c r="H159" s="223">
        <f>4547086+748201+21746+15140+6736367</f>
        <v>12068540</v>
      </c>
      <c r="I159" s="223">
        <v>15283944</v>
      </c>
      <c r="J159" s="223"/>
      <c r="K159" s="224"/>
      <c r="L159" s="225"/>
    </row>
    <row r="160" spans="1:12" s="218" customFormat="1" ht="12" outlineLevel="1">
      <c r="B160" s="219"/>
      <c r="C160" s="689"/>
      <c r="D160" s="240"/>
      <c r="E160" s="626" t="s">
        <v>2555</v>
      </c>
      <c r="F160" s="627"/>
      <c r="G160" s="349"/>
      <c r="H160" s="227"/>
      <c r="I160" s="227"/>
      <c r="J160" s="227"/>
      <c r="K160" s="228"/>
      <c r="L160" s="225"/>
    </row>
    <row r="161" spans="1:15" s="218" customFormat="1" ht="12" outlineLevel="1">
      <c r="B161" s="219"/>
      <c r="C161" s="713"/>
      <c r="D161" s="242"/>
      <c r="E161" s="716" t="s">
        <v>2556</v>
      </c>
      <c r="F161" s="717"/>
      <c r="G161" s="357">
        <f>15158019</f>
        <v>15158019</v>
      </c>
      <c r="H161" s="231">
        <f>26667741</f>
        <v>26667741</v>
      </c>
      <c r="I161" s="231">
        <f>30606431</f>
        <v>30606431</v>
      </c>
      <c r="J161" s="231"/>
      <c r="K161" s="232"/>
      <c r="L161" s="225"/>
    </row>
    <row r="162" spans="1:15" ht="17.25" customHeight="1">
      <c r="A162" s="125"/>
      <c r="B162" s="127"/>
      <c r="C162" s="609" t="s">
        <v>2557</v>
      </c>
      <c r="D162" s="610"/>
      <c r="E162" s="610"/>
      <c r="F162" s="610" t="s">
        <v>2558</v>
      </c>
      <c r="G162" s="233">
        <f>G144+G152+G157+G158</f>
        <v>253015673</v>
      </c>
      <c r="H162" s="233">
        <f>H144+H152+H157+H158</f>
        <v>322946789</v>
      </c>
      <c r="I162" s="233">
        <f>I144+I152+I157+I158</f>
        <v>429824558</v>
      </c>
      <c r="J162" s="233">
        <f>SUM(J144,J152,J157,J158)</f>
        <v>0</v>
      </c>
      <c r="K162" s="234">
        <f>SUM(K144,K152,K157,K158)</f>
        <v>0</v>
      </c>
      <c r="L162" s="128"/>
    </row>
    <row r="163" spans="1:15" ht="17.25" customHeight="1">
      <c r="A163" s="125"/>
      <c r="B163" s="127"/>
      <c r="C163" s="687" t="s">
        <v>2559</v>
      </c>
      <c r="D163" s="688"/>
      <c r="E163" s="688"/>
      <c r="F163" s="688"/>
      <c r="G163" s="294">
        <f>G119+G141+G162</f>
        <v>573801578</v>
      </c>
      <c r="H163" s="294">
        <f>H119+H141+H162</f>
        <v>798759312</v>
      </c>
      <c r="I163" s="294">
        <f>I119+I141+I162</f>
        <v>1048379086</v>
      </c>
      <c r="J163" s="294">
        <f>J119+J141+J162</f>
        <v>0</v>
      </c>
      <c r="K163" s="295">
        <f>K119+K141+K162</f>
        <v>0</v>
      </c>
      <c r="L163" s="128"/>
    </row>
    <row r="164" spans="1:15" ht="17.25" customHeight="1">
      <c r="B164" s="127"/>
      <c r="C164" s="671"/>
      <c r="D164" s="672"/>
      <c r="E164" s="672"/>
      <c r="F164" s="672"/>
      <c r="G164" s="672"/>
      <c r="H164" s="672"/>
      <c r="I164" s="672"/>
      <c r="J164" s="672"/>
      <c r="K164" s="673"/>
      <c r="L164" s="128"/>
    </row>
    <row r="165" spans="1:15" s="124" customFormat="1" ht="18">
      <c r="B165" s="127"/>
      <c r="C165" s="729" t="s">
        <v>2560</v>
      </c>
      <c r="D165" s="730"/>
      <c r="E165" s="730"/>
      <c r="F165" s="730" t="s">
        <v>2561</v>
      </c>
      <c r="G165" s="730"/>
      <c r="H165" s="730"/>
      <c r="I165" s="730"/>
      <c r="J165" s="730"/>
      <c r="K165" s="731"/>
      <c r="L165" s="128"/>
      <c r="M165" s="227"/>
      <c r="N165" s="227"/>
      <c r="O165" s="227"/>
    </row>
    <row r="166" spans="1:15" ht="17.25" customHeight="1">
      <c r="B166" s="127"/>
      <c r="C166" s="644" t="s">
        <v>2562</v>
      </c>
      <c r="D166" s="645"/>
      <c r="E166" s="645"/>
      <c r="F166" s="645"/>
      <c r="G166" s="281"/>
      <c r="H166" s="282"/>
      <c r="I166" s="282"/>
      <c r="J166" s="282"/>
      <c r="K166" s="283"/>
      <c r="L166" s="128"/>
    </row>
    <row r="167" spans="1:15" s="125" customFormat="1" ht="14.25">
      <c r="A167" s="124"/>
      <c r="B167" s="214"/>
      <c r="C167" s="689"/>
      <c r="D167" s="611" t="s">
        <v>2563</v>
      </c>
      <c r="E167" s="612"/>
      <c r="F167" s="613"/>
      <c r="G167" s="229">
        <f>G168-G172+G173-G174+G175+G176</f>
        <v>119046313</v>
      </c>
      <c r="H167" s="229">
        <f>H168-H172+H173-H174+H175+H176</f>
        <v>226229891</v>
      </c>
      <c r="I167" s="229">
        <f>I168-I172+I173-I174+I175+I176</f>
        <v>304026575</v>
      </c>
      <c r="J167" s="229">
        <f>J168-J172+J173-J174+J175+J176</f>
        <v>0</v>
      </c>
      <c r="K167" s="230">
        <f>K168-K172+K173-K174+K175+K176</f>
        <v>0</v>
      </c>
      <c r="L167" s="200"/>
    </row>
    <row r="168" spans="1:15" s="125" customFormat="1" ht="12.75" outlineLevel="1">
      <c r="B168" s="214"/>
      <c r="C168" s="689"/>
      <c r="D168" s="215"/>
      <c r="E168" s="741" t="s">
        <v>2564</v>
      </c>
      <c r="F168" s="742"/>
      <c r="G168" s="216">
        <f>SUM(G169:G171)</f>
        <v>83674259</v>
      </c>
      <c r="H168" s="216">
        <f>SUM(H169:H171)</f>
        <v>148785904</v>
      </c>
      <c r="I168" s="216">
        <f>SUM(I169:I171)</f>
        <v>304026575</v>
      </c>
      <c r="J168" s="216">
        <f>SUM(J169:J171)</f>
        <v>0</v>
      </c>
      <c r="K168" s="217">
        <f>SUM(K169:K171)</f>
        <v>0</v>
      </c>
      <c r="L168" s="200"/>
    </row>
    <row r="169" spans="1:15" s="218" customFormat="1" ht="14.25" customHeight="1" outlineLevel="1">
      <c r="B169" s="219"/>
      <c r="C169" s="689"/>
      <c r="E169" s="239"/>
      <c r="F169" s="221" t="s">
        <v>2565</v>
      </c>
      <c r="G169" s="348"/>
      <c r="H169" s="223"/>
      <c r="I169" s="356">
        <v>79781083</v>
      </c>
      <c r="J169" s="223"/>
      <c r="K169" s="224"/>
      <c r="L169" s="225"/>
    </row>
    <row r="170" spans="1:15" s="218" customFormat="1" ht="14.25" customHeight="1" outlineLevel="1">
      <c r="B170" s="219"/>
      <c r="C170" s="689"/>
      <c r="E170" s="240"/>
      <c r="F170" s="226" t="s">
        <v>2566</v>
      </c>
      <c r="G170" s="227">
        <f>77844201+1111741</f>
        <v>78955942</v>
      </c>
      <c r="H170" s="227">
        <f>141882803+1383346</f>
        <v>143266149</v>
      </c>
      <c r="I170" s="227">
        <f>1811330+218186842</f>
        <v>219998172</v>
      </c>
      <c r="J170" s="227"/>
      <c r="K170" s="228"/>
      <c r="L170" s="225"/>
    </row>
    <row r="171" spans="1:15" s="218" customFormat="1" ht="14.25" customHeight="1" outlineLevel="1">
      <c r="B171" s="219"/>
      <c r="C171" s="689"/>
      <c r="E171" s="240"/>
      <c r="F171" s="226" t="s">
        <v>2567</v>
      </c>
      <c r="G171" s="227">
        <f>954169+3033012+731136</f>
        <v>4718317</v>
      </c>
      <c r="H171" s="227">
        <f>926234+2245297+2348224</f>
        <v>5519755</v>
      </c>
      <c r="I171" s="359">
        <f>1642727+1125297+1479296</f>
        <v>4247320</v>
      </c>
      <c r="J171" s="227"/>
      <c r="K171" s="228"/>
      <c r="L171" s="225"/>
    </row>
    <row r="172" spans="1:15" s="218" customFormat="1" ht="12" outlineLevel="1">
      <c r="B172" s="219"/>
      <c r="C172" s="689"/>
      <c r="E172" s="626" t="s">
        <v>2568</v>
      </c>
      <c r="F172" s="627"/>
      <c r="G172" s="349"/>
      <c r="H172" s="227"/>
      <c r="I172" s="227"/>
      <c r="J172" s="227"/>
      <c r="K172" s="228"/>
      <c r="L172" s="225"/>
      <c r="M172" s="227"/>
    </row>
    <row r="173" spans="1:15" s="218" customFormat="1" ht="14.25" customHeight="1" outlineLevel="1">
      <c r="B173" s="219"/>
      <c r="C173" s="689"/>
      <c r="E173" s="626" t="s">
        <v>2569</v>
      </c>
      <c r="F173" s="627"/>
      <c r="G173" s="227"/>
      <c r="H173" s="227"/>
      <c r="I173" s="227"/>
      <c r="J173" s="227"/>
      <c r="K173" s="228"/>
      <c r="L173" s="225"/>
    </row>
    <row r="174" spans="1:15" s="218" customFormat="1" ht="14.25" customHeight="1" outlineLevel="1">
      <c r="B174" s="219"/>
      <c r="C174" s="689"/>
      <c r="E174" s="626" t="s">
        <v>2570</v>
      </c>
      <c r="F174" s="627"/>
      <c r="G174" s="227"/>
      <c r="H174" s="227"/>
      <c r="I174" s="227"/>
      <c r="J174" s="227"/>
      <c r="K174" s="228"/>
      <c r="L174" s="225"/>
    </row>
    <row r="175" spans="1:15" s="218" customFormat="1" ht="14.25" customHeight="1" outlineLevel="1">
      <c r="B175" s="219"/>
      <c r="C175" s="689"/>
      <c r="E175" s="626" t="s">
        <v>2571</v>
      </c>
      <c r="F175" s="627"/>
      <c r="G175" s="349">
        <v>35372054</v>
      </c>
      <c r="H175" s="227">
        <v>77443987</v>
      </c>
      <c r="I175" s="227"/>
      <c r="J175" s="227"/>
      <c r="K175" s="228"/>
      <c r="L175" s="225"/>
    </row>
    <row r="176" spans="1:15" s="218" customFormat="1" ht="14.25" customHeight="1" outlineLevel="1">
      <c r="B176" s="219"/>
      <c r="C176" s="689"/>
      <c r="E176" s="626" t="s">
        <v>2572</v>
      </c>
      <c r="F176" s="627"/>
      <c r="G176" s="349"/>
      <c r="H176" s="227"/>
      <c r="I176" s="227"/>
      <c r="J176" s="227"/>
      <c r="K176" s="228"/>
      <c r="L176" s="225"/>
    </row>
    <row r="177" spans="1:12" s="125" customFormat="1" ht="12.75">
      <c r="A177" s="218"/>
      <c r="B177" s="214"/>
      <c r="C177" s="689"/>
      <c r="D177" s="611" t="s">
        <v>2573</v>
      </c>
      <c r="E177" s="612"/>
      <c r="F177" s="613"/>
      <c r="G177" s="229">
        <f>SUM(G178:G181)</f>
        <v>0</v>
      </c>
      <c r="H177" s="229">
        <f>SUM(H178:H181)</f>
        <v>0</v>
      </c>
      <c r="I177" s="229">
        <f>SUM(I178:I181)</f>
        <v>0</v>
      </c>
      <c r="J177" s="229">
        <f>SUM(J178:J181)</f>
        <v>0</v>
      </c>
      <c r="K177" s="230">
        <f>SUM(K178:K181)</f>
        <v>0</v>
      </c>
      <c r="L177" s="200"/>
    </row>
    <row r="178" spans="1:12" s="218" customFormat="1" ht="14.25" customHeight="1" outlineLevel="1">
      <c r="B178" s="219"/>
      <c r="C178" s="689"/>
      <c r="D178" s="220"/>
      <c r="E178" s="701" t="s">
        <v>2574</v>
      </c>
      <c r="F178" s="702"/>
      <c r="G178" s="223"/>
      <c r="H178" s="223"/>
      <c r="I178" s="223"/>
      <c r="J178" s="223"/>
      <c r="K178" s="224"/>
      <c r="L178" s="225"/>
    </row>
    <row r="179" spans="1:12" s="218" customFormat="1" ht="14.25" customHeight="1" outlineLevel="1">
      <c r="B179" s="219"/>
      <c r="C179" s="689"/>
      <c r="E179" s="621" t="s">
        <v>2575</v>
      </c>
      <c r="F179" s="622"/>
      <c r="G179" s="227"/>
      <c r="H179" s="227"/>
      <c r="I179" s="227"/>
      <c r="J179" s="227"/>
      <c r="K179" s="228"/>
      <c r="L179" s="225"/>
    </row>
    <row r="180" spans="1:12" s="218" customFormat="1" ht="14.25" customHeight="1" outlineLevel="1">
      <c r="B180" s="219"/>
      <c r="C180" s="689"/>
      <c r="E180" s="621" t="s">
        <v>2576</v>
      </c>
      <c r="F180" s="622"/>
      <c r="G180" s="227"/>
      <c r="H180" s="227"/>
      <c r="I180" s="227"/>
      <c r="J180" s="227"/>
      <c r="K180" s="228"/>
      <c r="L180" s="225"/>
    </row>
    <row r="181" spans="1:12" s="218" customFormat="1" ht="14.25" customHeight="1" outlineLevel="1">
      <c r="B181" s="219"/>
      <c r="C181" s="689"/>
      <c r="E181" s="621" t="s">
        <v>2577</v>
      </c>
      <c r="F181" s="622"/>
      <c r="G181" s="227"/>
      <c r="H181" s="227"/>
      <c r="I181" s="227"/>
      <c r="J181" s="227"/>
      <c r="K181" s="228"/>
      <c r="L181" s="225"/>
    </row>
    <row r="182" spans="1:12" s="125" customFormat="1" ht="12.75">
      <c r="A182" s="218"/>
      <c r="B182" s="214"/>
      <c r="C182" s="689"/>
      <c r="D182" s="611" t="s">
        <v>2578</v>
      </c>
      <c r="E182" s="612"/>
      <c r="F182" s="613"/>
      <c r="G182" s="229">
        <f>SUM(G183,G187)</f>
        <v>99057578</v>
      </c>
      <c r="H182" s="229">
        <f>SUM(H183,H187)</f>
        <v>116858241</v>
      </c>
      <c r="I182" s="229">
        <f>SUM(I183,I187)</f>
        <v>86953396</v>
      </c>
      <c r="J182" s="229">
        <f>SUM(J183,J187)</f>
        <v>0</v>
      </c>
      <c r="K182" s="230">
        <f>SUM(K183,K187)</f>
        <v>0</v>
      </c>
      <c r="L182" s="200"/>
    </row>
    <row r="183" spans="1:12" s="218" customFormat="1" ht="14.25" customHeight="1" outlineLevel="1">
      <c r="B183" s="219"/>
      <c r="C183" s="689"/>
      <c r="D183" s="220"/>
      <c r="E183" s="616" t="s">
        <v>2579</v>
      </c>
      <c r="F183" s="617"/>
      <c r="G183" s="296">
        <f>SUM(G184:G186)</f>
        <v>0</v>
      </c>
      <c r="H183" s="296">
        <f>SUM(H184:H186)</f>
        <v>0</v>
      </c>
      <c r="I183" s="296">
        <f>SUM(I184:I186)</f>
        <v>0</v>
      </c>
      <c r="J183" s="296">
        <f>SUM(J184:J186)</f>
        <v>0</v>
      </c>
      <c r="K183" s="297">
        <f>SUM(K184:K186)</f>
        <v>0</v>
      </c>
      <c r="L183" s="225"/>
    </row>
    <row r="184" spans="1:12" s="218" customFormat="1" ht="14.25" customHeight="1" outlineLevel="1">
      <c r="B184" s="219"/>
      <c r="C184" s="689"/>
      <c r="E184" s="239"/>
      <c r="F184" s="221" t="s">
        <v>2580</v>
      </c>
      <c r="G184" s="296"/>
      <c r="H184" s="296"/>
      <c r="I184" s="296"/>
      <c r="J184" s="296"/>
      <c r="K184" s="297"/>
      <c r="L184" s="225"/>
    </row>
    <row r="185" spans="1:12" s="218" customFormat="1" ht="14.25" customHeight="1" outlineLevel="1">
      <c r="B185" s="219"/>
      <c r="C185" s="689"/>
      <c r="E185" s="240"/>
      <c r="F185" s="226" t="s">
        <v>2581</v>
      </c>
      <c r="G185" s="360"/>
      <c r="H185" s="360"/>
      <c r="I185" s="360"/>
      <c r="J185" s="360"/>
      <c r="K185" s="361"/>
      <c r="L185" s="225"/>
    </row>
    <row r="186" spans="1:12" s="218" customFormat="1" ht="14.25" customHeight="1" outlineLevel="1">
      <c r="B186" s="219"/>
      <c r="C186" s="689"/>
      <c r="E186" s="240"/>
      <c r="F186" s="226" t="s">
        <v>2582</v>
      </c>
      <c r="G186" s="360"/>
      <c r="H186" s="360"/>
      <c r="I186" s="360"/>
      <c r="J186" s="360"/>
      <c r="K186" s="361"/>
      <c r="L186" s="225"/>
    </row>
    <row r="187" spans="1:12" s="218" customFormat="1" ht="14.25" customHeight="1" outlineLevel="1">
      <c r="B187" s="219"/>
      <c r="C187" s="689"/>
      <c r="E187" s="626" t="s">
        <v>2583</v>
      </c>
      <c r="F187" s="627"/>
      <c r="G187" s="227">
        <f>2043660+97013918</f>
        <v>99057578</v>
      </c>
      <c r="H187" s="227">
        <f>2678642+114179599</f>
        <v>116858241</v>
      </c>
      <c r="I187" s="227">
        <f>3455525+83497871</f>
        <v>86953396</v>
      </c>
      <c r="J187" s="227"/>
      <c r="K187" s="228"/>
      <c r="L187" s="225"/>
    </row>
    <row r="188" spans="1:12" s="125" customFormat="1" ht="12.75">
      <c r="A188" s="218"/>
      <c r="B188" s="214"/>
      <c r="C188" s="689"/>
      <c r="D188" s="650" t="s">
        <v>2584</v>
      </c>
      <c r="E188" s="650"/>
      <c r="F188" s="651"/>
      <c r="G188" s="299">
        <v>534205</v>
      </c>
      <c r="H188" s="299">
        <v>17215</v>
      </c>
      <c r="I188" s="299"/>
      <c r="J188" s="299"/>
      <c r="K188" s="300"/>
      <c r="L188" s="200"/>
    </row>
    <row r="189" spans="1:12" s="125" customFormat="1" ht="12.75">
      <c r="A189" s="218"/>
      <c r="B189" s="214"/>
      <c r="C189" s="689"/>
      <c r="D189" s="650" t="s">
        <v>2585</v>
      </c>
      <c r="E189" s="650"/>
      <c r="F189" s="651"/>
      <c r="G189" s="299">
        <f>SUM(G190:G192)</f>
        <v>0</v>
      </c>
      <c r="H189" s="299">
        <f>SUM(H190:H192)</f>
        <v>0</v>
      </c>
      <c r="I189" s="299">
        <f>SUM(I190:I192)</f>
        <v>0</v>
      </c>
      <c r="J189" s="299">
        <f>SUM(J190:J192)</f>
        <v>0</v>
      </c>
      <c r="K189" s="300">
        <f>SUM(K190:K192)</f>
        <v>0</v>
      </c>
      <c r="L189" s="200"/>
    </row>
    <row r="190" spans="1:12" s="218" customFormat="1" ht="12" outlineLevel="1">
      <c r="B190" s="219"/>
      <c r="C190" s="689"/>
      <c r="D190" s="239"/>
      <c r="E190" s="701" t="s">
        <v>2586</v>
      </c>
      <c r="F190" s="702"/>
      <c r="G190" s="362"/>
      <c r="H190" s="362"/>
      <c r="I190" s="362"/>
      <c r="J190" s="362"/>
      <c r="K190" s="363"/>
      <c r="L190" s="225"/>
    </row>
    <row r="191" spans="1:12" s="218" customFormat="1" ht="12" outlineLevel="1">
      <c r="B191" s="219"/>
      <c r="C191" s="689"/>
      <c r="D191" s="240"/>
      <c r="E191" s="621" t="s">
        <v>2587</v>
      </c>
      <c r="F191" s="622"/>
      <c r="G191" s="364"/>
      <c r="H191" s="364"/>
      <c r="I191" s="364"/>
      <c r="J191" s="364"/>
      <c r="K191" s="365"/>
      <c r="L191" s="225"/>
    </row>
    <row r="192" spans="1:12" s="218" customFormat="1" ht="12.75" outlineLevel="1">
      <c r="B192" s="219"/>
      <c r="C192" s="713"/>
      <c r="D192" s="242"/>
      <c r="E192" s="716" t="s">
        <v>2588</v>
      </c>
      <c r="F192" s="717"/>
      <c r="G192" s="366"/>
      <c r="H192" s="315"/>
      <c r="I192" s="315"/>
      <c r="J192" s="366"/>
      <c r="K192" s="345"/>
      <c r="L192" s="225"/>
    </row>
    <row r="193" spans="1:12" ht="17.25" customHeight="1">
      <c r="A193" s="125"/>
      <c r="B193" s="127"/>
      <c r="C193" s="609" t="s">
        <v>2589</v>
      </c>
      <c r="D193" s="610"/>
      <c r="E193" s="610"/>
      <c r="F193" s="610" t="s">
        <v>2590</v>
      </c>
      <c r="G193" s="233">
        <f>SUM(G167,G177,G182,G188,G189)</f>
        <v>218638096</v>
      </c>
      <c r="H193" s="233">
        <f>SUM(H167,H177,H182,H188,H189)</f>
        <v>343105347</v>
      </c>
      <c r="I193" s="233">
        <f>SUM(I167,I177,I182,I188,I189)</f>
        <v>390979971</v>
      </c>
      <c r="J193" s="233">
        <f>SUM(J167,J177,J182,J188,J189)</f>
        <v>0</v>
      </c>
      <c r="K193" s="234">
        <f>SUM(K167,K177,K182,K188,K189)</f>
        <v>0</v>
      </c>
      <c r="L193" s="128"/>
    </row>
    <row r="194" spans="1:12" ht="7.5" customHeight="1">
      <c r="B194" s="127"/>
      <c r="C194" s="671"/>
      <c r="D194" s="672"/>
      <c r="E194" s="672"/>
      <c r="F194" s="672"/>
      <c r="G194" s="672"/>
      <c r="H194" s="672"/>
      <c r="I194" s="672"/>
      <c r="J194" s="672"/>
      <c r="K194" s="673"/>
      <c r="L194" s="128"/>
    </row>
    <row r="195" spans="1:12" ht="17.25" customHeight="1">
      <c r="B195" s="127"/>
      <c r="C195" s="689" t="s">
        <v>2591</v>
      </c>
      <c r="D195" s="690"/>
      <c r="E195" s="690"/>
      <c r="F195" s="690"/>
      <c r="G195" s="286"/>
      <c r="H195" s="287"/>
      <c r="I195" s="287"/>
      <c r="J195" s="287"/>
      <c r="K195" s="288"/>
      <c r="L195" s="128"/>
    </row>
    <row r="196" spans="1:12" s="125" customFormat="1" ht="14.25">
      <c r="A196" s="124"/>
      <c r="B196" s="214"/>
      <c r="C196" s="665"/>
      <c r="D196" s="611" t="s">
        <v>2592</v>
      </c>
      <c r="E196" s="612"/>
      <c r="F196" s="613"/>
      <c r="G196" s="229">
        <f>SUM(G197,G200,G201,G202)</f>
        <v>0</v>
      </c>
      <c r="H196" s="229">
        <f>SUM(H197,H200,H201,H202)</f>
        <v>0</v>
      </c>
      <c r="I196" s="229">
        <f>SUM(I197,I200,I201,I202)</f>
        <v>0</v>
      </c>
      <c r="J196" s="229">
        <f>SUM(J197,J200,J201,J202)</f>
        <v>0</v>
      </c>
      <c r="K196" s="230">
        <f>SUM(K197,K200,K201,K202)</f>
        <v>0</v>
      </c>
      <c r="L196" s="200"/>
    </row>
    <row r="197" spans="1:12" s="218" customFormat="1" ht="14.25" customHeight="1" outlineLevel="1">
      <c r="B197" s="219"/>
      <c r="C197" s="665"/>
      <c r="D197" s="220"/>
      <c r="E197" s="701" t="s">
        <v>2593</v>
      </c>
      <c r="F197" s="702"/>
      <c r="G197" s="223">
        <f>SUM(G198:G199)</f>
        <v>0</v>
      </c>
      <c r="H197" s="223">
        <f>SUM(H198:H199)</f>
        <v>0</v>
      </c>
      <c r="I197" s="223">
        <f>SUM(I198:I199)</f>
        <v>0</v>
      </c>
      <c r="J197" s="223">
        <f>SUM(J198:J199)</f>
        <v>0</v>
      </c>
      <c r="K197" s="224">
        <f>SUM(K198:K199)</f>
        <v>0</v>
      </c>
      <c r="L197" s="225"/>
    </row>
    <row r="198" spans="1:12" s="218" customFormat="1" ht="14.25" customHeight="1" outlineLevel="2">
      <c r="B198" s="219"/>
      <c r="C198" s="665"/>
      <c r="E198" s="247"/>
      <c r="F198" s="248" t="s">
        <v>2594</v>
      </c>
      <c r="G198" s="223"/>
      <c r="H198" s="223"/>
      <c r="I198" s="223"/>
      <c r="J198" s="223"/>
      <c r="K198" s="224"/>
      <c r="L198" s="225"/>
    </row>
    <row r="199" spans="1:12" s="218" customFormat="1" ht="14.25" customHeight="1" outlineLevel="2">
      <c r="B199" s="219"/>
      <c r="C199" s="665"/>
      <c r="E199" s="250"/>
      <c r="F199" s="251" t="s">
        <v>2595</v>
      </c>
      <c r="G199" s="227"/>
      <c r="H199" s="227"/>
      <c r="I199" s="227"/>
      <c r="J199" s="227"/>
      <c r="K199" s="228"/>
      <c r="L199" s="225"/>
    </row>
    <row r="200" spans="1:12" s="218" customFormat="1" ht="14.25" customHeight="1" outlineLevel="1">
      <c r="B200" s="219"/>
      <c r="C200" s="665"/>
      <c r="E200" s="621" t="s">
        <v>2596</v>
      </c>
      <c r="F200" s="622"/>
      <c r="G200" s="227"/>
      <c r="H200" s="227"/>
      <c r="I200" s="227"/>
      <c r="J200" s="227"/>
      <c r="K200" s="228"/>
      <c r="L200" s="225"/>
    </row>
    <row r="201" spans="1:12" s="218" customFormat="1" ht="14.25" customHeight="1" outlineLevel="1">
      <c r="B201" s="219"/>
      <c r="C201" s="665"/>
      <c r="E201" s="621" t="s">
        <v>2597</v>
      </c>
      <c r="F201" s="622"/>
      <c r="G201" s="227"/>
      <c r="H201" s="227"/>
      <c r="I201" s="227"/>
      <c r="J201" s="227"/>
      <c r="K201" s="228"/>
      <c r="L201" s="225"/>
    </row>
    <row r="202" spans="1:12" s="218" customFormat="1" ht="14.25" customHeight="1" outlineLevel="1">
      <c r="B202" s="219"/>
      <c r="C202" s="665"/>
      <c r="E202" s="621" t="s">
        <v>2598</v>
      </c>
      <c r="F202" s="622"/>
      <c r="G202" s="227"/>
      <c r="H202" s="227"/>
      <c r="I202" s="227"/>
      <c r="J202" s="227"/>
      <c r="K202" s="228"/>
      <c r="L202" s="225"/>
    </row>
    <row r="203" spans="1:12" s="125" customFormat="1" ht="12.75">
      <c r="A203" s="218"/>
      <c r="B203" s="214"/>
      <c r="C203" s="665"/>
      <c r="D203" s="650" t="s">
        <v>2599</v>
      </c>
      <c r="E203" s="650"/>
      <c r="F203" s="651"/>
      <c r="G203" s="299">
        <f>SUM(G204:G207)</f>
        <v>10102892</v>
      </c>
      <c r="H203" s="299">
        <f>SUM(H204:H207)</f>
        <v>10141631</v>
      </c>
      <c r="I203" s="299">
        <f>SUM(I204:I207)</f>
        <v>80739210</v>
      </c>
      <c r="J203" s="299">
        <f>SUM(J204:J207)</f>
        <v>0</v>
      </c>
      <c r="K203" s="300">
        <f>SUM(K204:K207)</f>
        <v>0</v>
      </c>
      <c r="L203" s="200"/>
    </row>
    <row r="204" spans="1:12" s="218" customFormat="1" ht="12" outlineLevel="1">
      <c r="B204" s="219"/>
      <c r="C204" s="665"/>
      <c r="D204" s="239"/>
      <c r="E204" s="652" t="s">
        <v>2600</v>
      </c>
      <c r="F204" s="653"/>
      <c r="G204" s="362">
        <v>10102892</v>
      </c>
      <c r="H204" s="362">
        <v>10141631</v>
      </c>
      <c r="I204" s="362">
        <v>47384888</v>
      </c>
      <c r="J204" s="362"/>
      <c r="K204" s="363"/>
      <c r="L204" s="225"/>
    </row>
    <row r="205" spans="1:12" s="218" customFormat="1" ht="12" outlineLevel="1">
      <c r="B205" s="219"/>
      <c r="C205" s="665"/>
      <c r="D205" s="240"/>
      <c r="E205" s="669" t="s">
        <v>2601</v>
      </c>
      <c r="F205" s="670"/>
      <c r="G205" s="364"/>
      <c r="H205" s="364"/>
      <c r="I205" s="364">
        <v>33354322</v>
      </c>
      <c r="J205" s="364"/>
      <c r="K205" s="365"/>
      <c r="L205" s="225"/>
    </row>
    <row r="206" spans="1:12" s="218" customFormat="1" ht="12" outlineLevel="1">
      <c r="B206" s="219"/>
      <c r="C206" s="665"/>
      <c r="D206" s="240"/>
      <c r="E206" s="669" t="s">
        <v>2602</v>
      </c>
      <c r="F206" s="670"/>
      <c r="G206" s="364"/>
      <c r="H206" s="364"/>
      <c r="I206" s="364"/>
      <c r="J206" s="364"/>
      <c r="K206" s="365"/>
      <c r="L206" s="225"/>
    </row>
    <row r="207" spans="1:12" s="218" customFormat="1" ht="12" outlineLevel="1">
      <c r="B207" s="219"/>
      <c r="C207" s="665"/>
      <c r="D207" s="240"/>
      <c r="E207" s="669" t="s">
        <v>2603</v>
      </c>
      <c r="F207" s="670"/>
      <c r="G207" s="364"/>
      <c r="H207" s="364"/>
      <c r="I207" s="364"/>
      <c r="J207" s="364"/>
      <c r="K207" s="365"/>
      <c r="L207" s="225"/>
    </row>
    <row r="208" spans="1:12" s="125" customFormat="1" ht="12.75">
      <c r="B208" s="214"/>
      <c r="C208" s="665"/>
      <c r="D208" s="611" t="s">
        <v>2604</v>
      </c>
      <c r="E208" s="612"/>
      <c r="F208" s="613"/>
      <c r="G208" s="229">
        <f>SUM(G209:G210)-G212</f>
        <v>197633345</v>
      </c>
      <c r="H208" s="229">
        <f>SUM(H209:H210)-H212</f>
        <v>151763198</v>
      </c>
      <c r="I208" s="229">
        <f>SUM(I209:I210)-I212</f>
        <v>286091722</v>
      </c>
      <c r="J208" s="229">
        <f>SUM(J209:J210)-J212</f>
        <v>0</v>
      </c>
      <c r="K208" s="230">
        <f>SUM(K209:K210)-K212</f>
        <v>0</v>
      </c>
      <c r="L208" s="200"/>
    </row>
    <row r="209" spans="1:12" s="218" customFormat="1" ht="14.25" customHeight="1" outlineLevel="1">
      <c r="B209" s="219"/>
      <c r="C209" s="665"/>
      <c r="D209" s="220"/>
      <c r="E209" s="616" t="s">
        <v>2605</v>
      </c>
      <c r="F209" s="617"/>
      <c r="G209" s="362">
        <v>192615753</v>
      </c>
      <c r="H209" s="362">
        <v>145912756</v>
      </c>
      <c r="I209" s="362">
        <v>268954259</v>
      </c>
      <c r="J209" s="362"/>
      <c r="K209" s="363"/>
      <c r="L209" s="225"/>
    </row>
    <row r="210" spans="1:12" s="218" customFormat="1" ht="14.25" customHeight="1" outlineLevel="1">
      <c r="B210" s="219"/>
      <c r="C210" s="665"/>
      <c r="E210" s="626" t="s">
        <v>2606</v>
      </c>
      <c r="F210" s="627"/>
      <c r="G210" s="364">
        <v>5017592</v>
      </c>
      <c r="H210" s="364">
        <v>5850442</v>
      </c>
      <c r="I210" s="364">
        <f>2906295+10127322+120898+3982948</f>
        <v>17137463</v>
      </c>
      <c r="J210" s="364"/>
      <c r="K210" s="365"/>
      <c r="L210" s="225"/>
    </row>
    <row r="211" spans="1:12" s="218" customFormat="1" ht="14.25" customHeight="1" outlineLevel="1">
      <c r="B211" s="219"/>
      <c r="C211" s="665"/>
      <c r="E211" s="626" t="s">
        <v>2607</v>
      </c>
      <c r="F211" s="627"/>
      <c r="G211" s="364"/>
      <c r="H211" s="364"/>
      <c r="I211" s="364"/>
      <c r="J211" s="364"/>
      <c r="K211" s="365"/>
      <c r="L211" s="225"/>
    </row>
    <row r="212" spans="1:12" s="218" customFormat="1" ht="14.25" customHeight="1" outlineLevel="1">
      <c r="B212" s="219"/>
      <c r="C212" s="665"/>
      <c r="E212" s="621" t="s">
        <v>2608</v>
      </c>
      <c r="F212" s="622"/>
      <c r="G212" s="364"/>
      <c r="H212" s="364"/>
      <c r="I212" s="364"/>
      <c r="J212" s="364"/>
      <c r="K212" s="365"/>
      <c r="L212" s="225"/>
    </row>
    <row r="213" spans="1:12" s="125" customFormat="1" ht="12.75">
      <c r="A213" s="218"/>
      <c r="B213" s="214"/>
      <c r="C213" s="665"/>
      <c r="D213" s="611" t="s">
        <v>2609</v>
      </c>
      <c r="E213" s="612"/>
      <c r="F213" s="613"/>
      <c r="G213" s="299">
        <f>28385665+234431+44467200</f>
        <v>73087296</v>
      </c>
      <c r="H213" s="299">
        <f>38496736+544331+138633286</f>
        <v>177674353</v>
      </c>
      <c r="I213" s="299">
        <f>3426666+509420+174254346</f>
        <v>178190432</v>
      </c>
      <c r="J213" s="299"/>
      <c r="K213" s="300"/>
      <c r="L213" s="200"/>
    </row>
    <row r="214" spans="1:12" s="125" customFormat="1" ht="12.75">
      <c r="B214" s="214"/>
      <c r="C214" s="665"/>
      <c r="D214" s="611" t="s">
        <v>2610</v>
      </c>
      <c r="E214" s="612"/>
      <c r="F214" s="613"/>
      <c r="G214" s="229">
        <f>SUM(G215,G219)</f>
        <v>70710647</v>
      </c>
      <c r="H214" s="229">
        <f>SUM(H215,H219)</f>
        <v>107939838</v>
      </c>
      <c r="I214" s="229">
        <f>SUM(I215,I219)</f>
        <v>47453519</v>
      </c>
      <c r="J214" s="229">
        <f>SUM(J215,J219)</f>
        <v>0</v>
      </c>
      <c r="K214" s="230">
        <f>SUM(K215,K219)</f>
        <v>0</v>
      </c>
      <c r="L214" s="200"/>
    </row>
    <row r="215" spans="1:12" s="218" customFormat="1" ht="14.25" customHeight="1" outlineLevel="1">
      <c r="A215" s="125"/>
      <c r="B215" s="219"/>
      <c r="C215" s="665"/>
      <c r="D215" s="220"/>
      <c r="E215" s="616" t="s">
        <v>2611</v>
      </c>
      <c r="F215" s="617"/>
      <c r="G215" s="223">
        <f>SUM(G216:G218)</f>
        <v>0</v>
      </c>
      <c r="H215" s="223">
        <f>SUM(H216:H218)</f>
        <v>0</v>
      </c>
      <c r="I215" s="223">
        <f>SUM(I216:I218)</f>
        <v>0</v>
      </c>
      <c r="J215" s="223">
        <f>SUM(J216:J218)</f>
        <v>0</v>
      </c>
      <c r="K215" s="224">
        <f>SUM(K216:K218)</f>
        <v>0</v>
      </c>
      <c r="L215" s="225"/>
    </row>
    <row r="216" spans="1:12" s="218" customFormat="1" ht="14.25" customHeight="1" outlineLevel="1">
      <c r="A216" s="125"/>
      <c r="B216" s="219"/>
      <c r="C216" s="665"/>
      <c r="E216" s="239"/>
      <c r="F216" s="221" t="s">
        <v>2612</v>
      </c>
      <c r="G216" s="223"/>
      <c r="H216" s="223"/>
      <c r="I216" s="223"/>
      <c r="J216" s="223"/>
      <c r="K216" s="224"/>
      <c r="L216" s="225"/>
    </row>
    <row r="217" spans="1:12" s="218" customFormat="1" ht="14.25" customHeight="1" outlineLevel="1">
      <c r="A217" s="125"/>
      <c r="B217" s="219"/>
      <c r="C217" s="665"/>
      <c r="E217" s="240"/>
      <c r="F217" s="226" t="s">
        <v>2613</v>
      </c>
      <c r="G217" s="227"/>
      <c r="H217" s="227"/>
      <c r="I217" s="227"/>
      <c r="J217" s="227"/>
      <c r="K217" s="228"/>
      <c r="L217" s="225"/>
    </row>
    <row r="218" spans="1:12" s="218" customFormat="1" ht="14.25" customHeight="1" outlineLevel="1">
      <c r="A218" s="125"/>
      <c r="B218" s="219"/>
      <c r="C218" s="665"/>
      <c r="E218" s="240"/>
      <c r="F218" s="226" t="s">
        <v>2614</v>
      </c>
      <c r="G218" s="227"/>
      <c r="H218" s="227"/>
      <c r="I218" s="227"/>
      <c r="J218" s="227"/>
      <c r="K218" s="228"/>
      <c r="L218" s="225"/>
    </row>
    <row r="219" spans="1:12" s="218" customFormat="1" ht="14.25" customHeight="1" outlineLevel="1">
      <c r="B219" s="219"/>
      <c r="C219" s="665"/>
      <c r="E219" s="626" t="s">
        <v>2615</v>
      </c>
      <c r="F219" s="627"/>
      <c r="G219" s="227">
        <f>11788660+3521100+34598263+455102+10221350+5278595+4686081+136496+25000</f>
        <v>70710647</v>
      </c>
      <c r="H219" s="227">
        <f>11373660+3521100+8000000+27385217+1134771+32340030+5278595+18769969+136496</f>
        <v>107939838</v>
      </c>
      <c r="I219" s="227">
        <f>7343360+3539100+36434563+136496</f>
        <v>47453519</v>
      </c>
      <c r="J219" s="227"/>
      <c r="K219" s="228"/>
      <c r="L219" s="225"/>
    </row>
    <row r="220" spans="1:12" s="125" customFormat="1" ht="12.75">
      <c r="A220" s="218"/>
      <c r="B220" s="214"/>
      <c r="C220" s="743"/>
      <c r="D220" s="611" t="s">
        <v>2616</v>
      </c>
      <c r="E220" s="612"/>
      <c r="F220" s="613"/>
      <c r="G220" s="315">
        <f>3197395+431907</f>
        <v>3629302</v>
      </c>
      <c r="H220" s="315">
        <f>6055519+2079426</f>
        <v>8134945</v>
      </c>
      <c r="I220" s="315">
        <f>1611937+2213833+39427814+1686851+731509+19252288</f>
        <v>64924232</v>
      </c>
      <c r="J220" s="315"/>
      <c r="K220" s="316"/>
      <c r="L220" s="200"/>
    </row>
    <row r="221" spans="1:12" ht="17.25" customHeight="1">
      <c r="A221" s="125"/>
      <c r="B221" s="127"/>
      <c r="C221" s="708" t="s">
        <v>2617</v>
      </c>
      <c r="D221" s="709"/>
      <c r="E221" s="709"/>
      <c r="F221" s="710" t="s">
        <v>2618</v>
      </c>
      <c r="G221" s="233">
        <f>SUM(G196,G203,G208,G213:G214,G220)</f>
        <v>355163482</v>
      </c>
      <c r="H221" s="233">
        <f>SUM(H196,H203,H208,H213:H214,H220)</f>
        <v>455653965</v>
      </c>
      <c r="I221" s="233">
        <f>SUM(I196,I203,I208,I213:I214,I220)</f>
        <v>657399115</v>
      </c>
      <c r="J221" s="233">
        <f>SUM(J196,J203,J208,J213:J214,J220)</f>
        <v>0</v>
      </c>
      <c r="K221" s="234">
        <f>SUM(K196,K203,K208,K213:K214,K220)</f>
        <v>0</v>
      </c>
      <c r="L221" s="128"/>
    </row>
    <row r="222" spans="1:12" ht="17.25" customHeight="1">
      <c r="A222" s="125"/>
      <c r="B222" s="127"/>
      <c r="C222" s="687" t="s">
        <v>2619</v>
      </c>
      <c r="D222" s="688"/>
      <c r="E222" s="688"/>
      <c r="F222" s="688" t="s">
        <v>2620</v>
      </c>
      <c r="G222" s="294">
        <f>SUM(G193,G221)</f>
        <v>573801578</v>
      </c>
      <c r="H222" s="294">
        <f>SUM(H193,H221)</f>
        <v>798759312</v>
      </c>
      <c r="I222" s="294">
        <f>SUM(I193,I221)</f>
        <v>1048379086</v>
      </c>
      <c r="J222" s="294">
        <f>SUM(J193,J221)</f>
        <v>0</v>
      </c>
      <c r="K222" s="295">
        <f>SUM(K193,K221)</f>
        <v>0</v>
      </c>
      <c r="L222" s="128"/>
    </row>
    <row r="223" spans="1:12" ht="14.25" customHeight="1">
      <c r="B223" s="127"/>
      <c r="F223" s="301"/>
      <c r="G223" s="302"/>
      <c r="H223" s="303"/>
      <c r="I223" s="303"/>
      <c r="J223" s="303"/>
      <c r="K223" s="303"/>
      <c r="L223" s="128"/>
    </row>
    <row r="224" spans="1:12" s="218" customFormat="1" ht="12">
      <c r="B224" s="219"/>
      <c r="C224" s="711" t="s">
        <v>2621</v>
      </c>
      <c r="D224" s="712"/>
      <c r="E224" s="712"/>
      <c r="F224" s="712"/>
      <c r="G224" s="304">
        <f>G163-G222</f>
        <v>0</v>
      </c>
      <c r="H224" s="304">
        <f>H163-H222</f>
        <v>0</v>
      </c>
      <c r="I224" s="304">
        <f>I163-I222</f>
        <v>0</v>
      </c>
      <c r="J224" s="304">
        <f>J163-J222</f>
        <v>0</v>
      </c>
      <c r="K224" s="305">
        <f>K163-K222</f>
        <v>0</v>
      </c>
      <c r="L224" s="225"/>
    </row>
    <row r="225" spans="1:12" s="285" customFormat="1" ht="14.25" customHeight="1">
      <c r="A225" s="125"/>
      <c r="B225" s="127"/>
      <c r="C225" s="124"/>
      <c r="D225" s="124"/>
      <c r="E225" s="124"/>
      <c r="F225" s="240"/>
      <c r="G225" s="306"/>
      <c r="H225" s="268"/>
      <c r="I225" s="268"/>
      <c r="J225" s="268"/>
      <c r="K225" s="268"/>
      <c r="L225" s="128"/>
    </row>
    <row r="226" spans="1:12" s="285" customFormat="1" ht="19.5">
      <c r="A226" s="124"/>
      <c r="B226" s="127"/>
      <c r="C226" s="720" t="s">
        <v>2622</v>
      </c>
      <c r="D226" s="721"/>
      <c r="E226" s="721"/>
      <c r="F226" s="721"/>
      <c r="G226" s="721"/>
      <c r="H226" s="721"/>
      <c r="I226" s="721"/>
      <c r="J226" s="721"/>
      <c r="K226" s="722"/>
      <c r="L226" s="128"/>
    </row>
    <row r="227" spans="1:12" s="285" customFormat="1" ht="17.25" customHeight="1">
      <c r="A227" s="124"/>
      <c r="B227" s="127"/>
      <c r="C227" s="623" t="s">
        <v>2623</v>
      </c>
      <c r="D227" s="624"/>
      <c r="E227" s="624"/>
      <c r="F227" s="625" t="s">
        <v>2624</v>
      </c>
      <c r="G227" s="279">
        <f>G6</f>
        <v>43921</v>
      </c>
      <c r="H227" s="279">
        <f>H6</f>
        <v>44286</v>
      </c>
      <c r="I227" s="279">
        <f>I6</f>
        <v>44651</v>
      </c>
      <c r="J227" s="279">
        <f>J6</f>
        <v>45016</v>
      </c>
      <c r="K227" s="280">
        <f>K6</f>
        <v>45382</v>
      </c>
      <c r="L227" s="128"/>
    </row>
    <row r="228" spans="1:12" s="309" customFormat="1" ht="16.5">
      <c r="A228" s="124"/>
      <c r="B228" s="307"/>
      <c r="C228" s="703" t="s">
        <v>2625</v>
      </c>
      <c r="D228" s="704"/>
      <c r="E228" s="704"/>
      <c r="F228" s="704"/>
      <c r="G228" s="704"/>
      <c r="H228" s="704"/>
      <c r="I228" s="704"/>
      <c r="J228" s="704"/>
      <c r="K228" s="705"/>
      <c r="L228" s="308"/>
    </row>
    <row r="229" spans="1:12" s="285" customFormat="1" ht="16.5">
      <c r="A229" s="310"/>
      <c r="B229" s="214"/>
      <c r="C229" s="649" t="s">
        <v>2626</v>
      </c>
      <c r="D229" s="650"/>
      <c r="E229" s="650"/>
      <c r="F229" s="651"/>
      <c r="G229" s="311"/>
      <c r="H229" s="261">
        <f>IFERROR((H23-G23)/G23,"-")</f>
        <v>7.3405546525272827E-2</v>
      </c>
      <c r="I229" s="261">
        <f>IFERROR((I23-H23)/H23,"-")</f>
        <v>7.6019804044614103E-4</v>
      </c>
      <c r="J229" s="261">
        <f>IFERROR((J23-I23)/I23,"-")</f>
        <v>-1</v>
      </c>
      <c r="K229" s="262" t="str">
        <f>IFERROR((K23-J23)/J23,"-")</f>
        <v>-</v>
      </c>
      <c r="L229" s="200"/>
    </row>
    <row r="230" spans="1:12" s="285" customFormat="1" ht="12.75">
      <c r="A230" s="125"/>
      <c r="B230" s="214"/>
      <c r="C230" s="649" t="s">
        <v>2627</v>
      </c>
      <c r="D230" s="650"/>
      <c r="E230" s="650"/>
      <c r="F230" s="651"/>
      <c r="G230" s="311"/>
      <c r="H230" s="261">
        <f>IFERROR(H55/G55-1,"-")</f>
        <v>6.6380558542150192E-2</v>
      </c>
      <c r="I230" s="261">
        <f>IFERROR(I55/H55-1,"-")</f>
        <v>0.19990067904799136</v>
      </c>
      <c r="J230" s="261">
        <f>IFERROR(J55/I55-1,"-")</f>
        <v>-1</v>
      </c>
      <c r="K230" s="262" t="str">
        <f>IFERROR(K55/J55-1,"-")</f>
        <v>-</v>
      </c>
      <c r="L230" s="200"/>
    </row>
    <row r="231" spans="1:12" s="285" customFormat="1" ht="12.75">
      <c r="A231" s="125"/>
      <c r="B231" s="214"/>
      <c r="C231" s="649" t="s">
        <v>2628</v>
      </c>
      <c r="D231" s="650"/>
      <c r="E231" s="650"/>
      <c r="F231" s="651"/>
      <c r="G231" s="311"/>
      <c r="H231" s="261">
        <f>IFERROR((H92-G92)/G92,"-")</f>
        <v>6.5938369113465206E-2</v>
      </c>
      <c r="I231" s="261">
        <f>IFERROR((I92-H92)/H92,"-")</f>
        <v>8.7588583089219949E-2</v>
      </c>
      <c r="J231" s="261">
        <f>IFERROR((J92-I92)/I92,"-")</f>
        <v>-1</v>
      </c>
      <c r="K231" s="262" t="str">
        <f>IFERROR((K92-J92)/J92,"-")</f>
        <v>-</v>
      </c>
      <c r="L231" s="200"/>
    </row>
    <row r="232" spans="1:12" ht="7.5" customHeight="1">
      <c r="A232" s="125"/>
      <c r="B232" s="127"/>
      <c r="C232" s="665"/>
      <c r="D232" s="666"/>
      <c r="E232" s="666"/>
      <c r="F232" s="667"/>
      <c r="G232" s="666"/>
      <c r="H232" s="666"/>
      <c r="I232" s="666"/>
      <c r="J232" s="666"/>
      <c r="K232" s="668"/>
      <c r="L232" s="128"/>
    </row>
    <row r="233" spans="1:12" s="309" customFormat="1" ht="16.5">
      <c r="A233" s="124"/>
      <c r="B233" s="307"/>
      <c r="C233" s="703" t="s">
        <v>2629</v>
      </c>
      <c r="D233" s="704"/>
      <c r="E233" s="704"/>
      <c r="F233" s="704"/>
      <c r="G233" s="704"/>
      <c r="H233" s="704"/>
      <c r="I233" s="704"/>
      <c r="J233" s="704"/>
      <c r="K233" s="705"/>
      <c r="L233" s="308"/>
    </row>
    <row r="234" spans="1:12" s="285" customFormat="1" ht="16.5">
      <c r="A234" s="310"/>
      <c r="B234" s="214"/>
      <c r="C234" s="649" t="s">
        <v>2630</v>
      </c>
      <c r="D234" s="650"/>
      <c r="E234" s="650"/>
      <c r="F234" s="651"/>
      <c r="G234" s="261">
        <f>IFERROR(G55/G23,"-")</f>
        <v>0.12766595809820627</v>
      </c>
      <c r="H234" s="261">
        <f>IFERROR(H55/H23,"-")</f>
        <v>0.12683043808026251</v>
      </c>
      <c r="I234" s="261">
        <f>IFERROR(I55/I23,"-")</f>
        <v>0.15206832673246526</v>
      </c>
      <c r="J234" s="261" t="str">
        <f>IFERROR(J55/J23,"-")</f>
        <v>-</v>
      </c>
      <c r="K234" s="262" t="str">
        <f>IFERROR(K55/K23,"-")</f>
        <v>-</v>
      </c>
      <c r="L234" s="200"/>
    </row>
    <row r="235" spans="1:12" s="285" customFormat="1" ht="12.75">
      <c r="A235" s="125"/>
      <c r="B235" s="214"/>
      <c r="C235" s="618" t="s">
        <v>2631</v>
      </c>
      <c r="D235" s="619"/>
      <c r="E235" s="619"/>
      <c r="F235" s="620"/>
      <c r="G235" s="261">
        <f>IFERROR((G92-G73)/G23,"-")</f>
        <v>7.0257078239362045E-2</v>
      </c>
      <c r="H235" s="261">
        <f>IFERROR((H92-H73)/H23,"-")</f>
        <v>6.8402365682980429E-2</v>
      </c>
      <c r="I235" s="261">
        <f>IFERROR((I92-I73)/I23,"-")</f>
        <v>7.4288478223870441E-2</v>
      </c>
      <c r="J235" s="261" t="str">
        <f>IFERROR((J92-J73)/J23,"-")</f>
        <v>-</v>
      </c>
      <c r="K235" s="262" t="str">
        <f>IFERROR((K92-K73)/K23,"-")</f>
        <v>-</v>
      </c>
      <c r="L235" s="200"/>
    </row>
    <row r="236" spans="1:12" s="285" customFormat="1" ht="12.75">
      <c r="A236" s="125"/>
      <c r="B236" s="214"/>
      <c r="C236" s="649" t="s">
        <v>2632</v>
      </c>
      <c r="D236" s="650"/>
      <c r="E236" s="650"/>
      <c r="F236" s="651"/>
      <c r="G236" s="261">
        <f>IFERROR((G100-G73)/G23,"-")</f>
        <v>9.2373700610804271E-2</v>
      </c>
      <c r="H236" s="261">
        <f>IFERROR((H100-H73)/H23,"-")</f>
        <v>9.2299418950012285E-2</v>
      </c>
      <c r="I236" s="261">
        <f>IFERROR((I100-I73)/I23,"-")</f>
        <v>0.11629246610570096</v>
      </c>
      <c r="J236" s="261" t="str">
        <f>IFERROR((J100-J73)/J23,"-")</f>
        <v>-</v>
      </c>
      <c r="K236" s="262" t="str">
        <f>IFERROR((K100-K73)/K23,"-")</f>
        <v>-</v>
      </c>
      <c r="L236" s="200"/>
    </row>
    <row r="237" spans="1:12" s="285" customFormat="1" ht="12.75">
      <c r="A237" s="125"/>
      <c r="B237" s="214"/>
      <c r="C237" s="649" t="s">
        <v>2633</v>
      </c>
      <c r="D237" s="650"/>
      <c r="E237" s="650"/>
      <c r="F237" s="651"/>
      <c r="G237" s="261">
        <f>IFERROR(G65/(G222-G162),"-")</f>
        <v>0.42901176720965967</v>
      </c>
      <c r="H237" s="261">
        <f>IFERROR(H65/(H222-H162),"-")</f>
        <v>0.30254926896911455</v>
      </c>
      <c r="I237" s="261">
        <f>IFERROR(I65/(I222-I162),"-")</f>
        <v>0.25509555238434856</v>
      </c>
      <c r="J237" s="261" t="str">
        <f>IFERROR(J65/(J222-J162),"-")</f>
        <v>-</v>
      </c>
      <c r="K237" s="262" t="str">
        <f>IFERROR(K65/(K222-K162),"-")</f>
        <v>-</v>
      </c>
      <c r="L237" s="200"/>
    </row>
    <row r="238" spans="1:12" s="285" customFormat="1" ht="12.75">
      <c r="A238" s="125"/>
      <c r="B238" s="214"/>
      <c r="C238" s="649" t="s">
        <v>2634</v>
      </c>
      <c r="D238" s="650"/>
      <c r="E238" s="650"/>
      <c r="F238" s="651"/>
      <c r="G238" s="261">
        <f>IFERROR(G92/G119,"-")</f>
        <v>0.33593118124049598</v>
      </c>
      <c r="H238" s="261">
        <f>IFERROR(H92/H119,"-")</f>
        <v>0.26354564620127424</v>
      </c>
      <c r="I238" s="261">
        <f>IFERROR(I92/I119,"-")</f>
        <v>0.22262908489199029</v>
      </c>
      <c r="J238" s="261" t="str">
        <f>IFERROR(J92/J119,"-")</f>
        <v>-</v>
      </c>
      <c r="K238" s="262" t="str">
        <f>IFERROR(K92/K119,"-")</f>
        <v>-</v>
      </c>
      <c r="L238" s="200"/>
    </row>
    <row r="239" spans="1:12" s="285" customFormat="1" ht="12.75">
      <c r="A239" s="125"/>
      <c r="B239" s="214"/>
      <c r="C239" s="649" t="s">
        <v>2635</v>
      </c>
      <c r="D239" s="650"/>
      <c r="E239" s="650"/>
      <c r="F239" s="651"/>
      <c r="G239" s="261">
        <f>IFERROR(G92/G222,"-")</f>
        <v>0.15347945243887079</v>
      </c>
      <c r="H239" s="261">
        <f>IFERROR(H92/H222,"-")</f>
        <v>0.11752442643197629</v>
      </c>
      <c r="I239" s="261">
        <f>IFERROR(I92/I222,"-")</f>
        <v>9.7384618181900667E-2</v>
      </c>
      <c r="J239" s="261" t="str">
        <f>IFERROR(J92/J222,"-")</f>
        <v>-</v>
      </c>
      <c r="K239" s="262" t="str">
        <f>IFERROR(K92/K222,"-")</f>
        <v>-</v>
      </c>
      <c r="L239" s="200"/>
    </row>
    <row r="240" spans="1:12" ht="7.5" customHeight="1">
      <c r="A240" s="125"/>
      <c r="B240" s="127"/>
      <c r="C240" s="665"/>
      <c r="D240" s="666"/>
      <c r="E240" s="666"/>
      <c r="F240" s="667"/>
      <c r="G240" s="666"/>
      <c r="H240" s="666"/>
      <c r="I240" s="666"/>
      <c r="J240" s="666"/>
      <c r="K240" s="668"/>
      <c r="L240" s="128"/>
    </row>
    <row r="241" spans="1:12" s="309" customFormat="1" ht="16.5">
      <c r="A241" s="124"/>
      <c r="B241" s="307"/>
      <c r="C241" s="703" t="s">
        <v>2636</v>
      </c>
      <c r="D241" s="704"/>
      <c r="E241" s="704"/>
      <c r="F241" s="704"/>
      <c r="G241" s="704"/>
      <c r="H241" s="704"/>
      <c r="I241" s="704"/>
      <c r="J241" s="704"/>
      <c r="K241" s="705"/>
      <c r="L241" s="308"/>
    </row>
    <row r="242" spans="1:12" s="285" customFormat="1" ht="16.5">
      <c r="A242" s="310"/>
      <c r="B242" s="214"/>
      <c r="C242" s="649" t="s">
        <v>2637</v>
      </c>
      <c r="D242" s="650"/>
      <c r="E242" s="650"/>
      <c r="F242" s="651"/>
      <c r="G242" s="299">
        <f>IFERROR(G221/G162,"-")</f>
        <v>1.4037212706582014</v>
      </c>
      <c r="H242" s="299">
        <f>IFERROR(H221/H162,"-")</f>
        <v>1.4109258259260784</v>
      </c>
      <c r="I242" s="299">
        <f>IFERROR(I221/I162,"-")</f>
        <v>1.5294591776210238</v>
      </c>
      <c r="J242" s="299" t="str">
        <f>IFERROR(J221/J162,"-")</f>
        <v>-</v>
      </c>
      <c r="K242" s="300" t="str">
        <f>IFERROR(K221/K162,"-")</f>
        <v>-</v>
      </c>
      <c r="L242" s="200"/>
    </row>
    <row r="243" spans="1:12" s="285" customFormat="1" ht="12.75">
      <c r="A243" s="125"/>
      <c r="B243" s="214"/>
      <c r="C243" s="649" t="s">
        <v>2638</v>
      </c>
      <c r="D243" s="650"/>
      <c r="E243" s="650"/>
      <c r="F243" s="651"/>
      <c r="G243" s="299">
        <f>G221-G162</f>
        <v>102147809</v>
      </c>
      <c r="H243" s="299">
        <f>H221-H162</f>
        <v>132707176</v>
      </c>
      <c r="I243" s="299">
        <f>I221-I162</f>
        <v>227574557</v>
      </c>
      <c r="J243" s="299">
        <f>J221-J162</f>
        <v>0</v>
      </c>
      <c r="K243" s="300">
        <f>K221-K162</f>
        <v>0</v>
      </c>
      <c r="L243" s="200"/>
    </row>
    <row r="244" spans="1:12" s="285" customFormat="1" ht="12.75">
      <c r="A244" s="125"/>
      <c r="B244" s="214"/>
      <c r="C244" s="649" t="s">
        <v>2639</v>
      </c>
      <c r="D244" s="650"/>
      <c r="E244" s="650"/>
      <c r="F244" s="651"/>
      <c r="G244" s="299">
        <f>IFERROR(G23/G243,"-")</f>
        <v>11.788281371752182</v>
      </c>
      <c r="H244" s="299">
        <f>IFERROR(H23/H243,"-")</f>
        <v>9.7397761745755176</v>
      </c>
      <c r="I244" s="299">
        <f>IFERROR(I23/I243,"-")</f>
        <v>5.6839428495514985</v>
      </c>
      <c r="J244" s="299" t="str">
        <f>IFERROR(J23/J243,"-")</f>
        <v>-</v>
      </c>
      <c r="K244" s="300" t="str">
        <f>IFERROR(K23/K243,"-")</f>
        <v>-</v>
      </c>
      <c r="L244" s="200"/>
    </row>
    <row r="245" spans="1:12" s="285" customFormat="1" ht="12.75">
      <c r="A245" s="125"/>
      <c r="B245" s="214"/>
      <c r="C245" s="649" t="s">
        <v>2640</v>
      </c>
      <c r="D245" s="650"/>
      <c r="E245" s="650"/>
      <c r="F245" s="651"/>
      <c r="G245" s="299">
        <f>IFERROR((G221-G220-G203)/G162,"-")</f>
        <v>1.3494471862223334</v>
      </c>
      <c r="H245" s="299">
        <f>IFERROR((H221-H220-H203)/H162,"-")</f>
        <v>1.3543326761487013</v>
      </c>
      <c r="I245" s="299">
        <f>IFERROR((I221-I220-I203)/I162,"-")</f>
        <v>1.1905687180396054</v>
      </c>
      <c r="J245" s="299" t="str">
        <f>IFERROR((J221-J220-J203)/J162,"-")</f>
        <v>-</v>
      </c>
      <c r="K245" s="300" t="str">
        <f>IFERROR((K221-K220-K203)/K162,"-")</f>
        <v>-</v>
      </c>
      <c r="L245" s="200"/>
    </row>
    <row r="246" spans="1:12" ht="7.5" customHeight="1">
      <c r="A246" s="125"/>
      <c r="B246" s="127"/>
      <c r="C246" s="665"/>
      <c r="D246" s="666"/>
      <c r="E246" s="666"/>
      <c r="F246" s="667"/>
      <c r="G246" s="666"/>
      <c r="H246" s="666"/>
      <c r="I246" s="666"/>
      <c r="J246" s="666"/>
      <c r="K246" s="668"/>
      <c r="L246" s="128"/>
    </row>
    <row r="247" spans="1:12" s="309" customFormat="1" ht="16.5">
      <c r="A247" s="124"/>
      <c r="B247" s="307"/>
      <c r="C247" s="703" t="s">
        <v>2641</v>
      </c>
      <c r="D247" s="704"/>
      <c r="E247" s="704"/>
      <c r="F247" s="704"/>
      <c r="G247" s="704"/>
      <c r="H247" s="704"/>
      <c r="I247" s="704"/>
      <c r="J247" s="704"/>
      <c r="K247" s="705"/>
      <c r="L247" s="308"/>
    </row>
    <row r="248" spans="1:12" s="285" customFormat="1" ht="16.5">
      <c r="A248" s="310"/>
      <c r="B248" s="214"/>
      <c r="C248" s="649" t="s">
        <v>2642</v>
      </c>
      <c r="D248" s="650"/>
      <c r="E248" s="650"/>
      <c r="F248" s="651"/>
      <c r="G248" s="299">
        <f>IFERROR(G26/G203,"-")</f>
        <v>50.946553026598721</v>
      </c>
      <c r="H248" s="299">
        <f>IFERROR(H26/H203,"-")</f>
        <v>52.411193820796676</v>
      </c>
      <c r="I248" s="299">
        <f>IFERROR(I26/I203,"-")</f>
        <v>5.9154529626930952</v>
      </c>
      <c r="J248" s="299" t="str">
        <f>IFERROR(J26/J203,"-")</f>
        <v>-</v>
      </c>
      <c r="K248" s="300" t="str">
        <f>IFERROR(K26/K203,"-")</f>
        <v>-</v>
      </c>
      <c r="L248" s="200"/>
    </row>
    <row r="249" spans="1:12" s="285" customFormat="1" ht="12.75">
      <c r="A249" s="125"/>
      <c r="B249" s="214"/>
      <c r="C249" s="649" t="s">
        <v>2643</v>
      </c>
      <c r="D249" s="650"/>
      <c r="E249" s="650"/>
      <c r="F249" s="651"/>
      <c r="G249" s="299">
        <f>IFERROR(365/G248,"-")</f>
        <v>7.1643708615465487</v>
      </c>
      <c r="H249" s="299">
        <f>IFERROR(365/H248,"-")</f>
        <v>6.9641611532070957</v>
      </c>
      <c r="I249" s="299">
        <f>IFERROR(365/I248,"-")</f>
        <v>61.702798129228718</v>
      </c>
      <c r="J249" s="299" t="str">
        <f>IFERROR(365/J248,"-")</f>
        <v>-</v>
      </c>
      <c r="K249" s="300" t="str">
        <f>IFERROR(365/K248,"-")</f>
        <v>-</v>
      </c>
      <c r="L249" s="200"/>
    </row>
    <row r="250" spans="1:12" s="285" customFormat="1" ht="12.75">
      <c r="A250" s="125"/>
      <c r="B250" s="214"/>
      <c r="C250" s="649" t="s">
        <v>2644</v>
      </c>
      <c r="D250" s="650"/>
      <c r="E250" s="650"/>
      <c r="F250" s="651"/>
      <c r="G250" s="299">
        <f>IFERROR(G23/G208,"-")</f>
        <v>6.0928337472606158</v>
      </c>
      <c r="H250" s="299">
        <f>IFERROR(H23/H208,"-")</f>
        <v>8.5168091344516874</v>
      </c>
      <c r="I250" s="299">
        <f>IFERROR(I23/I208,"-")</f>
        <v>4.5213498907179144</v>
      </c>
      <c r="J250" s="299" t="str">
        <f>IFERROR(J23/J208,"-")</f>
        <v>-</v>
      </c>
      <c r="K250" s="300" t="str">
        <f>IFERROR(K23/K208,"-")</f>
        <v>-</v>
      </c>
      <c r="L250" s="200"/>
    </row>
    <row r="251" spans="1:12" s="285" customFormat="1" ht="12.75">
      <c r="A251" s="125"/>
      <c r="B251" s="214"/>
      <c r="C251" s="649" t="s">
        <v>2645</v>
      </c>
      <c r="D251" s="650"/>
      <c r="E251" s="650"/>
      <c r="F251" s="651"/>
      <c r="G251" s="299">
        <f>IFERROR(365/G250,"-")</f>
        <v>59.906443395752717</v>
      </c>
      <c r="H251" s="299">
        <f>IFERROR(365/H250,"-")</f>
        <v>42.856425949892881</v>
      </c>
      <c r="I251" s="299">
        <f>IFERROR(365/I250,"-")</f>
        <v>80.728103071457738</v>
      </c>
      <c r="J251" s="299" t="str">
        <f>IFERROR(365/J250,"-")</f>
        <v>-</v>
      </c>
      <c r="K251" s="300" t="str">
        <f>IFERROR(365/K250,"-")</f>
        <v>-</v>
      </c>
      <c r="L251" s="200"/>
    </row>
    <row r="252" spans="1:12" s="285" customFormat="1" ht="12.75">
      <c r="A252" s="125"/>
      <c r="B252" s="214"/>
      <c r="C252" s="649" t="s">
        <v>2646</v>
      </c>
      <c r="D252" s="650"/>
      <c r="E252" s="650"/>
      <c r="F252" s="651"/>
      <c r="G252" s="299">
        <f>IFERROR((G26+G38)/G152,"-")</f>
        <v>4.2060755188029884</v>
      </c>
      <c r="H252" s="299">
        <f>IFERROR((H26+H38)/H152,"-")</f>
        <v>4.3354536469234883</v>
      </c>
      <c r="I252" s="299">
        <f>IFERROR((I26+I38)/I152,"-")</f>
        <v>2.764133488742083</v>
      </c>
      <c r="J252" s="299" t="str">
        <f>IFERROR((J26+J38)/J152,"-")</f>
        <v>-</v>
      </c>
      <c r="K252" s="300" t="str">
        <f>IFERROR((K26+K38)/K152,"-")</f>
        <v>-</v>
      </c>
      <c r="L252" s="200"/>
    </row>
    <row r="253" spans="1:12" s="285" customFormat="1" ht="12.75">
      <c r="A253" s="125"/>
      <c r="B253" s="214"/>
      <c r="C253" s="649" t="s">
        <v>2647</v>
      </c>
      <c r="D253" s="650"/>
      <c r="E253" s="650"/>
      <c r="F253" s="651"/>
      <c r="G253" s="299">
        <f>IFERROR(365/G252,"-")</f>
        <v>86.779231225947115</v>
      </c>
      <c r="H253" s="299">
        <f>IFERROR(365/H252,"-")</f>
        <v>84.189575007683501</v>
      </c>
      <c r="I253" s="299">
        <f>IFERROR(365/I252,"-")</f>
        <v>132.04861541115591</v>
      </c>
      <c r="J253" s="299" t="str">
        <f>IFERROR(365/J252,"-")</f>
        <v>-</v>
      </c>
      <c r="K253" s="300" t="str">
        <f>IFERROR(365/K252,"-")</f>
        <v>-</v>
      </c>
      <c r="L253" s="200"/>
    </row>
    <row r="254" spans="1:12" s="285" customFormat="1" ht="12.75">
      <c r="A254" s="125"/>
      <c r="B254" s="214"/>
      <c r="C254" s="649" t="s">
        <v>2648</v>
      </c>
      <c r="D254" s="650"/>
      <c r="E254" s="650"/>
      <c r="F254" s="651"/>
      <c r="G254" s="299">
        <f>IFERROR(G249+G251-G253,"-")</f>
        <v>-19.708416968647853</v>
      </c>
      <c r="H254" s="299">
        <f>IFERROR(H249+H251-H253,"-")</f>
        <v>-34.368987904583527</v>
      </c>
      <c r="I254" s="299">
        <f>IFERROR(I249+I251-I253,"-")</f>
        <v>10.382285789530556</v>
      </c>
      <c r="J254" s="299" t="str">
        <f>IFERROR(J249+J251-J253,"-")</f>
        <v>-</v>
      </c>
      <c r="K254" s="300" t="str">
        <f>IFERROR(K249+K251-K253,"-")</f>
        <v>-</v>
      </c>
      <c r="L254" s="200"/>
    </row>
    <row r="255" spans="1:12" s="285" customFormat="1" ht="12.75">
      <c r="A255" s="125"/>
      <c r="B255" s="214"/>
      <c r="C255" s="649" t="s">
        <v>2649</v>
      </c>
      <c r="D255" s="650"/>
      <c r="E255" s="650"/>
      <c r="F255" s="651"/>
      <c r="G255" s="299">
        <f>IFERROR(G23/(G168-G172),"-")</f>
        <v>14.390890680011879</v>
      </c>
      <c r="H255" s="299">
        <f>IFERROR(H23/(H168-H172),"-")</f>
        <v>8.6872355260213361</v>
      </c>
      <c r="I255" s="299">
        <f>IFERROR(I23/(I168-I172),"-")</f>
        <v>4.2546306223395112</v>
      </c>
      <c r="J255" s="299" t="str">
        <f>IFERROR(J23/(J168-J172),"-")</f>
        <v>-</v>
      </c>
      <c r="K255" s="300" t="str">
        <f>IFERROR(K23/(K168-K172),"-")</f>
        <v>-</v>
      </c>
      <c r="L255" s="200"/>
    </row>
    <row r="256" spans="1:12" s="285" customFormat="1" ht="12.75">
      <c r="A256" s="125"/>
      <c r="B256" s="214"/>
      <c r="C256" s="649" t="s">
        <v>2650</v>
      </c>
      <c r="D256" s="650"/>
      <c r="E256" s="650"/>
      <c r="F256" s="651"/>
      <c r="G256" s="299">
        <f>IFERROR(G23/G222,"-")</f>
        <v>2.0985427021603624</v>
      </c>
      <c r="H256" s="299">
        <f>IFERROR(H23/H222,"-")</f>
        <v>1.6181823129718955</v>
      </c>
      <c r="I256" s="299">
        <f>IFERROR(I23/I222,"-")</f>
        <v>1.2338292448538981</v>
      </c>
      <c r="J256" s="299" t="str">
        <f>IFERROR(J23/J222,"-")</f>
        <v>-</v>
      </c>
      <c r="K256" s="300" t="str">
        <f>IFERROR(K23/K222,"-")</f>
        <v>-</v>
      </c>
      <c r="L256" s="200"/>
    </row>
    <row r="257" spans="1:12" s="285" customFormat="1" ht="7.5" customHeight="1">
      <c r="A257" s="125"/>
      <c r="B257" s="214"/>
      <c r="C257" s="665"/>
      <c r="D257" s="666"/>
      <c r="E257" s="666"/>
      <c r="F257" s="666"/>
      <c r="G257" s="666"/>
      <c r="H257" s="666"/>
      <c r="I257" s="666"/>
      <c r="J257" s="666"/>
      <c r="K257" s="668"/>
      <c r="L257" s="200"/>
    </row>
    <row r="258" spans="1:12" s="309" customFormat="1" ht="16.5">
      <c r="A258" s="125"/>
      <c r="B258" s="307"/>
      <c r="C258" s="758" t="s">
        <v>2651</v>
      </c>
      <c r="D258" s="759"/>
      <c r="E258" s="759"/>
      <c r="F258" s="759"/>
      <c r="G258" s="759"/>
      <c r="H258" s="759"/>
      <c r="I258" s="759"/>
      <c r="J258" s="759"/>
      <c r="K258" s="760"/>
      <c r="L258" s="308"/>
    </row>
    <row r="259" spans="1:12" s="125" customFormat="1" ht="16.5">
      <c r="A259" s="310"/>
      <c r="B259" s="214"/>
      <c r="C259" s="649" t="s">
        <v>2652</v>
      </c>
      <c r="D259" s="650"/>
      <c r="E259" s="650"/>
      <c r="F259" s="651"/>
      <c r="G259" s="299">
        <f>IFERROR(G55/G67,"-")</f>
        <v>6.9864255415108723</v>
      </c>
      <c r="H259" s="299">
        <f>IFERROR(H65/H67,"-")</f>
        <v>6.4493417476545005</v>
      </c>
      <c r="I259" s="299">
        <f>IFERROR(I65/I67,"-")</f>
        <v>6.1469066208075178</v>
      </c>
      <c r="J259" s="299" t="str">
        <f>IFERROR(J55/J67,"-")</f>
        <v>-</v>
      </c>
      <c r="K259" s="300" t="str">
        <f>IFERROR(K55/K67,"-")</f>
        <v>-</v>
      </c>
      <c r="L259" s="200"/>
    </row>
    <row r="260" spans="1:12" s="125" customFormat="1" ht="29.25" customHeight="1">
      <c r="B260" s="214"/>
      <c r="C260" s="649" t="s">
        <v>2653</v>
      </c>
      <c r="D260" s="650"/>
      <c r="E260" s="650"/>
      <c r="F260" s="651"/>
      <c r="G260" s="313">
        <f>IF(G144+G152=0,"-",G55/(G144+G152))</f>
        <v>0.79795801337336492</v>
      </c>
      <c r="H260" s="313">
        <f>IF(H144+H152=0,"-",H55/(H144+H152))</f>
        <v>0.68646860859683034</v>
      </c>
      <c r="I260" s="313">
        <f>IF(I144+I152=0,"-",I55/(I144+I152))</f>
        <v>0.56602078229766095</v>
      </c>
      <c r="J260" s="313" t="str">
        <f>IF(J144+J152=0,"-",J55/(J144+J152))</f>
        <v>-</v>
      </c>
      <c r="K260" s="314" t="str">
        <f>IF(K144+K152=0,"-",K55/(K144+K152))</f>
        <v>-</v>
      </c>
      <c r="L260" s="200"/>
    </row>
    <row r="261" spans="1:12" s="125" customFormat="1" ht="12.75">
      <c r="B261" s="214"/>
      <c r="C261" s="649" t="s">
        <v>2654</v>
      </c>
      <c r="D261" s="650"/>
      <c r="E261" s="650"/>
      <c r="F261" s="651"/>
      <c r="G261" s="261">
        <f>IFERROR((G141+G162)/G119,"-")</f>
        <v>1.1887697401988959</v>
      </c>
      <c r="H261" s="261">
        <f>IFERROR((H141+H162)/H119,"-")</f>
        <v>1.242475493839706</v>
      </c>
      <c r="I261" s="261">
        <f>IFERROR((I141+I162)/I119,"-")</f>
        <v>1.2860805848840595</v>
      </c>
      <c r="J261" s="261" t="str">
        <f>IFERROR((J141+J162)/J119,"-")</f>
        <v>-</v>
      </c>
      <c r="K261" s="262" t="str">
        <f>IFERROR((K141+K162)/K119,"-")</f>
        <v>-</v>
      </c>
      <c r="L261" s="200"/>
    </row>
    <row r="262" spans="1:12" s="125" customFormat="1" ht="42" customHeight="1">
      <c r="B262" s="214"/>
      <c r="C262" s="649" t="s">
        <v>2655</v>
      </c>
      <c r="D262" s="650"/>
      <c r="E262" s="650"/>
      <c r="F262" s="651"/>
      <c r="G262" s="299">
        <f>IFERROR((G125+SUM(G144,G152))/(G92+G57),"-")</f>
        <v>2.3186594493989929</v>
      </c>
      <c r="H262" s="299">
        <f>IFERROR((H125+SUM(H144,H152))/(H92+H57),"-")</f>
        <v>3.0426669051320987</v>
      </c>
      <c r="I262" s="299">
        <f>IFERROR((I125+SUM(I144,I152))/(I92+I57),"-")</f>
        <v>3.5037814670986882</v>
      </c>
      <c r="J262" s="299" t="str">
        <f>IFERROR((J125+SUM(J144,J152))/(J92+J57),"-")</f>
        <v>-</v>
      </c>
      <c r="K262" s="300" t="str">
        <f>IFERROR((K125+SUM(K144,K152))/(K92+K57),"-")</f>
        <v>-</v>
      </c>
      <c r="L262" s="200"/>
    </row>
    <row r="263" spans="1:12" s="125" customFormat="1" ht="12.75">
      <c r="B263" s="214"/>
      <c r="C263" s="649" t="s">
        <v>2656</v>
      </c>
      <c r="D263" s="650"/>
      <c r="E263" s="650"/>
      <c r="F263" s="651"/>
      <c r="G263" s="299">
        <f>IFERROR(SUM(G144,G152,G125)/G119,"-")</f>
        <v>0.92137493056025033</v>
      </c>
      <c r="H263" s="299">
        <f>IFERROR(SUM(H144,H152,H125)/H119,"-")</f>
        <v>0.97252308491765316</v>
      </c>
      <c r="I263" s="299">
        <f>IFERROR(SUM(I144,I152,I125)/I119,"-")</f>
        <v>1.0773507459973852</v>
      </c>
      <c r="J263" s="299" t="str">
        <f>IFERROR(SUM(J144,J152,J125)/J119,"-")</f>
        <v>-</v>
      </c>
      <c r="K263" s="300" t="str">
        <f>IFERROR(SUM(K144,K152,K125)/K119,"-")</f>
        <v>-</v>
      </c>
      <c r="L263" s="200"/>
    </row>
    <row r="264" spans="1:12" s="125" customFormat="1" ht="12.75">
      <c r="B264" s="214"/>
      <c r="C264" s="726" t="s">
        <v>2657</v>
      </c>
      <c r="D264" s="727"/>
      <c r="E264" s="727"/>
      <c r="F264" s="728"/>
      <c r="G264" s="315">
        <f>IF(G125+G144+G152=0,"No Debt",(G222-(G173+G174)-G191-(G162-(G144+G152)))/(G125+G144+G152))</f>
        <v>2.1256427948181797</v>
      </c>
      <c r="H264" s="315">
        <f>IF(H125+H144+H152=0,"No Debt",(H222-(H173+H174)-H191-(H162-(H144+H152)))/(H125+H144+H152))</f>
        <v>2.062939265924451</v>
      </c>
      <c r="I264" s="315">
        <f>IF(I125+I144+I152=0,"No Debt",(I222-(I173+I174)-I191-(I162-(I144+I152)))/(I125+I144+I152))</f>
        <v>1.9553598775872363</v>
      </c>
      <c r="J264" s="315" t="str">
        <f>IF(J125+J144+J152=0,"No Debt",(J222-(J173+J174)-J191-(J162-(J144+J152)))/(J125+J144+J152))</f>
        <v>No Debt</v>
      </c>
      <c r="K264" s="316" t="str">
        <f>IF(K125+K144+K152=0,"No Debt",(K222-(K173+K174)-K191-(K162-(K144+K152)))/(K125+K144+K152))</f>
        <v>No Debt</v>
      </c>
      <c r="L264" s="200"/>
    </row>
    <row r="265" spans="1:12" ht="13.5" customHeight="1">
      <c r="A265" s="125"/>
      <c r="B265" s="272"/>
      <c r="C265" s="275"/>
      <c r="D265" s="275"/>
      <c r="E265" s="275"/>
      <c r="F265" s="317"/>
      <c r="G265" s="275"/>
      <c r="H265" s="275"/>
      <c r="I265" s="275"/>
      <c r="J265" s="275"/>
      <c r="K265" s="275"/>
      <c r="L265" s="318"/>
    </row>
  </sheetData>
  <mergeCells count="252">
    <mergeCell ref="B2:L2"/>
    <mergeCell ref="E68:F68"/>
    <mergeCell ref="D35:D37"/>
    <mergeCell ref="C250:F250"/>
    <mergeCell ref="C85:K85"/>
    <mergeCell ref="E151:F151"/>
    <mergeCell ref="E118:F118"/>
    <mergeCell ref="D52:F52"/>
    <mergeCell ref="C234:F234"/>
    <mergeCell ref="E201:F201"/>
    <mergeCell ref="E168:F168"/>
    <mergeCell ref="C102:K102"/>
    <mergeCell ref="E135:F135"/>
    <mergeCell ref="C229:F229"/>
    <mergeCell ref="C196:C220"/>
    <mergeCell ref="C163:F163"/>
    <mergeCell ref="D196:F196"/>
    <mergeCell ref="E130:F130"/>
    <mergeCell ref="E97:F97"/>
    <mergeCell ref="D64:F64"/>
    <mergeCell ref="E31:F31"/>
    <mergeCell ref="C246:K246"/>
    <mergeCell ref="D213:F213"/>
    <mergeCell ref="E180:F180"/>
    <mergeCell ref="C264:F264"/>
    <mergeCell ref="C231:F231"/>
    <mergeCell ref="C165:K165"/>
    <mergeCell ref="C99:F99"/>
    <mergeCell ref="C66:K66"/>
    <mergeCell ref="E132:F132"/>
    <mergeCell ref="C248:F248"/>
    <mergeCell ref="D182:F182"/>
    <mergeCell ref="E215:F215"/>
    <mergeCell ref="E149:F149"/>
    <mergeCell ref="D83:F83"/>
    <mergeCell ref="E116:F116"/>
    <mergeCell ref="C232:K232"/>
    <mergeCell ref="C166:F166"/>
    <mergeCell ref="D133:F133"/>
    <mergeCell ref="C100:F100"/>
    <mergeCell ref="C67:C80"/>
    <mergeCell ref="D67:F67"/>
    <mergeCell ref="C249:F249"/>
    <mergeCell ref="E183:F183"/>
    <mergeCell ref="E150:F150"/>
    <mergeCell ref="C84:F84"/>
    <mergeCell ref="E117:F117"/>
    <mergeCell ref="C233:K233"/>
    <mergeCell ref="C263:F263"/>
    <mergeCell ref="C230:F230"/>
    <mergeCell ref="C164:K164"/>
    <mergeCell ref="E197:F197"/>
    <mergeCell ref="C65:F65"/>
    <mergeCell ref="E131:F131"/>
    <mergeCell ref="E98:F98"/>
    <mergeCell ref="D32:D33"/>
    <mergeCell ref="C247:K247"/>
    <mergeCell ref="D214:F214"/>
    <mergeCell ref="E181:F181"/>
    <mergeCell ref="E148:F148"/>
    <mergeCell ref="C82:K82"/>
    <mergeCell ref="E115:F115"/>
    <mergeCell ref="D49:F49"/>
    <mergeCell ref="E50:F50"/>
    <mergeCell ref="E34:F34"/>
    <mergeCell ref="E51:F51"/>
    <mergeCell ref="C167:C192"/>
    <mergeCell ref="E200:F200"/>
    <mergeCell ref="D167:F167"/>
    <mergeCell ref="D134:F134"/>
    <mergeCell ref="D68:D71"/>
    <mergeCell ref="C262:F262"/>
    <mergeCell ref="C261:F261"/>
    <mergeCell ref="C228:K228"/>
    <mergeCell ref="C195:F195"/>
    <mergeCell ref="C162:F162"/>
    <mergeCell ref="E129:F129"/>
    <mergeCell ref="D96:F96"/>
    <mergeCell ref="E63:F63"/>
    <mergeCell ref="C245:F245"/>
    <mergeCell ref="E212:F212"/>
    <mergeCell ref="E179:F179"/>
    <mergeCell ref="D113:F113"/>
    <mergeCell ref="E146:F146"/>
    <mergeCell ref="E80:F80"/>
    <mergeCell ref="C260:F260"/>
    <mergeCell ref="C227:F227"/>
    <mergeCell ref="C194:K194"/>
    <mergeCell ref="C95:F95"/>
    <mergeCell ref="E161:F161"/>
    <mergeCell ref="E128:F128"/>
    <mergeCell ref="C259:F259"/>
    <mergeCell ref="C226:K226"/>
    <mergeCell ref="C193:F193"/>
    <mergeCell ref="E160:F160"/>
    <mergeCell ref="E127:F127"/>
    <mergeCell ref="D94:F94"/>
    <mergeCell ref="C258:K258"/>
    <mergeCell ref="E110:F110"/>
    <mergeCell ref="C81:F81"/>
    <mergeCell ref="E147:F147"/>
    <mergeCell ref="E114:F114"/>
    <mergeCell ref="C242:F242"/>
    <mergeCell ref="C143:F143"/>
    <mergeCell ref="E209:F209"/>
    <mergeCell ref="E176:F176"/>
    <mergeCell ref="C244:F244"/>
    <mergeCell ref="E211:F211"/>
    <mergeCell ref="E178:F178"/>
    <mergeCell ref="E145:F145"/>
    <mergeCell ref="E112:F112"/>
    <mergeCell ref="C257:K257"/>
    <mergeCell ref="C224:F224"/>
    <mergeCell ref="E191:F191"/>
    <mergeCell ref="D158:F158"/>
    <mergeCell ref="D125:F125"/>
    <mergeCell ref="C92:F92"/>
    <mergeCell ref="E59:F59"/>
    <mergeCell ref="D61:F61"/>
    <mergeCell ref="D28:D30"/>
    <mergeCell ref="C243:F243"/>
    <mergeCell ref="E210:F210"/>
    <mergeCell ref="D177:F177"/>
    <mergeCell ref="C144:C161"/>
    <mergeCell ref="D144:F144"/>
    <mergeCell ref="E111:F111"/>
    <mergeCell ref="E78:F78"/>
    <mergeCell ref="D45:F45"/>
    <mergeCell ref="C46:C54"/>
    <mergeCell ref="E46:F46"/>
    <mergeCell ref="E47:F47"/>
    <mergeCell ref="E192:F192"/>
    <mergeCell ref="E159:F159"/>
    <mergeCell ref="C93:K93"/>
    <mergeCell ref="E126:F126"/>
    <mergeCell ref="C241:K241"/>
    <mergeCell ref="D208:F208"/>
    <mergeCell ref="C142:K142"/>
    <mergeCell ref="E175:F175"/>
    <mergeCell ref="E109:F109"/>
    <mergeCell ref="C43:F43"/>
    <mergeCell ref="E76:F76"/>
    <mergeCell ref="C256:F256"/>
    <mergeCell ref="D157:F157"/>
    <mergeCell ref="E190:F190"/>
    <mergeCell ref="C124:F124"/>
    <mergeCell ref="D91:F91"/>
    <mergeCell ref="D58:F58"/>
    <mergeCell ref="C255:F255"/>
    <mergeCell ref="C254:F254"/>
    <mergeCell ref="C221:F221"/>
    <mergeCell ref="D188:F188"/>
    <mergeCell ref="C122:K122"/>
    <mergeCell ref="E155:F155"/>
    <mergeCell ref="C56:K56"/>
    <mergeCell ref="D89:F89"/>
    <mergeCell ref="C253:F253"/>
    <mergeCell ref="C251:F251"/>
    <mergeCell ref="C44:K44"/>
    <mergeCell ref="C240:K240"/>
    <mergeCell ref="E207:F207"/>
    <mergeCell ref="C141:F141"/>
    <mergeCell ref="E174:F174"/>
    <mergeCell ref="C108:C118"/>
    <mergeCell ref="E108:F108"/>
    <mergeCell ref="E75:F75"/>
    <mergeCell ref="E42:F42"/>
    <mergeCell ref="C222:F222"/>
    <mergeCell ref="D189:F189"/>
    <mergeCell ref="C123:F123"/>
    <mergeCell ref="E156:F156"/>
    <mergeCell ref="C90:C91"/>
    <mergeCell ref="D90:F90"/>
    <mergeCell ref="C57:C64"/>
    <mergeCell ref="D57:F57"/>
    <mergeCell ref="C239:F239"/>
    <mergeCell ref="E206:F206"/>
    <mergeCell ref="E173:F173"/>
    <mergeCell ref="D140:F140"/>
    <mergeCell ref="D107:F107"/>
    <mergeCell ref="D74:D80"/>
    <mergeCell ref="E74:F74"/>
    <mergeCell ref="E77:F77"/>
    <mergeCell ref="C238:F238"/>
    <mergeCell ref="E205:F205"/>
    <mergeCell ref="C106:F106"/>
    <mergeCell ref="E172:F172"/>
    <mergeCell ref="E139:F139"/>
    <mergeCell ref="D73:F73"/>
    <mergeCell ref="E40:F40"/>
    <mergeCell ref="C24:K24"/>
    <mergeCell ref="E41:F41"/>
    <mergeCell ref="D220:F220"/>
    <mergeCell ref="E187:F187"/>
    <mergeCell ref="C121:F121"/>
    <mergeCell ref="E154:F154"/>
    <mergeCell ref="C55:F55"/>
    <mergeCell ref="E88:F88"/>
    <mergeCell ref="C25:F25"/>
    <mergeCell ref="D26:F26"/>
    <mergeCell ref="C27:C42"/>
    <mergeCell ref="E60:F60"/>
    <mergeCell ref="E27:F27"/>
    <mergeCell ref="E79:F79"/>
    <mergeCell ref="E48:F48"/>
    <mergeCell ref="E62:F62"/>
    <mergeCell ref="D22:F22"/>
    <mergeCell ref="C237:F237"/>
    <mergeCell ref="E204:F204"/>
    <mergeCell ref="C105:K105"/>
    <mergeCell ref="E138:F138"/>
    <mergeCell ref="E72:F72"/>
    <mergeCell ref="E39:F39"/>
    <mergeCell ref="C12:C22"/>
    <mergeCell ref="E12:F12"/>
    <mergeCell ref="D13:D15"/>
    <mergeCell ref="E16:F16"/>
    <mergeCell ref="D17:D19"/>
    <mergeCell ref="C119:F119"/>
    <mergeCell ref="D152:F152"/>
    <mergeCell ref="D86:F86"/>
    <mergeCell ref="E53:F53"/>
    <mergeCell ref="E20:F20"/>
    <mergeCell ref="C235:F235"/>
    <mergeCell ref="E202:F202"/>
    <mergeCell ref="C103:F103"/>
    <mergeCell ref="E136:F136"/>
    <mergeCell ref="C23:F23"/>
    <mergeCell ref="C4:E4"/>
    <mergeCell ref="E70:F70"/>
    <mergeCell ref="C252:F252"/>
    <mergeCell ref="E219:F219"/>
    <mergeCell ref="C120:K120"/>
    <mergeCell ref="C87:C89"/>
    <mergeCell ref="E153:F153"/>
    <mergeCell ref="E87:F87"/>
    <mergeCell ref="D21:F21"/>
    <mergeCell ref="E54:F54"/>
    <mergeCell ref="C236:F236"/>
    <mergeCell ref="D203:F203"/>
    <mergeCell ref="D137:F137"/>
    <mergeCell ref="C104:K104"/>
    <mergeCell ref="E71:F71"/>
    <mergeCell ref="C5:K5"/>
    <mergeCell ref="D38:F38"/>
    <mergeCell ref="C6:F6"/>
    <mergeCell ref="C7:F7"/>
    <mergeCell ref="C8:F8"/>
    <mergeCell ref="C9:F9"/>
    <mergeCell ref="C10:F10"/>
    <mergeCell ref="D11:F11"/>
    <mergeCell ref="E69:F69"/>
  </mergeCells>
  <conditionalFormatting sqref="G11:K140">
    <cfRule type="expression" dxfId="66" priority="2">
      <formula>G$7=""</formula>
    </cfRule>
  </conditionalFormatting>
  <conditionalFormatting sqref="G144:K161">
    <cfRule type="expression" dxfId="65" priority="3">
      <formula>G$7=""</formula>
    </cfRule>
  </conditionalFormatting>
  <conditionalFormatting sqref="G167:K192">
    <cfRule type="expression" dxfId="64" priority="4">
      <formula>G$7=""</formula>
    </cfRule>
  </conditionalFormatting>
  <conditionalFormatting sqref="G196:K220">
    <cfRule type="expression" dxfId="63" priority="5">
      <formula>G$7=""</formula>
    </cfRule>
  </conditionalFormatting>
  <conditionalFormatting sqref="G224:K224 G229:K231 G234:K239 G242:K245 G248:K256 G259:K264">
    <cfRule type="expression" dxfId="62" priority="1">
      <formula>G$7=""</formula>
    </cfRule>
  </conditionalFormatting>
  <dataValidations count="3">
    <dataValidation type="list" allowBlank="1" showErrorMessage="1" errorTitle="The value you entered is not valid." error="The value entered violates data validation rules set in cell" sqref="G9:K9" xr:uid="{00000000-0002-0000-0D00-000000000000}">
      <formula1>"Material Qualification,Unqualified,No opinion / Unknown"</formula1>
    </dataValidation>
    <dataValidation type="list" allowBlank="1" showErrorMessage="1" errorTitle="The value you entered is not valid." error="The value entered violates data validation rules set in cell" sqref="K4" xr:uid="{00000000-0002-0000-0D00-000001000000}">
      <formula1>"Actuals, Thousands, Lakhs, Millions, Crores"</formula1>
    </dataValidation>
    <dataValidation type="list" allowBlank="1" showErrorMessage="1" errorTitle="The value you entered is not valid." error="The value entered violates data validation rules set in cell" sqref="G7:K7" xr:uid="{00000000-0002-0000-0D00-000002000000}">
      <formula1>"Audited,Unaudited,Provisional,Projection"</formula1>
    </dataValidation>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tabColor rgb="FF0F243F"/>
  </sheetPr>
  <dimension ref="A2:AMJ265"/>
  <sheetViews>
    <sheetView workbookViewId="0"/>
  </sheetViews>
  <sheetFormatPr defaultRowHeight="15.75" customHeight="1" outlineLevelRow="2"/>
  <cols>
    <col min="1" max="5" width="2.5703125" style="124"/>
    <col min="6" max="6" width="49.28515625" style="126"/>
    <col min="7" max="7" width="16.140625" style="124"/>
    <col min="8" max="8" width="19.7109375" style="124"/>
    <col min="9" max="9" width="18.42578125" style="124"/>
    <col min="10" max="11" width="16.140625" style="124"/>
    <col min="12" max="12" width="2" style="124"/>
    <col min="13" max="13" width="23.140625" style="124"/>
    <col min="14" max="15" width="13.42578125" style="124"/>
    <col min="16" max="1024" width="9.85546875" style="124"/>
    <col min="1025" max="1025" width="11.42578125"/>
  </cols>
  <sheetData>
    <row r="2" spans="2:12" ht="26.25" customHeight="1">
      <c r="B2" s="738" t="s">
        <v>2658</v>
      </c>
      <c r="C2" s="739"/>
      <c r="D2" s="739"/>
      <c r="E2" s="739"/>
      <c r="F2" s="739"/>
      <c r="G2" s="739"/>
      <c r="H2" s="739"/>
      <c r="I2" s="739"/>
      <c r="J2" s="739"/>
      <c r="K2" s="739"/>
      <c r="L2" s="740"/>
    </row>
    <row r="3" spans="2:12" ht="15">
      <c r="B3" s="189"/>
      <c r="F3" s="124"/>
      <c r="G3" s="125"/>
      <c r="L3" s="128"/>
    </row>
    <row r="4" spans="2:12" ht="15">
      <c r="B4" s="189"/>
      <c r="C4" s="755" t="s">
        <v>2659</v>
      </c>
      <c r="D4" s="755"/>
      <c r="E4" s="755"/>
      <c r="F4" s="342"/>
      <c r="G4" s="125"/>
      <c r="J4" s="191" t="s">
        <v>2660</v>
      </c>
      <c r="K4" s="192" t="s">
        <v>2661</v>
      </c>
      <c r="L4" s="128"/>
    </row>
    <row r="5" spans="2:12" ht="19.5">
      <c r="B5" s="127"/>
      <c r="C5" s="630" t="s">
        <v>2662</v>
      </c>
      <c r="D5" s="631"/>
      <c r="E5" s="631"/>
      <c r="F5" s="631"/>
      <c r="G5" s="631"/>
      <c r="H5" s="631"/>
      <c r="I5" s="631"/>
      <c r="J5" s="631"/>
      <c r="K5" s="632"/>
      <c r="L5" s="128"/>
    </row>
    <row r="6" spans="2:12" s="193" customFormat="1" ht="19.5" customHeight="1">
      <c r="B6" s="194"/>
      <c r="C6" s="633" t="s">
        <v>2663</v>
      </c>
      <c r="D6" s="634"/>
      <c r="E6" s="634"/>
      <c r="F6" s="634"/>
      <c r="G6" s="195" t="str">
        <f>IFERROR(EDATE(H6,-12),"-")</f>
        <v>-</v>
      </c>
      <c r="H6" s="195" t="str">
        <f>IFERROR(EDATE(I6,-12),"-")</f>
        <v>-</v>
      </c>
      <c r="I6" s="195"/>
      <c r="J6" s="195">
        <f>IFERROR(EDATE(I6,12),"-")</f>
        <v>366</v>
      </c>
      <c r="K6" s="196">
        <f>IFERROR(EDATE(J6,12),"-")</f>
        <v>731</v>
      </c>
      <c r="L6" s="197"/>
    </row>
    <row r="7" spans="2:12" s="125" customFormat="1" ht="16.5" customHeight="1">
      <c r="B7" s="189"/>
      <c r="C7" s="635" t="s">
        <v>2664</v>
      </c>
      <c r="D7" s="636"/>
      <c r="E7" s="636"/>
      <c r="F7" s="637"/>
      <c r="G7" s="199" t="s">
        <v>2665</v>
      </c>
      <c r="H7" s="199" t="s">
        <v>2666</v>
      </c>
      <c r="I7" s="199" t="s">
        <v>2667</v>
      </c>
      <c r="J7" s="199" t="s">
        <v>2668</v>
      </c>
      <c r="K7" s="199" t="s">
        <v>2669</v>
      </c>
      <c r="L7" s="200"/>
    </row>
    <row r="8" spans="2:12" s="201" customFormat="1" ht="12.75">
      <c r="B8" s="202"/>
      <c r="C8" s="638" t="s">
        <v>2670</v>
      </c>
      <c r="D8" s="639"/>
      <c r="E8" s="639"/>
      <c r="F8" s="640"/>
      <c r="G8" s="203"/>
      <c r="H8" s="203"/>
      <c r="I8" s="203"/>
      <c r="J8" s="203"/>
      <c r="K8" s="204"/>
      <c r="L8" s="205"/>
    </row>
    <row r="9" spans="2:12" s="201" customFormat="1" ht="12.75">
      <c r="B9" s="202"/>
      <c r="C9" s="641" t="s">
        <v>2671</v>
      </c>
      <c r="D9" s="642"/>
      <c r="E9" s="642"/>
      <c r="F9" s="643"/>
      <c r="G9" s="206"/>
      <c r="H9" s="206"/>
      <c r="I9" s="206"/>
      <c r="J9" s="206"/>
      <c r="K9" s="207"/>
      <c r="L9" s="205"/>
    </row>
    <row r="10" spans="2:12" ht="17.25" customHeight="1">
      <c r="B10" s="127"/>
      <c r="C10" s="644" t="s">
        <v>2672</v>
      </c>
      <c r="D10" s="645"/>
      <c r="E10" s="645"/>
      <c r="F10" s="645"/>
      <c r="G10" s="208"/>
      <c r="H10" s="208"/>
      <c r="I10" s="208"/>
      <c r="J10" s="208"/>
      <c r="K10" s="209"/>
      <c r="L10" s="128"/>
    </row>
    <row r="11" spans="2:12" ht="17.25" customHeight="1">
      <c r="B11" s="127"/>
      <c r="C11" s="210"/>
      <c r="D11" s="611" t="s">
        <v>2673</v>
      </c>
      <c r="E11" s="612"/>
      <c r="F11" s="613"/>
      <c r="G11" s="212">
        <f>SUM(G12,G16,G20)</f>
        <v>0</v>
      </c>
      <c r="H11" s="212">
        <f>SUM(H12,H16,H20)</f>
        <v>0</v>
      </c>
      <c r="I11" s="212">
        <f>SUM(I12,I16,I20)</f>
        <v>0</v>
      </c>
      <c r="J11" s="212">
        <f>SUM(J12,J16,J20)</f>
        <v>0</v>
      </c>
      <c r="K11" s="213">
        <f>SUM(K12,K16,K20)</f>
        <v>0</v>
      </c>
      <c r="L11" s="128"/>
    </row>
    <row r="12" spans="2:12" s="125" customFormat="1" ht="12.75" outlineLevel="1">
      <c r="B12" s="214"/>
      <c r="C12" s="657"/>
      <c r="D12" s="215"/>
      <c r="E12" s="659" t="s">
        <v>2674</v>
      </c>
      <c r="F12" s="660"/>
      <c r="G12" s="216">
        <f>SUM(G13:G15)</f>
        <v>0</v>
      </c>
      <c r="H12" s="216">
        <f>SUM(H13:H15)</f>
        <v>0</v>
      </c>
      <c r="I12" s="216">
        <f>SUM(I13:I15)</f>
        <v>0</v>
      </c>
      <c r="J12" s="216">
        <f>SUM(J13:J15)</f>
        <v>0</v>
      </c>
      <c r="K12" s="217">
        <f>SUM(K13:K15)</f>
        <v>0</v>
      </c>
      <c r="L12" s="200"/>
    </row>
    <row r="13" spans="2:12" s="218" customFormat="1" ht="14.25" customHeight="1" outlineLevel="2">
      <c r="B13" s="219"/>
      <c r="C13" s="657"/>
      <c r="D13" s="661"/>
      <c r="E13" s="220"/>
      <c r="F13" s="221" t="s">
        <v>2675</v>
      </c>
      <c r="G13" s="223"/>
      <c r="H13" s="223"/>
      <c r="I13" s="223"/>
      <c r="J13" s="223"/>
      <c r="K13" s="224"/>
      <c r="L13" s="225"/>
    </row>
    <row r="14" spans="2:12" s="218" customFormat="1" ht="14.25" customHeight="1" outlineLevel="2">
      <c r="B14" s="219"/>
      <c r="C14" s="657"/>
      <c r="D14" s="661"/>
      <c r="F14" s="226" t="s">
        <v>2676</v>
      </c>
      <c r="G14" s="227"/>
      <c r="H14" s="227"/>
      <c r="I14" s="227"/>
      <c r="J14" s="227"/>
      <c r="K14" s="228"/>
      <c r="L14" s="225"/>
    </row>
    <row r="15" spans="2:12" s="218" customFormat="1" ht="14.25" customHeight="1" outlineLevel="2">
      <c r="B15" s="219"/>
      <c r="C15" s="657"/>
      <c r="D15" s="661"/>
      <c r="F15" s="226" t="s">
        <v>2677</v>
      </c>
      <c r="G15" s="227"/>
      <c r="H15" s="227"/>
      <c r="I15" s="227"/>
      <c r="J15" s="227"/>
      <c r="K15" s="228"/>
      <c r="L15" s="225"/>
    </row>
    <row r="16" spans="2:12" s="125" customFormat="1" ht="12.75" outlineLevel="1">
      <c r="B16" s="214"/>
      <c r="C16" s="657"/>
      <c r="E16" s="611" t="s">
        <v>2678</v>
      </c>
      <c r="F16" s="613"/>
      <c r="G16" s="229">
        <f>SUM(G17:G19)</f>
        <v>0</v>
      </c>
      <c r="H16" s="229">
        <f>SUM(H17:H19)</f>
        <v>0</v>
      </c>
      <c r="I16" s="229">
        <f>SUM(I17:I19)</f>
        <v>0</v>
      </c>
      <c r="J16" s="229">
        <f>SUM(J17:J19)</f>
        <v>0</v>
      </c>
      <c r="K16" s="230">
        <f>SUM(K17:K19)</f>
        <v>0</v>
      </c>
      <c r="L16" s="200"/>
    </row>
    <row r="17" spans="2:12" s="218" customFormat="1" ht="14.25" customHeight="1" outlineLevel="2">
      <c r="B17" s="219"/>
      <c r="C17" s="657"/>
      <c r="D17" s="661"/>
      <c r="E17" s="220"/>
      <c r="F17" s="221" t="s">
        <v>2679</v>
      </c>
      <c r="G17" s="223"/>
      <c r="H17" s="223"/>
      <c r="I17" s="223"/>
      <c r="J17" s="223"/>
      <c r="K17" s="224"/>
      <c r="L17" s="225"/>
    </row>
    <row r="18" spans="2:12" s="218" customFormat="1" ht="14.25" customHeight="1" outlineLevel="2">
      <c r="B18" s="219"/>
      <c r="C18" s="657"/>
      <c r="D18" s="661"/>
      <c r="F18" s="226" t="s">
        <v>2680</v>
      </c>
      <c r="G18" s="227"/>
      <c r="H18" s="227"/>
      <c r="I18" s="227"/>
      <c r="J18" s="227"/>
      <c r="K18" s="228"/>
      <c r="L18" s="225"/>
    </row>
    <row r="19" spans="2:12" s="218" customFormat="1" ht="14.25" customHeight="1" outlineLevel="2">
      <c r="B19" s="219"/>
      <c r="C19" s="657"/>
      <c r="D19" s="661"/>
      <c r="F19" s="226" t="s">
        <v>2681</v>
      </c>
      <c r="G19" s="227"/>
      <c r="H19" s="227"/>
      <c r="I19" s="227"/>
      <c r="J19" s="227"/>
      <c r="K19" s="228"/>
      <c r="L19" s="225"/>
    </row>
    <row r="20" spans="2:12" s="218" customFormat="1" ht="14.25" customHeight="1" outlineLevel="1">
      <c r="B20" s="219"/>
      <c r="C20" s="657"/>
      <c r="E20" s="611" t="s">
        <v>2682</v>
      </c>
      <c r="F20" s="613"/>
      <c r="G20" s="227"/>
      <c r="H20" s="227"/>
      <c r="I20" s="227"/>
      <c r="J20" s="227"/>
      <c r="K20" s="228"/>
      <c r="L20" s="225"/>
    </row>
    <row r="21" spans="2:12" s="125" customFormat="1" ht="12.75">
      <c r="B21" s="214"/>
      <c r="C21" s="657"/>
      <c r="D21" s="611" t="s">
        <v>2683</v>
      </c>
      <c r="E21" s="612"/>
      <c r="F21" s="613"/>
      <c r="G21" s="212"/>
      <c r="H21" s="212"/>
      <c r="I21" s="212"/>
      <c r="J21" s="212"/>
      <c r="K21" s="213"/>
      <c r="L21" s="200"/>
    </row>
    <row r="22" spans="2:12" s="125" customFormat="1" ht="12.75">
      <c r="B22" s="214"/>
      <c r="C22" s="658"/>
      <c r="D22" s="646" t="s">
        <v>2684</v>
      </c>
      <c r="E22" s="647"/>
      <c r="F22" s="648"/>
      <c r="G22" s="344"/>
      <c r="H22" s="344"/>
      <c r="I22" s="344"/>
      <c r="J22" s="344"/>
      <c r="K22" s="345"/>
      <c r="L22" s="200"/>
    </row>
    <row r="23" spans="2:12" ht="17.25" customHeight="1">
      <c r="B23" s="127"/>
      <c r="C23" s="609" t="s">
        <v>2685</v>
      </c>
      <c r="D23" s="610"/>
      <c r="E23" s="610"/>
      <c r="F23" s="610"/>
      <c r="G23" s="233">
        <f>SUM(G11+G21)-G22</f>
        <v>0</v>
      </c>
      <c r="H23" s="233">
        <f>SUM(H11+H21)-H22</f>
        <v>0</v>
      </c>
      <c r="I23" s="233">
        <f>SUM(I11+I21)-I22</f>
        <v>0</v>
      </c>
      <c r="J23" s="233">
        <f>SUM(J11+J21)-J22</f>
        <v>0</v>
      </c>
      <c r="K23" s="234">
        <f>SUM(K11+K21)-K22</f>
        <v>0</v>
      </c>
      <c r="L23" s="128"/>
    </row>
    <row r="24" spans="2:12" ht="7.5" customHeight="1">
      <c r="B24" s="127"/>
      <c r="C24" s="671"/>
      <c r="D24" s="672"/>
      <c r="E24" s="672"/>
      <c r="F24" s="672"/>
      <c r="G24" s="672"/>
      <c r="H24" s="672"/>
      <c r="I24" s="672"/>
      <c r="J24" s="672"/>
      <c r="K24" s="673"/>
      <c r="L24" s="128"/>
    </row>
    <row r="25" spans="2:12" ht="17.25" customHeight="1">
      <c r="B25" s="127"/>
      <c r="C25" s="684" t="s">
        <v>2686</v>
      </c>
      <c r="D25" s="685"/>
      <c r="E25" s="685"/>
      <c r="F25" s="685"/>
      <c r="G25" s="218"/>
      <c r="H25" s="218"/>
      <c r="I25" s="218"/>
      <c r="J25" s="218"/>
      <c r="K25" s="225"/>
      <c r="L25" s="225"/>
    </row>
    <row r="26" spans="2:12" ht="17.25" customHeight="1">
      <c r="B26" s="127"/>
      <c r="C26" s="236"/>
      <c r="D26" s="611" t="s">
        <v>2687</v>
      </c>
      <c r="E26" s="612"/>
      <c r="F26" s="613"/>
      <c r="G26" s="229">
        <f>G27+G31+G34</f>
        <v>0</v>
      </c>
      <c r="H26" s="229">
        <f>H27+H31+H34</f>
        <v>0</v>
      </c>
      <c r="I26" s="229">
        <f>I27+I31+I34</f>
        <v>0</v>
      </c>
      <c r="J26" s="229">
        <f>J27+J31+J34</f>
        <v>0</v>
      </c>
      <c r="K26" s="230">
        <f>K27+K31+K34</f>
        <v>0</v>
      </c>
      <c r="L26" s="225"/>
    </row>
    <row r="27" spans="2:12" s="125" customFormat="1" ht="12.75" outlineLevel="1">
      <c r="B27" s="214"/>
      <c r="C27" s="657"/>
      <c r="D27" s="215"/>
      <c r="E27" s="718" t="s">
        <v>2688</v>
      </c>
      <c r="F27" s="719"/>
      <c r="G27" s="216">
        <f>G29+G28-G30</f>
        <v>0</v>
      </c>
      <c r="H27" s="216">
        <f>H29+H28-H30</f>
        <v>0</v>
      </c>
      <c r="I27" s="216">
        <f>I29+I28-I30</f>
        <v>0</v>
      </c>
      <c r="J27" s="216">
        <f>J29+J28-J30</f>
        <v>0</v>
      </c>
      <c r="K27" s="217">
        <f>K29+K28-K30</f>
        <v>0</v>
      </c>
      <c r="L27" s="200"/>
    </row>
    <row r="28" spans="2:12" s="218" customFormat="1" ht="14.25" customHeight="1" outlineLevel="2">
      <c r="B28" s="219"/>
      <c r="C28" s="657"/>
      <c r="D28" s="661"/>
      <c r="E28" s="220"/>
      <c r="F28" s="221" t="s">
        <v>2689</v>
      </c>
      <c r="G28" s="223"/>
      <c r="H28" s="223"/>
      <c r="I28" s="223"/>
      <c r="J28" s="346"/>
      <c r="K28" s="224"/>
      <c r="L28" s="225"/>
    </row>
    <row r="29" spans="2:12" s="218" customFormat="1" ht="17.25" customHeight="1" outlineLevel="2">
      <c r="B29" s="219"/>
      <c r="C29" s="657"/>
      <c r="D29" s="661"/>
      <c r="F29" s="226" t="s">
        <v>2690</v>
      </c>
      <c r="G29" s="227"/>
      <c r="H29" s="227"/>
      <c r="I29" s="227"/>
      <c r="J29" s="227"/>
      <c r="K29" s="228"/>
      <c r="L29" s="225"/>
    </row>
    <row r="30" spans="2:12" s="218" customFormat="1" ht="17.25" customHeight="1" outlineLevel="2">
      <c r="B30" s="219"/>
      <c r="C30" s="657"/>
      <c r="D30" s="661"/>
      <c r="F30" s="226" t="s">
        <v>2691</v>
      </c>
      <c r="G30" s="227"/>
      <c r="H30" s="227"/>
      <c r="I30" s="227"/>
      <c r="J30" s="227"/>
      <c r="K30" s="228"/>
      <c r="L30" s="225"/>
    </row>
    <row r="31" spans="2:12" s="125" customFormat="1" ht="17.25" customHeight="1" outlineLevel="1">
      <c r="B31" s="214"/>
      <c r="C31" s="657"/>
      <c r="E31" s="724" t="s">
        <v>2692</v>
      </c>
      <c r="F31" s="725"/>
      <c r="G31" s="229">
        <f>G32-G33</f>
        <v>0</v>
      </c>
      <c r="H31" s="229">
        <f>H32-H33</f>
        <v>0</v>
      </c>
      <c r="I31" s="229">
        <f>I32-I33</f>
        <v>0</v>
      </c>
      <c r="J31" s="229">
        <f>J32-J33</f>
        <v>0</v>
      </c>
      <c r="K31" s="230">
        <f>K32-K33</f>
        <v>0</v>
      </c>
      <c r="L31" s="200"/>
    </row>
    <row r="32" spans="2:12" s="218" customFormat="1" ht="14.25" customHeight="1" outlineLevel="2">
      <c r="B32" s="219"/>
      <c r="C32" s="657"/>
      <c r="D32" s="661"/>
      <c r="E32" s="220"/>
      <c r="F32" s="221" t="s">
        <v>2693</v>
      </c>
      <c r="G32" s="223"/>
      <c r="H32" s="223"/>
      <c r="I32" s="223"/>
      <c r="J32" s="223"/>
      <c r="K32" s="224"/>
      <c r="L32" s="225"/>
    </row>
    <row r="33" spans="2:12" s="218" customFormat="1" ht="14.25" customHeight="1" outlineLevel="2">
      <c r="B33" s="219"/>
      <c r="C33" s="657"/>
      <c r="D33" s="661"/>
      <c r="F33" s="226" t="s">
        <v>2694</v>
      </c>
      <c r="G33" s="227"/>
      <c r="H33" s="227"/>
      <c r="I33" s="227"/>
      <c r="J33" s="227"/>
      <c r="K33" s="228"/>
      <c r="L33" s="225"/>
    </row>
    <row r="34" spans="2:12" s="125" customFormat="1" ht="12.75" outlineLevel="1">
      <c r="B34" s="214"/>
      <c r="C34" s="657"/>
      <c r="E34" s="724" t="s">
        <v>2695</v>
      </c>
      <c r="F34" s="725"/>
      <c r="G34" s="229">
        <f>G36+G35-G37</f>
        <v>0</v>
      </c>
      <c r="H34" s="229">
        <f>H36+H35-H37</f>
        <v>0</v>
      </c>
      <c r="I34" s="229">
        <f>I36+I35-I37</f>
        <v>0</v>
      </c>
      <c r="J34" s="229">
        <f>J36+J35-J37</f>
        <v>0</v>
      </c>
      <c r="K34" s="230">
        <f>K36+K35-K37</f>
        <v>0</v>
      </c>
      <c r="L34" s="200"/>
    </row>
    <row r="35" spans="2:12" s="218" customFormat="1" ht="14.25" customHeight="1" outlineLevel="1">
      <c r="B35" s="219"/>
      <c r="C35" s="657"/>
      <c r="D35" s="661"/>
      <c r="E35" s="220"/>
      <c r="F35" s="221" t="s">
        <v>2696</v>
      </c>
      <c r="G35" s="223"/>
      <c r="H35" s="223"/>
      <c r="I35" s="223"/>
      <c r="J35" s="223"/>
      <c r="K35" s="224"/>
      <c r="L35" s="225"/>
    </row>
    <row r="36" spans="2:12" s="218" customFormat="1" ht="14.25" customHeight="1" outlineLevel="1">
      <c r="B36" s="219"/>
      <c r="C36" s="657"/>
      <c r="D36" s="661"/>
      <c r="F36" s="226" t="s">
        <v>2697</v>
      </c>
      <c r="G36" s="227"/>
      <c r="H36" s="227"/>
      <c r="I36" s="227"/>
      <c r="J36" s="227"/>
      <c r="K36" s="228"/>
      <c r="L36" s="225"/>
    </row>
    <row r="37" spans="2:12" s="218" customFormat="1" ht="14.25" customHeight="1" outlineLevel="1">
      <c r="B37" s="219"/>
      <c r="C37" s="657"/>
      <c r="D37" s="661"/>
      <c r="F37" s="226" t="s">
        <v>2698</v>
      </c>
      <c r="G37" s="227"/>
      <c r="H37" s="227"/>
      <c r="I37" s="227"/>
      <c r="J37" s="227"/>
      <c r="K37" s="228"/>
      <c r="L37" s="225"/>
    </row>
    <row r="38" spans="2:12" s="218" customFormat="1" ht="14.25" customHeight="1">
      <c r="B38" s="219"/>
      <c r="C38" s="657"/>
      <c r="D38" s="611" t="s">
        <v>2699</v>
      </c>
      <c r="E38" s="612"/>
      <c r="F38" s="613"/>
      <c r="G38" s="227">
        <f>SUM(G39:G42)</f>
        <v>0</v>
      </c>
      <c r="H38" s="227">
        <f>SUM(H39:H42)</f>
        <v>0</v>
      </c>
      <c r="I38" s="227">
        <f>SUM(I39:I42)</f>
        <v>0</v>
      </c>
      <c r="J38" s="227">
        <f>SUM(J39:J42)</f>
        <v>0</v>
      </c>
      <c r="K38" s="228">
        <f>SUM(K39:K42)</f>
        <v>0</v>
      </c>
      <c r="L38" s="225"/>
    </row>
    <row r="39" spans="2:12" s="218" customFormat="1" ht="12" outlineLevel="1">
      <c r="B39" s="219"/>
      <c r="C39" s="657"/>
      <c r="D39" s="220"/>
      <c r="E39" s="616" t="s">
        <v>2700</v>
      </c>
      <c r="F39" s="617"/>
      <c r="G39" s="223"/>
      <c r="H39" s="223"/>
      <c r="I39" s="223"/>
      <c r="J39" s="223"/>
      <c r="K39" s="224"/>
      <c r="L39" s="225"/>
    </row>
    <row r="40" spans="2:12" s="218" customFormat="1" ht="12" outlineLevel="1">
      <c r="B40" s="219"/>
      <c r="C40" s="657"/>
      <c r="E40" s="626" t="s">
        <v>2701</v>
      </c>
      <c r="F40" s="627"/>
      <c r="G40" s="227"/>
      <c r="H40" s="227"/>
      <c r="I40" s="227"/>
      <c r="J40" s="227"/>
      <c r="K40" s="228"/>
      <c r="L40" s="225"/>
    </row>
    <row r="41" spans="2:12" s="218" customFormat="1" ht="12" outlineLevel="1">
      <c r="B41" s="219"/>
      <c r="C41" s="657"/>
      <c r="E41" s="626" t="s">
        <v>2702</v>
      </c>
      <c r="F41" s="627"/>
      <c r="G41" s="227"/>
      <c r="H41" s="227"/>
      <c r="I41" s="227"/>
      <c r="J41" s="227"/>
      <c r="K41" s="228"/>
      <c r="L41" s="225"/>
    </row>
    <row r="42" spans="2:12" s="218" customFormat="1" ht="12" outlineLevel="1">
      <c r="B42" s="219"/>
      <c r="C42" s="658"/>
      <c r="D42" s="241"/>
      <c r="E42" s="663" t="s">
        <v>2703</v>
      </c>
      <c r="F42" s="664"/>
      <c r="G42" s="227"/>
      <c r="H42" s="227"/>
      <c r="I42" s="227"/>
      <c r="J42" s="227"/>
      <c r="K42" s="228"/>
      <c r="L42" s="225"/>
    </row>
    <row r="43" spans="2:12" ht="17.25" customHeight="1">
      <c r="B43" s="127"/>
      <c r="C43" s="609" t="s">
        <v>2704</v>
      </c>
      <c r="D43" s="610"/>
      <c r="E43" s="610"/>
      <c r="F43" s="610" t="s">
        <v>2705</v>
      </c>
      <c r="G43" s="233">
        <f>G23-SUM(G26,G38)</f>
        <v>0</v>
      </c>
      <c r="H43" s="233">
        <f>H23-SUM(H26,H38)</f>
        <v>0</v>
      </c>
      <c r="I43" s="233">
        <f>I23-SUM(I26,I38)</f>
        <v>0</v>
      </c>
      <c r="J43" s="233">
        <f>J23-SUM(J26,J38)</f>
        <v>0</v>
      </c>
      <c r="K43" s="234">
        <f>K23-SUM(K26,K38)</f>
        <v>0</v>
      </c>
      <c r="L43" s="128"/>
    </row>
    <row r="44" spans="2:12" ht="7.5" customHeight="1">
      <c r="B44" s="127"/>
      <c r="C44" s="671"/>
      <c r="D44" s="672"/>
      <c r="E44" s="672"/>
      <c r="F44" s="672"/>
      <c r="G44" s="672"/>
      <c r="H44" s="672"/>
      <c r="I44" s="672"/>
      <c r="J44" s="672"/>
      <c r="K44" s="673"/>
      <c r="L44" s="128"/>
    </row>
    <row r="45" spans="2:12" s="125" customFormat="1" ht="12.75">
      <c r="B45" s="214"/>
      <c r="C45" s="214"/>
      <c r="D45" s="611" t="s">
        <v>2706</v>
      </c>
      <c r="E45" s="612"/>
      <c r="F45" s="613"/>
      <c r="G45" s="212">
        <f>SUM(G46,G47,G48)</f>
        <v>0</v>
      </c>
      <c r="H45" s="212">
        <f>SUM(H46,H47,H48)</f>
        <v>0</v>
      </c>
      <c r="I45" s="212">
        <f>SUM(I46,I47,I48)</f>
        <v>0</v>
      </c>
      <c r="J45" s="212">
        <f>SUM(J46,J47,J48)</f>
        <v>0</v>
      </c>
      <c r="K45" s="213">
        <f>SUM(K46,K47,K48)</f>
        <v>0</v>
      </c>
      <c r="L45" s="200"/>
    </row>
    <row r="46" spans="2:12" s="218" customFormat="1" ht="12" outlineLevel="1">
      <c r="B46" s="219"/>
      <c r="C46" s="618"/>
      <c r="D46" s="220"/>
      <c r="E46" s="701" t="s">
        <v>2707</v>
      </c>
      <c r="F46" s="702"/>
      <c r="G46" s="346"/>
      <c r="H46" s="223"/>
      <c r="I46" s="223"/>
      <c r="J46" s="223"/>
      <c r="K46" s="224"/>
      <c r="L46" s="225"/>
    </row>
    <row r="47" spans="2:12" s="218" customFormat="1" ht="12" outlineLevel="1">
      <c r="B47" s="219"/>
      <c r="C47" s="618"/>
      <c r="D47" s="240"/>
      <c r="E47" s="626" t="s">
        <v>2708</v>
      </c>
      <c r="F47" s="627"/>
      <c r="G47" s="227"/>
      <c r="H47" s="227"/>
      <c r="I47" s="227"/>
      <c r="J47" s="227"/>
      <c r="K47" s="228"/>
      <c r="L47" s="225"/>
    </row>
    <row r="48" spans="2:12" s="218" customFormat="1" ht="12" outlineLevel="1">
      <c r="B48" s="219"/>
      <c r="C48" s="618"/>
      <c r="D48" s="240"/>
      <c r="E48" s="621" t="s">
        <v>2709</v>
      </c>
      <c r="F48" s="622"/>
      <c r="G48" s="347"/>
      <c r="H48" s="347"/>
      <c r="I48" s="227"/>
      <c r="J48" s="227"/>
      <c r="K48" s="228"/>
      <c r="L48" s="225"/>
    </row>
    <row r="49" spans="1:12" s="125" customFormat="1" ht="12.75">
      <c r="B49" s="214"/>
      <c r="C49" s="618"/>
      <c r="D49" s="611" t="s">
        <v>2710</v>
      </c>
      <c r="E49" s="612"/>
      <c r="F49" s="613"/>
      <c r="G49" s="229">
        <f>SUM(G50:G51)</f>
        <v>0</v>
      </c>
      <c r="H49" s="229">
        <f>SUM(H50:H51)</f>
        <v>0</v>
      </c>
      <c r="I49" s="229">
        <f>SUM(I50:I51)</f>
        <v>0</v>
      </c>
      <c r="J49" s="229">
        <f>SUM(J50:J51)</f>
        <v>0</v>
      </c>
      <c r="K49" s="230">
        <f>SUM(K50:K51)</f>
        <v>0</v>
      </c>
      <c r="L49" s="200"/>
    </row>
    <row r="50" spans="1:12" s="218" customFormat="1" ht="14.25" customHeight="1" outlineLevel="1">
      <c r="B50" s="219"/>
      <c r="C50" s="618"/>
      <c r="D50" s="220"/>
      <c r="E50" s="616" t="s">
        <v>2711</v>
      </c>
      <c r="F50" s="617"/>
      <c r="G50" s="223"/>
      <c r="H50" s="223"/>
      <c r="I50" s="223"/>
      <c r="J50" s="223"/>
      <c r="K50" s="224"/>
      <c r="L50" s="225"/>
    </row>
    <row r="51" spans="1:12" s="218" customFormat="1" ht="14.25" customHeight="1" outlineLevel="1">
      <c r="B51" s="219"/>
      <c r="C51" s="618"/>
      <c r="E51" s="626" t="s">
        <v>2712</v>
      </c>
      <c r="F51" s="627"/>
      <c r="G51" s="227"/>
      <c r="H51" s="227"/>
      <c r="I51" s="227"/>
      <c r="J51" s="227"/>
      <c r="K51" s="228"/>
      <c r="L51" s="225"/>
    </row>
    <row r="52" spans="1:12" s="125" customFormat="1" ht="12.75">
      <c r="A52" s="218"/>
      <c r="B52" s="214"/>
      <c r="C52" s="618"/>
      <c r="D52" s="611" t="s">
        <v>2713</v>
      </c>
      <c r="E52" s="612"/>
      <c r="F52" s="613"/>
      <c r="G52" s="229">
        <f>SUM(G53:G54)</f>
        <v>0</v>
      </c>
      <c r="H52" s="229">
        <f>SUM(H53:H54)</f>
        <v>0</v>
      </c>
      <c r="I52" s="229">
        <f>SUM(I53:I54)</f>
        <v>0</v>
      </c>
      <c r="J52" s="229">
        <f>SUM(J53:J54)</f>
        <v>0</v>
      </c>
      <c r="K52" s="230">
        <f>SUM(K53:K54)</f>
        <v>0</v>
      </c>
      <c r="L52" s="200"/>
    </row>
    <row r="53" spans="1:12" s="218" customFormat="1" ht="14.25" customHeight="1" outlineLevel="1">
      <c r="B53" s="219"/>
      <c r="C53" s="618"/>
      <c r="D53" s="220"/>
      <c r="E53" s="616" t="s">
        <v>2714</v>
      </c>
      <c r="F53" s="617"/>
      <c r="G53" s="223"/>
      <c r="H53" s="223"/>
      <c r="I53" s="223"/>
      <c r="J53" s="223"/>
      <c r="K53" s="224"/>
      <c r="L53" s="225"/>
    </row>
    <row r="54" spans="1:12" s="218" customFormat="1" ht="14.25" customHeight="1" outlineLevel="1">
      <c r="B54" s="219"/>
      <c r="C54" s="686"/>
      <c r="D54" s="241"/>
      <c r="E54" s="663" t="s">
        <v>2715</v>
      </c>
      <c r="F54" s="664"/>
      <c r="G54" s="231"/>
      <c r="H54" s="231"/>
      <c r="I54" s="231"/>
      <c r="J54" s="227"/>
      <c r="K54" s="232"/>
      <c r="L54" s="225"/>
    </row>
    <row r="55" spans="1:12" ht="17.25" customHeight="1">
      <c r="A55" s="218"/>
      <c r="B55" s="127"/>
      <c r="C55" s="682" t="s">
        <v>2716</v>
      </c>
      <c r="D55" s="683"/>
      <c r="E55" s="683"/>
      <c r="F55" s="683"/>
      <c r="G55" s="256">
        <f>G43-SUM(G45,G49,G52)</f>
        <v>0</v>
      </c>
      <c r="H55" s="256">
        <f>H43-SUM(H45,H49,H52)</f>
        <v>0</v>
      </c>
      <c r="I55" s="256">
        <f>I43-SUM(I45,I49,I52)</f>
        <v>0</v>
      </c>
      <c r="J55" s="256">
        <f>J43-SUM(J45,J49,J52)</f>
        <v>0</v>
      </c>
      <c r="K55" s="259">
        <f>K43-SUM(K45,K49,K52)</f>
        <v>0</v>
      </c>
      <c r="L55" s="128"/>
    </row>
    <row r="56" spans="1:12" ht="7.5" customHeight="1">
      <c r="B56" s="127"/>
      <c r="C56" s="671"/>
      <c r="D56" s="672"/>
      <c r="E56" s="672"/>
      <c r="F56" s="672"/>
      <c r="G56" s="672"/>
      <c r="H56" s="672"/>
      <c r="I56" s="672"/>
      <c r="J56" s="672"/>
      <c r="K56" s="673"/>
      <c r="L56" s="128"/>
    </row>
    <row r="57" spans="1:12" s="125" customFormat="1" ht="14.25">
      <c r="A57" s="124"/>
      <c r="B57" s="214"/>
      <c r="C57" s="618"/>
      <c r="D57" s="611" t="s">
        <v>2717</v>
      </c>
      <c r="E57" s="612"/>
      <c r="F57" s="613"/>
      <c r="G57" s="212"/>
      <c r="H57" s="212"/>
      <c r="I57" s="212"/>
      <c r="J57" s="212"/>
      <c r="K57" s="213"/>
      <c r="L57" s="200"/>
    </row>
    <row r="58" spans="1:12" s="125" customFormat="1" ht="12.75">
      <c r="B58" s="214"/>
      <c r="C58" s="618"/>
      <c r="D58" s="611" t="s">
        <v>2718</v>
      </c>
      <c r="E58" s="612"/>
      <c r="F58" s="613"/>
      <c r="G58" s="212">
        <f>SUM(G60:G60)</f>
        <v>0</v>
      </c>
      <c r="H58" s="212">
        <f>SUM(H59:H60)</f>
        <v>0</v>
      </c>
      <c r="I58" s="212">
        <f>SUM(I59:I60)</f>
        <v>0</v>
      </c>
      <c r="J58" s="212">
        <f>SUM(J59:J60)</f>
        <v>0</v>
      </c>
      <c r="K58" s="213">
        <f>SUM(K60:K60)</f>
        <v>0</v>
      </c>
      <c r="L58" s="200"/>
    </row>
    <row r="59" spans="1:12" s="218" customFormat="1" ht="12" outlineLevel="1">
      <c r="B59" s="219"/>
      <c r="C59" s="618"/>
      <c r="D59" s="220"/>
      <c r="E59" s="616" t="s">
        <v>2719</v>
      </c>
      <c r="F59" s="617"/>
      <c r="G59" s="223"/>
      <c r="H59" s="223"/>
      <c r="I59" s="223"/>
      <c r="J59" s="223"/>
      <c r="K59" s="224"/>
      <c r="L59" s="225"/>
    </row>
    <row r="60" spans="1:12" s="218" customFormat="1" ht="12" outlineLevel="1">
      <c r="B60" s="219"/>
      <c r="C60" s="618"/>
      <c r="E60" s="626" t="s">
        <v>2720</v>
      </c>
      <c r="F60" s="627"/>
      <c r="G60" s="227"/>
      <c r="H60" s="227"/>
      <c r="I60" s="227"/>
      <c r="J60" s="227"/>
      <c r="K60" s="228"/>
      <c r="L60" s="225"/>
    </row>
    <row r="61" spans="1:12" s="125" customFormat="1" ht="12.75">
      <c r="B61" s="214"/>
      <c r="C61" s="618"/>
      <c r="D61" s="611" t="s">
        <v>2721</v>
      </c>
      <c r="E61" s="612"/>
      <c r="F61" s="613"/>
      <c r="G61" s="212">
        <f>SUM(G62:G63)</f>
        <v>0</v>
      </c>
      <c r="H61" s="212">
        <f>SUM(H62:H63)</f>
        <v>0</v>
      </c>
      <c r="I61" s="212">
        <f>SUM(I62:I63)</f>
        <v>0</v>
      </c>
      <c r="J61" s="212">
        <f>SUM(J62:J63)</f>
        <v>0</v>
      </c>
      <c r="K61" s="213">
        <f>SUM(K62:K63)</f>
        <v>0</v>
      </c>
      <c r="L61" s="200"/>
    </row>
    <row r="62" spans="1:12" s="218" customFormat="1" ht="12" outlineLevel="1">
      <c r="B62" s="219"/>
      <c r="C62" s="618"/>
      <c r="D62" s="239"/>
      <c r="E62" s="701" t="s">
        <v>2722</v>
      </c>
      <c r="F62" s="702"/>
      <c r="G62" s="223"/>
      <c r="H62" s="223"/>
      <c r="I62" s="223"/>
      <c r="J62" s="223"/>
      <c r="K62" s="224"/>
      <c r="L62" s="225"/>
    </row>
    <row r="63" spans="1:12" s="218" customFormat="1" ht="12" outlineLevel="1">
      <c r="B63" s="219"/>
      <c r="C63" s="618"/>
      <c r="D63" s="240"/>
      <c r="E63" s="626" t="s">
        <v>2723</v>
      </c>
      <c r="F63" s="627"/>
      <c r="G63" s="227"/>
      <c r="H63" s="227"/>
      <c r="I63" s="227"/>
      <c r="J63" s="227"/>
      <c r="K63" s="228"/>
      <c r="L63" s="225"/>
    </row>
    <row r="64" spans="1:12" s="125" customFormat="1" ht="12.75">
      <c r="B64" s="214"/>
      <c r="C64" s="686"/>
      <c r="D64" s="646" t="s">
        <v>2724</v>
      </c>
      <c r="E64" s="647"/>
      <c r="F64" s="648"/>
      <c r="G64" s="344"/>
      <c r="H64" s="227"/>
      <c r="I64" s="227"/>
      <c r="J64" s="344"/>
      <c r="K64" s="345"/>
      <c r="L64" s="200"/>
    </row>
    <row r="65" spans="1:12" ht="17.25" customHeight="1">
      <c r="A65" s="125"/>
      <c r="B65" s="127"/>
      <c r="C65" s="609" t="s">
        <v>2725</v>
      </c>
      <c r="D65" s="610"/>
      <c r="E65" s="610"/>
      <c r="F65" s="610"/>
      <c r="G65" s="233">
        <f>G55-SUM(G57,G58,G61,G64)</f>
        <v>0</v>
      </c>
      <c r="H65" s="233">
        <f>H55-SUM(H57,H58,H61,H64)</f>
        <v>0</v>
      </c>
      <c r="I65" s="233">
        <f>I55-SUM(I57,I58,I61,I64)</f>
        <v>0</v>
      </c>
      <c r="J65" s="233">
        <f>J55-SUM(J57,J58,J61,J64)</f>
        <v>0</v>
      </c>
      <c r="K65" s="234">
        <f>K55-SUM(K57,K58,K61,K64)</f>
        <v>0</v>
      </c>
      <c r="L65" s="128"/>
    </row>
    <row r="66" spans="1:12" ht="7.5" customHeight="1">
      <c r="B66" s="127"/>
      <c r="C66" s="671"/>
      <c r="D66" s="672"/>
      <c r="E66" s="672"/>
      <c r="F66" s="672"/>
      <c r="G66" s="672"/>
      <c r="H66" s="672"/>
      <c r="I66" s="672"/>
      <c r="J66" s="672"/>
      <c r="K66" s="673"/>
      <c r="L66" s="128"/>
    </row>
    <row r="67" spans="1:12" s="125" customFormat="1" ht="14.25">
      <c r="A67" s="124"/>
      <c r="B67" s="214"/>
      <c r="C67" s="618"/>
      <c r="D67" s="611" t="s">
        <v>2726</v>
      </c>
      <c r="E67" s="612"/>
      <c r="F67" s="613"/>
      <c r="G67" s="258">
        <f>SUM(G68:G72)</f>
        <v>0</v>
      </c>
      <c r="H67" s="229">
        <f>SUM(H68:H72)</f>
        <v>0</v>
      </c>
      <c r="I67" s="229">
        <f>SUM(I68:I72)</f>
        <v>0</v>
      </c>
      <c r="J67" s="229">
        <f>SUM(J68:J72)</f>
        <v>0</v>
      </c>
      <c r="K67" s="230">
        <f>SUM(K68:K72)</f>
        <v>0</v>
      </c>
      <c r="L67" s="200"/>
    </row>
    <row r="68" spans="1:12" s="218" customFormat="1" ht="14.25" customHeight="1" outlineLevel="1">
      <c r="A68" s="125"/>
      <c r="B68" s="219"/>
      <c r="C68" s="618"/>
      <c r="D68" s="699"/>
      <c r="E68" s="616" t="s">
        <v>2727</v>
      </c>
      <c r="F68" s="617"/>
      <c r="G68" s="348"/>
      <c r="H68" s="223"/>
      <c r="I68" s="223"/>
      <c r="J68" s="223"/>
      <c r="K68" s="224"/>
      <c r="L68" s="225"/>
    </row>
    <row r="69" spans="1:12" s="218" customFormat="1" ht="14.25" customHeight="1" outlineLevel="1">
      <c r="B69" s="219"/>
      <c r="C69" s="618"/>
      <c r="D69" s="680"/>
      <c r="E69" s="626" t="s">
        <v>2728</v>
      </c>
      <c r="F69" s="627"/>
      <c r="G69" s="349"/>
      <c r="H69" s="227"/>
      <c r="I69" s="227"/>
      <c r="J69" s="227"/>
      <c r="K69" s="228"/>
      <c r="L69" s="225"/>
    </row>
    <row r="70" spans="1:12" s="218" customFormat="1" ht="14.25" customHeight="1" outlineLevel="1">
      <c r="B70" s="219"/>
      <c r="C70" s="618"/>
      <c r="D70" s="680"/>
      <c r="E70" s="626" t="s">
        <v>2729</v>
      </c>
      <c r="F70" s="627"/>
      <c r="G70" s="349"/>
      <c r="H70" s="227"/>
      <c r="I70" s="227"/>
      <c r="J70" s="227"/>
      <c r="K70" s="228"/>
      <c r="L70" s="225"/>
    </row>
    <row r="71" spans="1:12" s="218" customFormat="1" ht="14.25" customHeight="1" outlineLevel="1">
      <c r="B71" s="219"/>
      <c r="C71" s="618"/>
      <c r="D71" s="680"/>
      <c r="E71" s="626" t="s">
        <v>2730</v>
      </c>
      <c r="F71" s="627"/>
      <c r="G71" s="349"/>
      <c r="H71" s="227"/>
      <c r="I71" s="227"/>
      <c r="J71" s="227"/>
      <c r="K71" s="228"/>
      <c r="L71" s="225"/>
    </row>
    <row r="72" spans="1:12" s="218" customFormat="1" ht="14.25" customHeight="1" outlineLevel="1">
      <c r="B72" s="219"/>
      <c r="C72" s="618"/>
      <c r="E72" s="626" t="s">
        <v>2731</v>
      </c>
      <c r="F72" s="627"/>
      <c r="G72" s="349"/>
      <c r="H72" s="227"/>
      <c r="I72" s="227"/>
      <c r="J72" s="227"/>
      <c r="K72" s="228"/>
      <c r="L72" s="225"/>
    </row>
    <row r="73" spans="1:12" s="125" customFormat="1" ht="12.75">
      <c r="A73" s="218"/>
      <c r="B73" s="214"/>
      <c r="C73" s="618"/>
      <c r="D73" s="611" t="s">
        <v>2732</v>
      </c>
      <c r="E73" s="612"/>
      <c r="F73" s="613"/>
      <c r="G73" s="229">
        <f>SUM(G74:G80)</f>
        <v>0</v>
      </c>
      <c r="H73" s="229">
        <f>SUM(H74:H80)</f>
        <v>0</v>
      </c>
      <c r="I73" s="229">
        <f>SUM(I74:I80)</f>
        <v>0</v>
      </c>
      <c r="J73" s="229">
        <f>SUM(J74:J80)</f>
        <v>0</v>
      </c>
      <c r="K73" s="230">
        <f>SUM(K74:K80)</f>
        <v>0</v>
      </c>
      <c r="L73" s="200"/>
    </row>
    <row r="74" spans="1:12" s="218" customFormat="1" ht="14.25" customHeight="1" outlineLevel="1">
      <c r="A74" s="125"/>
      <c r="B74" s="219"/>
      <c r="C74" s="618"/>
      <c r="D74" s="699"/>
      <c r="E74" s="701" t="s">
        <v>2733</v>
      </c>
      <c r="F74" s="702"/>
      <c r="G74" s="223"/>
      <c r="H74" s="223"/>
      <c r="I74" s="223"/>
      <c r="J74" s="223"/>
      <c r="K74" s="224"/>
      <c r="L74" s="225"/>
    </row>
    <row r="75" spans="1:12" s="218" customFormat="1" ht="14.25" customHeight="1" outlineLevel="1">
      <c r="B75" s="219"/>
      <c r="C75" s="618"/>
      <c r="D75" s="680"/>
      <c r="E75" s="621" t="s">
        <v>2734</v>
      </c>
      <c r="F75" s="622"/>
      <c r="G75" s="227"/>
      <c r="H75" s="227"/>
      <c r="I75" s="227"/>
      <c r="J75" s="227"/>
      <c r="K75" s="228"/>
      <c r="L75" s="225"/>
    </row>
    <row r="76" spans="1:12" s="218" customFormat="1" ht="14.25" customHeight="1" outlineLevel="1">
      <c r="B76" s="219"/>
      <c r="C76" s="618"/>
      <c r="D76" s="680"/>
      <c r="E76" s="621" t="s">
        <v>2735</v>
      </c>
      <c r="F76" s="622"/>
      <c r="G76" s="227"/>
      <c r="H76" s="227"/>
      <c r="I76" s="227"/>
      <c r="J76" s="227"/>
      <c r="K76" s="228"/>
      <c r="L76" s="225"/>
    </row>
    <row r="77" spans="1:12" s="218" customFormat="1" ht="14.25" customHeight="1" outlineLevel="1">
      <c r="B77" s="219"/>
      <c r="C77" s="618"/>
      <c r="D77" s="680"/>
      <c r="E77" s="621" t="s">
        <v>2736</v>
      </c>
      <c r="F77" s="622"/>
      <c r="G77" s="227"/>
      <c r="H77" s="227"/>
      <c r="I77" s="227"/>
      <c r="J77" s="227"/>
      <c r="K77" s="228"/>
      <c r="L77" s="225"/>
    </row>
    <row r="78" spans="1:12" s="218" customFormat="1" ht="14.25" customHeight="1" outlineLevel="1">
      <c r="B78" s="219"/>
      <c r="C78" s="618"/>
      <c r="D78" s="680"/>
      <c r="E78" s="621" t="s">
        <v>2737</v>
      </c>
      <c r="F78" s="622"/>
      <c r="G78" s="227"/>
      <c r="H78" s="227"/>
      <c r="I78" s="227"/>
      <c r="J78" s="227"/>
      <c r="K78" s="228"/>
      <c r="L78" s="225"/>
    </row>
    <row r="79" spans="1:12" s="218" customFormat="1" ht="14.25" customHeight="1" outlineLevel="1">
      <c r="B79" s="219"/>
      <c r="C79" s="618"/>
      <c r="D79" s="680"/>
      <c r="E79" s="621" t="s">
        <v>2738</v>
      </c>
      <c r="F79" s="622"/>
      <c r="G79" s="227"/>
      <c r="H79" s="227"/>
      <c r="I79" s="227"/>
      <c r="J79" s="227"/>
      <c r="K79" s="228"/>
      <c r="L79" s="225"/>
    </row>
    <row r="80" spans="1:12" s="218" customFormat="1" ht="14.25" customHeight="1" outlineLevel="1">
      <c r="B80" s="219"/>
      <c r="C80" s="686"/>
      <c r="D80" s="700"/>
      <c r="E80" s="716" t="s">
        <v>2739</v>
      </c>
      <c r="F80" s="717"/>
      <c r="G80" s="231"/>
      <c r="H80" s="231"/>
      <c r="I80" s="231"/>
      <c r="J80" s="231"/>
      <c r="K80" s="232"/>
      <c r="L80" s="225"/>
    </row>
    <row r="81" spans="1:1024" ht="17.25" customHeight="1">
      <c r="A81" s="218"/>
      <c r="B81" s="127"/>
      <c r="C81" s="682" t="s">
        <v>2740</v>
      </c>
      <c r="D81" s="683"/>
      <c r="E81" s="683"/>
      <c r="F81" s="683"/>
      <c r="G81" s="256">
        <f>G65-G67+G73</f>
        <v>0</v>
      </c>
      <c r="H81" s="256">
        <f>H65-H67+H73</f>
        <v>0</v>
      </c>
      <c r="I81" s="256">
        <f>I65-I67+I73</f>
        <v>0</v>
      </c>
      <c r="J81" s="256">
        <f>J65-J67+J73</f>
        <v>0</v>
      </c>
      <c r="K81" s="259">
        <f>K65-K67+K73</f>
        <v>0</v>
      </c>
      <c r="L81" s="128"/>
    </row>
    <row r="82" spans="1:1024" ht="7.5" customHeight="1">
      <c r="B82" s="127"/>
      <c r="C82" s="671"/>
      <c r="D82" s="672"/>
      <c r="E82" s="672"/>
      <c r="F82" s="672"/>
      <c r="G82" s="672"/>
      <c r="H82" s="672"/>
      <c r="I82" s="672"/>
      <c r="J82" s="672"/>
      <c r="K82" s="673"/>
      <c r="L82" s="128"/>
    </row>
    <row r="83" spans="1:1024" s="125" customFormat="1" ht="14.25">
      <c r="A83" s="124"/>
      <c r="B83" s="214"/>
      <c r="C83" s="214"/>
      <c r="D83" s="735" t="s">
        <v>2741</v>
      </c>
      <c r="E83" s="736"/>
      <c r="F83" s="737"/>
      <c r="G83" s="350"/>
      <c r="H83" s="212"/>
      <c r="I83" s="212"/>
      <c r="J83" s="212"/>
      <c r="K83" s="213"/>
      <c r="L83" s="260"/>
    </row>
    <row r="84" spans="1:1024" ht="17.25" customHeight="1">
      <c r="A84" s="125"/>
      <c r="B84" s="127"/>
      <c r="C84" s="609" t="s">
        <v>2742</v>
      </c>
      <c r="D84" s="610"/>
      <c r="E84" s="610"/>
      <c r="F84" s="610"/>
      <c r="G84" s="233">
        <f>G81+G83</f>
        <v>0</v>
      </c>
      <c r="H84" s="233">
        <f>H81+H83</f>
        <v>0</v>
      </c>
      <c r="I84" s="233">
        <f>I81+I83</f>
        <v>0</v>
      </c>
      <c r="J84" s="233">
        <f>J81+J83</f>
        <v>0</v>
      </c>
      <c r="K84" s="234">
        <f>K81+K83</f>
        <v>0</v>
      </c>
      <c r="L84" s="128"/>
    </row>
    <row r="85" spans="1:1024" ht="7.5" customHeight="1">
      <c r="B85" s="127"/>
      <c r="C85" s="665"/>
      <c r="D85" s="666"/>
      <c r="E85" s="666"/>
      <c r="F85" s="667"/>
      <c r="G85" s="666"/>
      <c r="H85" s="666"/>
      <c r="I85" s="666"/>
      <c r="J85" s="666"/>
      <c r="K85" s="668"/>
      <c r="L85" s="128"/>
    </row>
    <row r="86" spans="1:1024" s="125" customFormat="1" ht="12.75">
      <c r="B86" s="214"/>
      <c r="C86" s="214"/>
      <c r="D86" s="614" t="s">
        <v>2743</v>
      </c>
      <c r="E86" s="614"/>
      <c r="F86" s="615"/>
      <c r="G86" s="212">
        <f>SUM(G87,G88)</f>
        <v>0</v>
      </c>
      <c r="H86" s="212">
        <f>SUM(H87,H88)</f>
        <v>0</v>
      </c>
      <c r="I86" s="212">
        <f>SUM(I87,I88)</f>
        <v>0</v>
      </c>
      <c r="J86" s="212">
        <f>SUM(J87,J88)</f>
        <v>0</v>
      </c>
      <c r="K86" s="213">
        <f>SUM(K87,K88)</f>
        <v>0</v>
      </c>
      <c r="L86" s="200"/>
    </row>
    <row r="87" spans="1:1024" s="218" customFormat="1" ht="12" outlineLevel="1">
      <c r="B87" s="219"/>
      <c r="C87" s="618"/>
      <c r="D87" s="220"/>
      <c r="E87" s="616" t="s">
        <v>2744</v>
      </c>
      <c r="F87" s="617"/>
      <c r="G87" s="223"/>
      <c r="H87" s="223"/>
      <c r="I87" s="223"/>
      <c r="J87" s="223"/>
      <c r="K87" s="224"/>
      <c r="L87" s="225"/>
    </row>
    <row r="88" spans="1:1024" s="218" customFormat="1" ht="12" outlineLevel="1">
      <c r="B88" s="219"/>
      <c r="C88" s="618"/>
      <c r="E88" s="626" t="s">
        <v>2745</v>
      </c>
      <c r="F88" s="627"/>
      <c r="G88" s="227"/>
      <c r="H88" s="227"/>
      <c r="I88" s="227"/>
      <c r="J88" s="227"/>
      <c r="K88" s="228"/>
      <c r="L88" s="225"/>
    </row>
    <row r="89" spans="1:1024" s="125" customFormat="1" ht="12.75">
      <c r="B89" s="214"/>
      <c r="C89" s="618"/>
      <c r="D89" s="611" t="s">
        <v>2746</v>
      </c>
      <c r="E89" s="612"/>
      <c r="F89" s="613"/>
      <c r="G89" s="261" t="str">
        <f>IFERROR(G87/G84,"-")</f>
        <v>-</v>
      </c>
      <c r="H89" s="261" t="str">
        <f>IFERROR(H87/H84,"-")</f>
        <v>-</v>
      </c>
      <c r="I89" s="261" t="str">
        <f>IFERROR(I87/I84,"-")</f>
        <v>-</v>
      </c>
      <c r="J89" s="261" t="str">
        <f>IFERROR(J87/J84,"-")</f>
        <v>-</v>
      </c>
      <c r="K89" s="262" t="str">
        <f>IFERROR(K87/K84,"-")</f>
        <v>-</v>
      </c>
      <c r="L89" s="200"/>
    </row>
    <row r="90" spans="1:1024" ht="15">
      <c r="A90" s="263"/>
      <c r="B90" s="264"/>
      <c r="C90" s="691"/>
      <c r="D90" s="695" t="s">
        <v>2747</v>
      </c>
      <c r="E90" s="695"/>
      <c r="F90" s="696"/>
      <c r="G90" s="351"/>
      <c r="H90" s="351"/>
      <c r="I90" s="351"/>
      <c r="J90" s="351"/>
      <c r="K90" s="352"/>
      <c r="L90" s="266"/>
      <c r="M90" s="267"/>
      <c r="N90" s="267"/>
      <c r="O90" s="267"/>
      <c r="P90" s="267"/>
      <c r="Q90" s="267"/>
      <c r="R90" s="267"/>
      <c r="S90" s="267"/>
      <c r="T90" s="267"/>
      <c r="U90" s="267"/>
      <c r="V90" s="267"/>
      <c r="W90" s="267"/>
      <c r="X90" s="267"/>
      <c r="Y90" s="267"/>
      <c r="Z90" s="267"/>
      <c r="AA90" s="267"/>
      <c r="AB90" s="267"/>
      <c r="AC90" s="267"/>
      <c r="AD90" s="267"/>
      <c r="AE90" s="267"/>
      <c r="AF90" s="267"/>
      <c r="AG90" s="267"/>
      <c r="AH90" s="267"/>
      <c r="AI90" s="267"/>
      <c r="AJ90" s="267"/>
      <c r="AK90" s="267"/>
      <c r="AL90" s="267"/>
      <c r="AM90" s="267"/>
      <c r="AN90" s="267"/>
      <c r="AO90" s="267"/>
      <c r="AP90" s="267"/>
      <c r="AQ90" s="267"/>
      <c r="AR90" s="267"/>
      <c r="AS90" s="267"/>
      <c r="AT90" s="267"/>
      <c r="AU90" s="267"/>
      <c r="AV90" s="267"/>
      <c r="AW90" s="267"/>
      <c r="AX90" s="267"/>
      <c r="AY90" s="267"/>
      <c r="AZ90" s="267"/>
      <c r="BA90" s="267"/>
      <c r="BB90" s="267"/>
      <c r="BC90" s="267"/>
      <c r="BD90" s="267"/>
      <c r="BE90" s="267"/>
      <c r="BF90" s="267"/>
      <c r="BG90" s="267"/>
      <c r="BH90" s="267"/>
      <c r="BI90" s="267"/>
      <c r="BJ90" s="267"/>
      <c r="BK90" s="267"/>
      <c r="BL90" s="267"/>
      <c r="BM90" s="267"/>
      <c r="BN90" s="267"/>
      <c r="BO90" s="267"/>
      <c r="BP90" s="267"/>
      <c r="BQ90" s="267"/>
      <c r="BR90" s="267"/>
      <c r="BS90" s="267"/>
      <c r="BT90" s="267"/>
      <c r="BU90" s="267"/>
      <c r="BV90" s="267"/>
      <c r="BW90" s="267"/>
      <c r="BX90" s="267"/>
      <c r="BY90" s="267"/>
      <c r="BZ90" s="267"/>
      <c r="CA90" s="267"/>
      <c r="CB90" s="267"/>
      <c r="CC90" s="267"/>
      <c r="CD90" s="267"/>
      <c r="CE90" s="267"/>
      <c r="CF90" s="267"/>
      <c r="CG90" s="267"/>
      <c r="CH90" s="267"/>
      <c r="CI90" s="267"/>
      <c r="CJ90" s="267"/>
      <c r="CK90" s="267"/>
      <c r="CL90" s="267"/>
      <c r="CM90" s="267"/>
      <c r="CN90" s="267"/>
      <c r="CO90" s="267"/>
      <c r="CP90" s="267"/>
      <c r="CQ90" s="267"/>
      <c r="CR90" s="267"/>
      <c r="CS90" s="267"/>
      <c r="CT90" s="267"/>
      <c r="CU90" s="267"/>
      <c r="CV90" s="267"/>
      <c r="CW90" s="267"/>
      <c r="CX90" s="267"/>
      <c r="CY90" s="267"/>
      <c r="CZ90" s="267"/>
      <c r="DA90" s="267"/>
      <c r="DB90" s="267"/>
      <c r="DC90" s="267"/>
      <c r="DD90" s="267"/>
      <c r="DE90" s="267"/>
      <c r="DF90" s="267"/>
      <c r="DG90" s="267"/>
      <c r="DH90" s="267"/>
      <c r="DI90" s="267"/>
      <c r="DJ90" s="267"/>
      <c r="DK90" s="267"/>
      <c r="DL90" s="267"/>
      <c r="DM90" s="267"/>
      <c r="DN90" s="267"/>
      <c r="DO90" s="267"/>
      <c r="DP90" s="267"/>
      <c r="DQ90" s="267"/>
      <c r="DR90" s="267"/>
      <c r="DS90" s="267"/>
      <c r="DT90" s="267"/>
      <c r="DU90" s="267"/>
      <c r="DV90" s="267"/>
      <c r="DW90" s="267"/>
      <c r="DX90" s="267"/>
      <c r="DY90" s="267"/>
      <c r="DZ90" s="267"/>
      <c r="EA90" s="267"/>
      <c r="EB90" s="267"/>
      <c r="EC90" s="267"/>
      <c r="ED90" s="267"/>
      <c r="EE90" s="267"/>
      <c r="EF90" s="267"/>
      <c r="EG90" s="267"/>
      <c r="EH90" s="267"/>
      <c r="EI90" s="267"/>
      <c r="EJ90" s="267"/>
      <c r="EK90" s="267"/>
      <c r="EL90" s="267"/>
      <c r="EM90" s="267"/>
      <c r="EN90" s="267"/>
      <c r="EO90" s="267"/>
      <c r="EP90" s="267"/>
      <c r="EQ90" s="267"/>
      <c r="ER90" s="267"/>
      <c r="ES90" s="267"/>
      <c r="ET90" s="267"/>
      <c r="EU90" s="267"/>
      <c r="EV90" s="267"/>
      <c r="EW90" s="267"/>
      <c r="EX90" s="267"/>
      <c r="EY90" s="267"/>
      <c r="EZ90" s="267"/>
      <c r="FA90" s="267"/>
      <c r="FB90" s="267"/>
      <c r="FC90" s="267"/>
      <c r="FD90" s="267"/>
      <c r="FE90" s="267"/>
      <c r="FF90" s="267"/>
      <c r="FG90" s="267"/>
      <c r="FH90" s="267"/>
      <c r="FI90" s="267"/>
      <c r="FJ90" s="267"/>
      <c r="FK90" s="267"/>
      <c r="FL90" s="267"/>
      <c r="FM90" s="267"/>
      <c r="FN90" s="267"/>
      <c r="FO90" s="267"/>
      <c r="FP90" s="267"/>
      <c r="FQ90" s="267"/>
      <c r="FR90" s="267"/>
      <c r="FS90" s="267"/>
      <c r="FT90" s="267"/>
      <c r="FU90" s="267"/>
      <c r="FV90" s="267"/>
      <c r="FW90" s="267"/>
      <c r="FX90" s="267"/>
      <c r="FY90" s="267"/>
      <c r="FZ90" s="267"/>
      <c r="GA90" s="267"/>
      <c r="GB90" s="267"/>
      <c r="GC90" s="267"/>
      <c r="GD90" s="267"/>
      <c r="GE90" s="267"/>
      <c r="GF90" s="267"/>
      <c r="GG90" s="267"/>
      <c r="GH90" s="267"/>
      <c r="GI90" s="267"/>
      <c r="GJ90" s="267"/>
      <c r="GK90" s="267"/>
      <c r="GL90" s="267"/>
      <c r="GM90" s="267"/>
      <c r="GN90" s="267"/>
      <c r="GO90" s="267"/>
      <c r="GP90" s="267"/>
      <c r="GQ90" s="267"/>
      <c r="GR90" s="267"/>
      <c r="GS90" s="267"/>
      <c r="GT90" s="267"/>
      <c r="GU90" s="267"/>
      <c r="GV90" s="267"/>
      <c r="GW90" s="267"/>
      <c r="GX90" s="267"/>
      <c r="GY90" s="267"/>
      <c r="GZ90" s="267"/>
      <c r="HA90" s="267"/>
      <c r="HB90" s="267"/>
      <c r="HC90" s="267"/>
      <c r="HD90" s="267"/>
      <c r="HE90" s="267"/>
      <c r="HF90" s="267"/>
      <c r="HG90" s="267"/>
      <c r="HH90" s="267"/>
      <c r="HI90" s="267"/>
      <c r="HJ90" s="267"/>
      <c r="HK90" s="267"/>
      <c r="HL90" s="267"/>
      <c r="HM90" s="267"/>
      <c r="HN90" s="267"/>
      <c r="HO90" s="267"/>
      <c r="HP90" s="267"/>
      <c r="HQ90" s="267"/>
      <c r="HR90" s="267"/>
      <c r="HS90" s="267"/>
      <c r="HT90" s="267"/>
      <c r="HU90" s="267"/>
      <c r="HV90" s="267"/>
      <c r="HW90" s="267"/>
      <c r="HX90" s="267"/>
      <c r="HY90" s="267"/>
      <c r="HZ90" s="267"/>
      <c r="IA90" s="267"/>
      <c r="IB90" s="267"/>
      <c r="IC90" s="267"/>
      <c r="ID90" s="267"/>
      <c r="IE90" s="267"/>
      <c r="IF90" s="267"/>
      <c r="IG90" s="267"/>
      <c r="IH90" s="267"/>
      <c r="II90" s="267"/>
      <c r="IJ90" s="267"/>
      <c r="IK90" s="267"/>
      <c r="IL90" s="267"/>
      <c r="IM90" s="267"/>
      <c r="IN90" s="267"/>
      <c r="IO90" s="267"/>
      <c r="IP90" s="267"/>
      <c r="IQ90" s="267"/>
      <c r="IR90" s="267"/>
      <c r="IS90" s="267"/>
      <c r="IT90" s="267"/>
      <c r="IU90" s="267"/>
      <c r="IV90" s="267"/>
      <c r="IW90" s="267"/>
      <c r="IX90" s="267"/>
      <c r="IY90" s="267"/>
      <c r="IZ90" s="267"/>
      <c r="JA90" s="267"/>
      <c r="JB90" s="267"/>
      <c r="JC90" s="267"/>
      <c r="JD90" s="267"/>
      <c r="JE90" s="267"/>
      <c r="JF90" s="267"/>
      <c r="JG90" s="267"/>
      <c r="JH90" s="267"/>
      <c r="JI90" s="267"/>
      <c r="JJ90" s="267"/>
      <c r="JK90" s="267"/>
      <c r="JL90" s="267"/>
      <c r="JM90" s="267"/>
      <c r="JN90" s="267"/>
      <c r="JO90" s="267"/>
      <c r="JP90" s="267"/>
      <c r="JQ90" s="267"/>
      <c r="JR90" s="267"/>
      <c r="JS90" s="267"/>
      <c r="JT90" s="267"/>
      <c r="JU90" s="267"/>
      <c r="JV90" s="267"/>
      <c r="JW90" s="267"/>
      <c r="JX90" s="267"/>
      <c r="JY90" s="267"/>
      <c r="JZ90" s="267"/>
      <c r="KA90" s="267"/>
      <c r="KB90" s="267"/>
      <c r="KC90" s="267"/>
      <c r="KD90" s="267"/>
      <c r="KE90" s="267"/>
      <c r="KF90" s="267"/>
      <c r="KG90" s="267"/>
      <c r="KH90" s="267"/>
      <c r="KI90" s="267"/>
      <c r="KJ90" s="267"/>
      <c r="KK90" s="267"/>
      <c r="KL90" s="267"/>
      <c r="KM90" s="267"/>
      <c r="KN90" s="267"/>
      <c r="KO90" s="267"/>
      <c r="KP90" s="267"/>
      <c r="KQ90" s="267"/>
      <c r="KR90" s="267"/>
      <c r="KS90" s="267"/>
      <c r="KT90" s="267"/>
      <c r="KU90" s="267"/>
      <c r="KV90" s="267"/>
      <c r="KW90" s="267"/>
      <c r="KX90" s="267"/>
      <c r="KY90" s="267"/>
      <c r="KZ90" s="267"/>
      <c r="LA90" s="267"/>
      <c r="LB90" s="267"/>
      <c r="LC90" s="267"/>
      <c r="LD90" s="267"/>
      <c r="LE90" s="267"/>
      <c r="LF90" s="267"/>
      <c r="LG90" s="267"/>
      <c r="LH90" s="267"/>
      <c r="LI90" s="267"/>
      <c r="LJ90" s="267"/>
      <c r="LK90" s="267"/>
      <c r="LL90" s="267"/>
      <c r="LM90" s="267"/>
      <c r="LN90" s="267"/>
      <c r="LO90" s="267"/>
      <c r="LP90" s="267"/>
      <c r="LQ90" s="267"/>
      <c r="LR90" s="267"/>
      <c r="LS90" s="267"/>
      <c r="LT90" s="267"/>
      <c r="LU90" s="267"/>
      <c r="LV90" s="267"/>
      <c r="LW90" s="267"/>
      <c r="LX90" s="267"/>
      <c r="LY90" s="267"/>
      <c r="LZ90" s="267"/>
      <c r="MA90" s="267"/>
      <c r="MB90" s="267"/>
      <c r="MC90" s="267"/>
      <c r="MD90" s="267"/>
      <c r="ME90" s="267"/>
      <c r="MF90" s="267"/>
      <c r="MG90" s="267"/>
      <c r="MH90" s="267"/>
      <c r="MI90" s="267"/>
      <c r="MJ90" s="267"/>
      <c r="MK90" s="267"/>
      <c r="ML90" s="267"/>
      <c r="MM90" s="267"/>
      <c r="MN90" s="267"/>
      <c r="MO90" s="267"/>
      <c r="MP90" s="267"/>
      <c r="MQ90" s="267"/>
      <c r="MR90" s="267"/>
      <c r="MS90" s="267"/>
      <c r="MT90" s="267"/>
      <c r="MU90" s="267"/>
      <c r="MV90" s="267"/>
      <c r="MW90" s="267"/>
      <c r="MX90" s="267"/>
      <c r="MY90" s="267"/>
      <c r="MZ90" s="267"/>
      <c r="NA90" s="267"/>
      <c r="NB90" s="267"/>
      <c r="NC90" s="267"/>
      <c r="ND90" s="267"/>
      <c r="NE90" s="267"/>
      <c r="NF90" s="267"/>
      <c r="NG90" s="267"/>
      <c r="NH90" s="267"/>
      <c r="NI90" s="267"/>
      <c r="NJ90" s="267"/>
      <c r="NK90" s="267"/>
      <c r="NL90" s="267"/>
      <c r="NM90" s="267"/>
      <c r="NN90" s="267"/>
      <c r="NO90" s="267"/>
      <c r="NP90" s="267"/>
      <c r="NQ90" s="267"/>
      <c r="NR90" s="267"/>
      <c r="NS90" s="267"/>
      <c r="NT90" s="267"/>
      <c r="NU90" s="267"/>
      <c r="NV90" s="267"/>
      <c r="NW90" s="267"/>
      <c r="NX90" s="267"/>
      <c r="NY90" s="267"/>
      <c r="NZ90" s="267"/>
      <c r="OA90" s="267"/>
      <c r="OB90" s="267"/>
      <c r="OC90" s="267"/>
      <c r="OD90" s="267"/>
      <c r="OE90" s="267"/>
      <c r="OF90" s="267"/>
      <c r="OG90" s="267"/>
      <c r="OH90" s="267"/>
      <c r="OI90" s="267"/>
      <c r="OJ90" s="267"/>
      <c r="OK90" s="267"/>
      <c r="OL90" s="267"/>
      <c r="OM90" s="267"/>
      <c r="ON90" s="267"/>
      <c r="OO90" s="267"/>
      <c r="OP90" s="267"/>
      <c r="OQ90" s="267"/>
      <c r="OR90" s="267"/>
      <c r="OS90" s="267"/>
      <c r="OT90" s="267"/>
      <c r="OU90" s="267"/>
      <c r="OV90" s="267"/>
      <c r="OW90" s="267"/>
      <c r="OX90" s="267"/>
      <c r="OY90" s="267"/>
      <c r="OZ90" s="267"/>
      <c r="PA90" s="267"/>
      <c r="PB90" s="267"/>
      <c r="PC90" s="267"/>
      <c r="PD90" s="267"/>
      <c r="PE90" s="267"/>
      <c r="PF90" s="267"/>
      <c r="PG90" s="267"/>
      <c r="PH90" s="267"/>
      <c r="PI90" s="267"/>
      <c r="PJ90" s="267"/>
      <c r="PK90" s="267"/>
      <c r="PL90" s="267"/>
      <c r="PM90" s="267"/>
      <c r="PN90" s="267"/>
      <c r="PO90" s="267"/>
      <c r="PP90" s="267"/>
      <c r="PQ90" s="267"/>
      <c r="PR90" s="267"/>
      <c r="PS90" s="267"/>
      <c r="PT90" s="267"/>
      <c r="PU90" s="267"/>
      <c r="PV90" s="267"/>
      <c r="PW90" s="267"/>
      <c r="PX90" s="267"/>
      <c r="PY90" s="267"/>
      <c r="PZ90" s="267"/>
      <c r="QA90" s="267"/>
      <c r="QB90" s="267"/>
      <c r="QC90" s="267"/>
      <c r="QD90" s="267"/>
      <c r="QE90" s="267"/>
      <c r="QF90" s="267"/>
      <c r="QG90" s="267"/>
      <c r="QH90" s="267"/>
      <c r="QI90" s="267"/>
      <c r="QJ90" s="267"/>
      <c r="QK90" s="267"/>
      <c r="QL90" s="267"/>
      <c r="QM90" s="267"/>
      <c r="QN90" s="267"/>
      <c r="QO90" s="267"/>
      <c r="QP90" s="267"/>
      <c r="QQ90" s="267"/>
      <c r="QR90" s="267"/>
      <c r="QS90" s="267"/>
      <c r="QT90" s="267"/>
      <c r="QU90" s="267"/>
      <c r="QV90" s="267"/>
      <c r="QW90" s="267"/>
      <c r="QX90" s="267"/>
      <c r="QY90" s="267"/>
      <c r="QZ90" s="267"/>
      <c r="RA90" s="267"/>
      <c r="RB90" s="267"/>
      <c r="RC90" s="267"/>
      <c r="RD90" s="267"/>
      <c r="RE90" s="267"/>
      <c r="RF90" s="267"/>
      <c r="RG90" s="267"/>
      <c r="RH90" s="267"/>
      <c r="RI90" s="267"/>
      <c r="RJ90" s="267"/>
      <c r="RK90" s="267"/>
      <c r="RL90" s="267"/>
      <c r="RM90" s="267"/>
      <c r="RN90" s="267"/>
      <c r="RO90" s="267"/>
      <c r="RP90" s="267"/>
      <c r="RQ90" s="267"/>
      <c r="RR90" s="267"/>
      <c r="RS90" s="267"/>
      <c r="RT90" s="267"/>
      <c r="RU90" s="267"/>
      <c r="RV90" s="267"/>
      <c r="RW90" s="267"/>
      <c r="RX90" s="267"/>
      <c r="RY90" s="267"/>
      <c r="RZ90" s="267"/>
      <c r="SA90" s="267"/>
      <c r="SB90" s="267"/>
      <c r="SC90" s="267"/>
      <c r="SD90" s="267"/>
      <c r="SE90" s="267"/>
      <c r="SF90" s="267"/>
      <c r="SG90" s="267"/>
      <c r="SH90" s="267"/>
      <c r="SI90" s="267"/>
      <c r="SJ90" s="267"/>
      <c r="SK90" s="267"/>
      <c r="SL90" s="267"/>
      <c r="SM90" s="267"/>
      <c r="SN90" s="267"/>
      <c r="SO90" s="267"/>
      <c r="SP90" s="267"/>
      <c r="SQ90" s="267"/>
      <c r="SR90" s="267"/>
      <c r="SS90" s="267"/>
      <c r="ST90" s="267"/>
      <c r="SU90" s="267"/>
      <c r="SV90" s="267"/>
      <c r="SW90" s="267"/>
      <c r="SX90" s="267"/>
      <c r="SY90" s="267"/>
      <c r="SZ90" s="267"/>
      <c r="TA90" s="267"/>
      <c r="TB90" s="267"/>
      <c r="TC90" s="267"/>
      <c r="TD90" s="267"/>
      <c r="TE90" s="267"/>
      <c r="TF90" s="267"/>
      <c r="TG90" s="267"/>
      <c r="TH90" s="267"/>
      <c r="TI90" s="267"/>
      <c r="TJ90" s="267"/>
      <c r="TK90" s="267"/>
      <c r="TL90" s="267"/>
      <c r="TM90" s="267"/>
      <c r="TN90" s="267"/>
      <c r="TO90" s="267"/>
      <c r="TP90" s="267"/>
      <c r="TQ90" s="267"/>
      <c r="TR90" s="267"/>
      <c r="TS90" s="267"/>
      <c r="TT90" s="267"/>
      <c r="TU90" s="267"/>
      <c r="TV90" s="267"/>
      <c r="TW90" s="267"/>
      <c r="TX90" s="267"/>
      <c r="TY90" s="267"/>
      <c r="TZ90" s="267"/>
      <c r="UA90" s="267"/>
      <c r="UB90" s="267"/>
      <c r="UC90" s="267"/>
      <c r="UD90" s="267"/>
      <c r="UE90" s="267"/>
      <c r="UF90" s="267"/>
      <c r="UG90" s="267"/>
      <c r="UH90" s="267"/>
      <c r="UI90" s="267"/>
      <c r="UJ90" s="267"/>
      <c r="UK90" s="267"/>
      <c r="UL90" s="267"/>
      <c r="UM90" s="267"/>
      <c r="UN90" s="267"/>
      <c r="UO90" s="267"/>
      <c r="UP90" s="267"/>
      <c r="UQ90" s="267"/>
      <c r="UR90" s="267"/>
      <c r="US90" s="267"/>
      <c r="UT90" s="267"/>
      <c r="UU90" s="267"/>
      <c r="UV90" s="267"/>
      <c r="UW90" s="267"/>
      <c r="UX90" s="267"/>
      <c r="UY90" s="267"/>
      <c r="UZ90" s="267"/>
      <c r="VA90" s="267"/>
      <c r="VB90" s="267"/>
      <c r="VC90" s="267"/>
      <c r="VD90" s="267"/>
      <c r="VE90" s="267"/>
      <c r="VF90" s="267"/>
      <c r="VG90" s="267"/>
      <c r="VH90" s="267"/>
      <c r="VI90" s="267"/>
      <c r="VJ90" s="267"/>
      <c r="VK90" s="267"/>
      <c r="VL90" s="267"/>
      <c r="VM90" s="267"/>
      <c r="VN90" s="267"/>
      <c r="VO90" s="267"/>
      <c r="VP90" s="267"/>
      <c r="VQ90" s="267"/>
      <c r="VR90" s="267"/>
      <c r="VS90" s="267"/>
      <c r="VT90" s="267"/>
      <c r="VU90" s="267"/>
      <c r="VV90" s="267"/>
      <c r="VW90" s="267"/>
      <c r="VX90" s="267"/>
      <c r="VY90" s="267"/>
      <c r="VZ90" s="267"/>
      <c r="WA90" s="267"/>
      <c r="WB90" s="267"/>
      <c r="WC90" s="267"/>
      <c r="WD90" s="267"/>
      <c r="WE90" s="267"/>
      <c r="WF90" s="267"/>
      <c r="WG90" s="267"/>
      <c r="WH90" s="267"/>
      <c r="WI90" s="267"/>
      <c r="WJ90" s="267"/>
      <c r="WK90" s="267"/>
      <c r="WL90" s="267"/>
      <c r="WM90" s="267"/>
      <c r="WN90" s="267"/>
      <c r="WO90" s="267"/>
      <c r="WP90" s="267"/>
      <c r="WQ90" s="267"/>
      <c r="WR90" s="267"/>
      <c r="WS90" s="267"/>
      <c r="WT90" s="267"/>
      <c r="WU90" s="267"/>
      <c r="WV90" s="267"/>
      <c r="WW90" s="267"/>
      <c r="WX90" s="267"/>
      <c r="WY90" s="267"/>
      <c r="WZ90" s="267"/>
      <c r="XA90" s="267"/>
      <c r="XB90" s="267"/>
      <c r="XC90" s="267"/>
      <c r="XD90" s="267"/>
      <c r="XE90" s="267"/>
      <c r="XF90" s="267"/>
      <c r="XG90" s="267"/>
      <c r="XH90" s="267"/>
      <c r="XI90" s="267"/>
      <c r="XJ90" s="267"/>
      <c r="XK90" s="267"/>
      <c r="XL90" s="267"/>
      <c r="XM90" s="267"/>
      <c r="XN90" s="267"/>
      <c r="XO90" s="267"/>
      <c r="XP90" s="267"/>
      <c r="XQ90" s="267"/>
      <c r="XR90" s="267"/>
      <c r="XS90" s="267"/>
      <c r="XT90" s="267"/>
      <c r="XU90" s="267"/>
      <c r="XV90" s="267"/>
      <c r="XW90" s="267"/>
      <c r="XX90" s="267"/>
      <c r="XY90" s="267"/>
      <c r="XZ90" s="267"/>
      <c r="YA90" s="267"/>
      <c r="YB90" s="267"/>
      <c r="YC90" s="267"/>
      <c r="YD90" s="267"/>
      <c r="YE90" s="267"/>
      <c r="YF90" s="267"/>
      <c r="YG90" s="267"/>
      <c r="YH90" s="267"/>
      <c r="YI90" s="267"/>
      <c r="YJ90" s="267"/>
      <c r="YK90" s="267"/>
      <c r="YL90" s="267"/>
      <c r="YM90" s="267"/>
      <c r="YN90" s="267"/>
      <c r="YO90" s="267"/>
      <c r="YP90" s="267"/>
      <c r="YQ90" s="267"/>
      <c r="YR90" s="267"/>
      <c r="YS90" s="267"/>
      <c r="YT90" s="267"/>
      <c r="YU90" s="267"/>
      <c r="YV90" s="267"/>
      <c r="YW90" s="267"/>
      <c r="YX90" s="267"/>
      <c r="YY90" s="267"/>
      <c r="YZ90" s="267"/>
      <c r="ZA90" s="267"/>
      <c r="ZB90" s="267"/>
      <c r="ZC90" s="267"/>
      <c r="ZD90" s="267"/>
      <c r="ZE90" s="267"/>
      <c r="ZF90" s="267"/>
      <c r="ZG90" s="267"/>
      <c r="ZH90" s="267"/>
      <c r="ZI90" s="267"/>
      <c r="ZJ90" s="267"/>
      <c r="ZK90" s="267"/>
      <c r="ZL90" s="267"/>
      <c r="ZM90" s="267"/>
      <c r="ZN90" s="267"/>
      <c r="ZO90" s="267"/>
      <c r="ZP90" s="267"/>
      <c r="ZQ90" s="267"/>
      <c r="ZR90" s="267"/>
      <c r="ZS90" s="267"/>
      <c r="ZT90" s="267"/>
      <c r="ZU90" s="267"/>
      <c r="ZV90" s="267"/>
      <c r="ZW90" s="267"/>
      <c r="ZX90" s="267"/>
      <c r="ZY90" s="267"/>
      <c r="ZZ90" s="267"/>
      <c r="AAA90" s="267"/>
      <c r="AAB90" s="267"/>
      <c r="AAC90" s="267"/>
      <c r="AAD90" s="267"/>
      <c r="AAE90" s="267"/>
      <c r="AAF90" s="267"/>
      <c r="AAG90" s="267"/>
      <c r="AAH90" s="267"/>
      <c r="AAI90" s="267"/>
      <c r="AAJ90" s="267"/>
      <c r="AAK90" s="267"/>
      <c r="AAL90" s="267"/>
      <c r="AAM90" s="267"/>
      <c r="AAN90" s="267"/>
      <c r="AAO90" s="267"/>
      <c r="AAP90" s="267"/>
      <c r="AAQ90" s="267"/>
      <c r="AAR90" s="267"/>
      <c r="AAS90" s="267"/>
      <c r="AAT90" s="267"/>
      <c r="AAU90" s="267"/>
      <c r="AAV90" s="267"/>
      <c r="AAW90" s="267"/>
      <c r="AAX90" s="267"/>
      <c r="AAY90" s="267"/>
      <c r="AAZ90" s="267"/>
      <c r="ABA90" s="267"/>
      <c r="ABB90" s="267"/>
      <c r="ABC90" s="267"/>
      <c r="ABD90" s="267"/>
      <c r="ABE90" s="267"/>
      <c r="ABF90" s="267"/>
      <c r="ABG90" s="267"/>
      <c r="ABH90" s="267"/>
      <c r="ABI90" s="267"/>
      <c r="ABJ90" s="267"/>
      <c r="ABK90" s="267"/>
      <c r="ABL90" s="267"/>
      <c r="ABM90" s="267"/>
      <c r="ABN90" s="267"/>
      <c r="ABO90" s="267"/>
      <c r="ABP90" s="267"/>
      <c r="ABQ90" s="267"/>
      <c r="ABR90" s="267"/>
      <c r="ABS90" s="267"/>
      <c r="ABT90" s="267"/>
      <c r="ABU90" s="267"/>
      <c r="ABV90" s="267"/>
      <c r="ABW90" s="267"/>
      <c r="ABX90" s="267"/>
      <c r="ABY90" s="267"/>
      <c r="ABZ90" s="267"/>
      <c r="ACA90" s="267"/>
      <c r="ACB90" s="267"/>
      <c r="ACC90" s="267"/>
      <c r="ACD90" s="267"/>
      <c r="ACE90" s="267"/>
      <c r="ACF90" s="267"/>
      <c r="ACG90" s="267"/>
      <c r="ACH90" s="267"/>
      <c r="ACI90" s="267"/>
      <c r="ACJ90" s="267"/>
      <c r="ACK90" s="267"/>
      <c r="ACL90" s="267"/>
      <c r="ACM90" s="267"/>
      <c r="ACN90" s="267"/>
      <c r="ACO90" s="267"/>
      <c r="ACP90" s="267"/>
      <c r="ACQ90" s="267"/>
      <c r="ACR90" s="267"/>
      <c r="ACS90" s="267"/>
      <c r="ACT90" s="267"/>
      <c r="ACU90" s="267"/>
      <c r="ACV90" s="267"/>
      <c r="ACW90" s="267"/>
      <c r="ACX90" s="267"/>
      <c r="ACY90" s="267"/>
      <c r="ACZ90" s="267"/>
      <c r="ADA90" s="267"/>
      <c r="ADB90" s="267"/>
      <c r="ADC90" s="267"/>
      <c r="ADD90" s="267"/>
      <c r="ADE90" s="267"/>
      <c r="ADF90" s="267"/>
      <c r="ADG90" s="267"/>
      <c r="ADH90" s="267"/>
      <c r="ADI90" s="267"/>
      <c r="ADJ90" s="267"/>
      <c r="ADK90" s="267"/>
      <c r="ADL90" s="267"/>
      <c r="ADM90" s="267"/>
      <c r="ADN90" s="267"/>
      <c r="ADO90" s="267"/>
      <c r="ADP90" s="267"/>
      <c r="ADQ90" s="267"/>
      <c r="ADR90" s="267"/>
      <c r="ADS90" s="267"/>
      <c r="ADT90" s="267"/>
      <c r="ADU90" s="267"/>
      <c r="ADV90" s="267"/>
      <c r="ADW90" s="267"/>
      <c r="ADX90" s="267"/>
      <c r="ADY90" s="267"/>
      <c r="ADZ90" s="267"/>
      <c r="AEA90" s="267"/>
      <c r="AEB90" s="267"/>
      <c r="AEC90" s="267"/>
      <c r="AED90" s="267"/>
      <c r="AEE90" s="267"/>
      <c r="AEF90" s="267"/>
      <c r="AEG90" s="267"/>
      <c r="AEH90" s="267"/>
      <c r="AEI90" s="267"/>
      <c r="AEJ90" s="267"/>
      <c r="AEK90" s="267"/>
      <c r="AEL90" s="267"/>
      <c r="AEM90" s="267"/>
      <c r="AEN90" s="267"/>
      <c r="AEO90" s="267"/>
      <c r="AEP90" s="267"/>
      <c r="AEQ90" s="267"/>
      <c r="AER90" s="267"/>
      <c r="AES90" s="267"/>
      <c r="AET90" s="267"/>
      <c r="AEU90" s="267"/>
      <c r="AEV90" s="267"/>
      <c r="AEW90" s="267"/>
      <c r="AEX90" s="267"/>
      <c r="AEY90" s="267"/>
      <c r="AEZ90" s="267"/>
      <c r="AFA90" s="267"/>
      <c r="AFB90" s="267"/>
      <c r="AFC90" s="267"/>
      <c r="AFD90" s="267"/>
      <c r="AFE90" s="267"/>
      <c r="AFF90" s="267"/>
      <c r="AFG90" s="267"/>
      <c r="AFH90" s="267"/>
      <c r="AFI90" s="267"/>
      <c r="AFJ90" s="267"/>
      <c r="AFK90" s="267"/>
      <c r="AFL90" s="267"/>
      <c r="AFM90" s="267"/>
      <c r="AFN90" s="267"/>
      <c r="AFO90" s="267"/>
      <c r="AFP90" s="267"/>
      <c r="AFQ90" s="267"/>
      <c r="AFR90" s="267"/>
      <c r="AFS90" s="267"/>
      <c r="AFT90" s="267"/>
      <c r="AFU90" s="267"/>
      <c r="AFV90" s="267"/>
      <c r="AFW90" s="267"/>
      <c r="AFX90" s="267"/>
      <c r="AFY90" s="267"/>
      <c r="AFZ90" s="267"/>
      <c r="AGA90" s="267"/>
      <c r="AGB90" s="267"/>
      <c r="AGC90" s="267"/>
      <c r="AGD90" s="267"/>
      <c r="AGE90" s="267"/>
      <c r="AGF90" s="267"/>
      <c r="AGG90" s="267"/>
      <c r="AGH90" s="267"/>
      <c r="AGI90" s="267"/>
      <c r="AGJ90" s="267"/>
      <c r="AGK90" s="267"/>
      <c r="AGL90" s="267"/>
      <c r="AGM90" s="267"/>
      <c r="AGN90" s="267"/>
      <c r="AGO90" s="267"/>
      <c r="AGP90" s="267"/>
      <c r="AGQ90" s="267"/>
      <c r="AGR90" s="267"/>
      <c r="AGS90" s="267"/>
      <c r="AGT90" s="267"/>
      <c r="AGU90" s="267"/>
      <c r="AGV90" s="267"/>
      <c r="AGW90" s="267"/>
      <c r="AGX90" s="267"/>
      <c r="AGY90" s="267"/>
      <c r="AGZ90" s="267"/>
      <c r="AHA90" s="267"/>
      <c r="AHB90" s="267"/>
      <c r="AHC90" s="267"/>
      <c r="AHD90" s="267"/>
      <c r="AHE90" s="267"/>
      <c r="AHF90" s="267"/>
      <c r="AHG90" s="267"/>
      <c r="AHH90" s="267"/>
      <c r="AHI90" s="267"/>
      <c r="AHJ90" s="267"/>
      <c r="AHK90" s="267"/>
      <c r="AHL90" s="267"/>
      <c r="AHM90" s="267"/>
      <c r="AHN90" s="267"/>
      <c r="AHO90" s="267"/>
      <c r="AHP90" s="267"/>
      <c r="AHQ90" s="267"/>
      <c r="AHR90" s="267"/>
      <c r="AHS90" s="267"/>
      <c r="AHT90" s="267"/>
      <c r="AHU90" s="267"/>
      <c r="AHV90" s="267"/>
      <c r="AHW90" s="267"/>
      <c r="AHX90" s="267"/>
      <c r="AHY90" s="267"/>
      <c r="AHZ90" s="267"/>
      <c r="AIA90" s="267"/>
      <c r="AIB90" s="267"/>
      <c r="AIC90" s="267"/>
      <c r="AID90" s="267"/>
      <c r="AIE90" s="267"/>
      <c r="AIF90" s="267"/>
      <c r="AIG90" s="267"/>
      <c r="AIH90" s="267"/>
      <c r="AII90" s="267"/>
      <c r="AIJ90" s="267"/>
      <c r="AIK90" s="267"/>
      <c r="AIL90" s="267"/>
      <c r="AIM90" s="267"/>
      <c r="AIN90" s="267"/>
      <c r="AIO90" s="267"/>
      <c r="AIP90" s="267"/>
      <c r="AIQ90" s="267"/>
      <c r="AIR90" s="267"/>
      <c r="AIS90" s="267"/>
      <c r="AIT90" s="267"/>
      <c r="AIU90" s="267"/>
      <c r="AIV90" s="267"/>
      <c r="AIW90" s="267"/>
      <c r="AIX90" s="267"/>
      <c r="AIY90" s="267"/>
      <c r="AIZ90" s="267"/>
      <c r="AJA90" s="267"/>
      <c r="AJB90" s="267"/>
      <c r="AJC90" s="267"/>
      <c r="AJD90" s="267"/>
      <c r="AJE90" s="267"/>
      <c r="AJF90" s="267"/>
      <c r="AJG90" s="267"/>
      <c r="AJH90" s="267"/>
      <c r="AJI90" s="267"/>
      <c r="AJJ90" s="267"/>
      <c r="AJK90" s="267"/>
      <c r="AJL90" s="267"/>
      <c r="AJM90" s="267"/>
      <c r="AJN90" s="267"/>
      <c r="AJO90" s="267"/>
      <c r="AJP90" s="267"/>
      <c r="AJQ90" s="267"/>
      <c r="AJR90" s="267"/>
      <c r="AJS90" s="267"/>
      <c r="AJT90" s="267"/>
      <c r="AJU90" s="267"/>
      <c r="AJV90" s="267"/>
      <c r="AJW90" s="267"/>
      <c r="AJX90" s="267"/>
      <c r="AJY90" s="267"/>
      <c r="AJZ90" s="267"/>
      <c r="AKA90" s="267"/>
      <c r="AKB90" s="267"/>
      <c r="AKC90" s="267"/>
      <c r="AKD90" s="267"/>
      <c r="AKE90" s="267"/>
      <c r="AKF90" s="267"/>
      <c r="AKG90" s="267"/>
      <c r="AKH90" s="267"/>
      <c r="AKI90" s="267"/>
      <c r="AKJ90" s="267"/>
      <c r="AKK90" s="267"/>
      <c r="AKL90" s="267"/>
      <c r="AKM90" s="267"/>
      <c r="AKN90" s="267"/>
      <c r="AKO90" s="267"/>
      <c r="AKP90" s="267"/>
      <c r="AKQ90" s="267"/>
      <c r="AKR90" s="267"/>
      <c r="AKS90" s="267"/>
      <c r="AKT90" s="267"/>
      <c r="AKU90" s="267"/>
      <c r="AKV90" s="267"/>
      <c r="AKW90" s="267"/>
      <c r="AKX90" s="267"/>
      <c r="AKY90" s="267"/>
      <c r="AKZ90" s="267"/>
      <c r="ALA90" s="267"/>
      <c r="ALB90" s="267"/>
      <c r="ALC90" s="267"/>
      <c r="ALD90" s="267"/>
      <c r="ALE90" s="267"/>
      <c r="ALF90" s="267"/>
      <c r="ALG90" s="267"/>
      <c r="ALH90" s="267"/>
      <c r="ALI90" s="267"/>
      <c r="ALJ90" s="267"/>
      <c r="ALK90" s="267"/>
      <c r="ALL90" s="267"/>
      <c r="ALM90" s="267"/>
      <c r="ALN90" s="267"/>
      <c r="ALO90" s="267"/>
      <c r="ALP90" s="267"/>
      <c r="ALQ90" s="267"/>
      <c r="ALR90" s="267"/>
      <c r="ALS90" s="267"/>
      <c r="ALT90" s="267"/>
      <c r="ALU90" s="267"/>
      <c r="ALV90" s="267"/>
      <c r="ALW90" s="267"/>
      <c r="ALX90" s="267"/>
      <c r="ALY90" s="267"/>
      <c r="ALZ90" s="267"/>
      <c r="AMA90" s="267"/>
      <c r="AMB90" s="267"/>
      <c r="AMC90" s="267"/>
      <c r="AMD90" s="267"/>
      <c r="AME90" s="267"/>
      <c r="AMF90" s="267"/>
      <c r="AMG90" s="267"/>
      <c r="AMH90" s="267"/>
      <c r="AMI90" s="267"/>
      <c r="AMJ90" s="267"/>
    </row>
    <row r="91" spans="1:1024" s="268" customFormat="1" ht="11.25">
      <c r="B91" s="265"/>
      <c r="C91" s="691"/>
      <c r="D91" s="756" t="s">
        <v>2748</v>
      </c>
      <c r="E91" s="756"/>
      <c r="F91" s="757"/>
      <c r="G91" s="353"/>
      <c r="H91" s="354">
        <f>IF((H90-G90)/30&lt;0,"No Data",(H90-G90)/30)</f>
        <v>0</v>
      </c>
      <c r="I91" s="354">
        <f>IF((I90-H90)/30&lt;0,"No Data",(I90-H90)/30)</f>
        <v>0</v>
      </c>
      <c r="J91" s="354">
        <f>IF((J90-I90)/30&lt;0,"No Data",(J90-I90)/30)</f>
        <v>0</v>
      </c>
      <c r="K91" s="355">
        <f>IF((K90-J90)/30&lt;0,"No Data",(K90-J90)/30)</f>
        <v>0</v>
      </c>
      <c r="L91" s="269"/>
    </row>
    <row r="92" spans="1:1024" ht="17.25" customHeight="1">
      <c r="A92" s="268"/>
      <c r="B92" s="127"/>
      <c r="C92" s="708" t="s">
        <v>2749</v>
      </c>
      <c r="D92" s="709"/>
      <c r="E92" s="709"/>
      <c r="F92" s="709"/>
      <c r="G92" s="270">
        <f>G84-SUM(G87:G88)</f>
        <v>0</v>
      </c>
      <c r="H92" s="270">
        <f>H84-SUM(H87:H88)</f>
        <v>0</v>
      </c>
      <c r="I92" s="270">
        <f>I84-SUM(I87:I88)</f>
        <v>0</v>
      </c>
      <c r="J92" s="270">
        <f>J84-SUM(J87:J88)</f>
        <v>0</v>
      </c>
      <c r="K92" s="271">
        <f>K84-SUM(K87:K88)</f>
        <v>0</v>
      </c>
      <c r="L92" s="128"/>
    </row>
    <row r="93" spans="1:1024" ht="7.5" customHeight="1">
      <c r="B93" s="127"/>
      <c r="C93" s="671"/>
      <c r="D93" s="672"/>
      <c r="E93" s="672"/>
      <c r="F93" s="672"/>
      <c r="G93" s="672"/>
      <c r="H93" s="672"/>
      <c r="I93" s="672"/>
      <c r="J93" s="672"/>
      <c r="K93" s="673"/>
      <c r="L93" s="128"/>
    </row>
    <row r="94" spans="1:1024" ht="15" customHeight="1">
      <c r="B94" s="127"/>
      <c r="C94" s="127"/>
      <c r="D94" s="611" t="s">
        <v>2750</v>
      </c>
      <c r="E94" s="612"/>
      <c r="F94" s="613"/>
      <c r="G94" s="229"/>
      <c r="H94" s="229"/>
      <c r="I94" s="229"/>
      <c r="J94" s="229"/>
      <c r="K94" s="230"/>
      <c r="L94" s="128"/>
    </row>
    <row r="95" spans="1:1024" ht="17.25" customHeight="1">
      <c r="A95" s="268"/>
      <c r="B95" s="127"/>
      <c r="C95" s="708" t="s">
        <v>2751</v>
      </c>
      <c r="D95" s="709"/>
      <c r="E95" s="709"/>
      <c r="F95" s="709"/>
      <c r="G95" s="270">
        <f>G92+G94</f>
        <v>0</v>
      </c>
      <c r="H95" s="270">
        <f>H92+H94</f>
        <v>0</v>
      </c>
      <c r="I95" s="270">
        <f>I92+I94</f>
        <v>0</v>
      </c>
      <c r="J95" s="270">
        <f>J92+J94</f>
        <v>0</v>
      </c>
      <c r="K95" s="271">
        <f>K92+K94</f>
        <v>0</v>
      </c>
      <c r="L95" s="128"/>
    </row>
    <row r="96" spans="1:1024" ht="15">
      <c r="B96" s="127"/>
      <c r="C96" s="127"/>
      <c r="D96" s="611" t="s">
        <v>2752</v>
      </c>
      <c r="E96" s="612"/>
      <c r="F96" s="613"/>
      <c r="G96" s="229">
        <f>G97+G98</f>
        <v>0</v>
      </c>
      <c r="H96" s="229">
        <f>H97+H98</f>
        <v>0</v>
      </c>
      <c r="I96" s="229">
        <f>I97+I98</f>
        <v>0</v>
      </c>
      <c r="J96" s="229">
        <f>J97+J98</f>
        <v>0</v>
      </c>
      <c r="K96" s="230">
        <f>K97+K98</f>
        <v>0</v>
      </c>
      <c r="L96" s="128"/>
    </row>
    <row r="97" spans="1:12" s="218" customFormat="1" ht="12" outlineLevel="1">
      <c r="B97" s="219"/>
      <c r="C97" s="219"/>
      <c r="D97" s="220"/>
      <c r="E97" s="701" t="s">
        <v>2753</v>
      </c>
      <c r="F97" s="702"/>
      <c r="G97" s="223"/>
      <c r="H97" s="223"/>
      <c r="I97" s="223"/>
      <c r="J97" s="223"/>
      <c r="K97" s="224"/>
      <c r="L97" s="225"/>
    </row>
    <row r="98" spans="1:12" s="218" customFormat="1" ht="12" outlineLevel="1">
      <c r="B98" s="219"/>
      <c r="C98" s="219"/>
      <c r="E98" s="621" t="s">
        <v>2754</v>
      </c>
      <c r="F98" s="622"/>
      <c r="G98" s="227"/>
      <c r="H98" s="227"/>
      <c r="I98" s="227"/>
      <c r="J98" s="227"/>
      <c r="K98" s="228"/>
      <c r="L98" s="225"/>
    </row>
    <row r="99" spans="1:12" s="125" customFormat="1" ht="14.25">
      <c r="A99" s="124"/>
      <c r="B99" s="214"/>
      <c r="C99" s="732" t="s">
        <v>2755</v>
      </c>
      <c r="D99" s="733"/>
      <c r="E99" s="733"/>
      <c r="F99" s="734"/>
      <c r="G99" s="273">
        <f>G92-G96</f>
        <v>0</v>
      </c>
      <c r="H99" s="273">
        <f>H92-H96</f>
        <v>0</v>
      </c>
      <c r="I99" s="273">
        <f>I92-I96</f>
        <v>0</v>
      </c>
      <c r="J99" s="273">
        <f>J92-J96</f>
        <v>0</v>
      </c>
      <c r="K99" s="274">
        <f>K92-K96</f>
        <v>0</v>
      </c>
      <c r="L99" s="200"/>
    </row>
    <row r="100" spans="1:12" s="125" customFormat="1" ht="12.75">
      <c r="B100" s="214"/>
      <c r="C100" s="732" t="s">
        <v>2756</v>
      </c>
      <c r="D100" s="733"/>
      <c r="E100" s="733"/>
      <c r="F100" s="734"/>
      <c r="G100" s="273">
        <f>G92+G57+G58+G63+G49</f>
        <v>0</v>
      </c>
      <c r="H100" s="273">
        <f>H92+H57+H58+H63+H49</f>
        <v>0</v>
      </c>
      <c r="I100" s="273">
        <f>I92+I57+I58+I63+I49</f>
        <v>0</v>
      </c>
      <c r="J100" s="273">
        <f>J92+J57+J58+J63+J49</f>
        <v>0</v>
      </c>
      <c r="K100" s="274">
        <f>K92+K57+K58+K63+K49</f>
        <v>0</v>
      </c>
      <c r="L100" s="200"/>
    </row>
    <row r="101" spans="1:12" ht="14.25" customHeight="1">
      <c r="A101" s="125"/>
      <c r="B101" s="127"/>
      <c r="C101" s="272"/>
      <c r="D101" s="275"/>
      <c r="E101" s="275"/>
      <c r="F101" s="243"/>
      <c r="G101" s="276"/>
      <c r="H101" s="277"/>
      <c r="I101" s="277"/>
      <c r="J101" s="277"/>
      <c r="K101" s="278"/>
      <c r="L101" s="128"/>
    </row>
    <row r="102" spans="1:12" ht="19.5">
      <c r="B102" s="127"/>
      <c r="C102" s="720" t="s">
        <v>2757</v>
      </c>
      <c r="D102" s="721"/>
      <c r="E102" s="721"/>
      <c r="F102" s="721"/>
      <c r="G102" s="721"/>
      <c r="H102" s="721"/>
      <c r="I102" s="721"/>
      <c r="J102" s="721"/>
      <c r="K102" s="722"/>
      <c r="L102" s="128"/>
    </row>
    <row r="103" spans="1:12" ht="17.25" customHeight="1">
      <c r="B103" s="127"/>
      <c r="C103" s="623" t="s">
        <v>2758</v>
      </c>
      <c r="D103" s="624"/>
      <c r="E103" s="624"/>
      <c r="F103" s="625" t="s">
        <v>2759</v>
      </c>
      <c r="G103" s="279" t="str">
        <f>G6</f>
        <v>-</v>
      </c>
      <c r="H103" s="279" t="str">
        <f>H6</f>
        <v>-</v>
      </c>
      <c r="I103" s="279">
        <f>I6</f>
        <v>0</v>
      </c>
      <c r="J103" s="279">
        <f>J6</f>
        <v>366</v>
      </c>
      <c r="K103" s="280">
        <f>K6</f>
        <v>731</v>
      </c>
      <c r="L103" s="128"/>
    </row>
    <row r="104" spans="1:12" ht="15">
      <c r="B104" s="127"/>
      <c r="C104" s="665"/>
      <c r="D104" s="666"/>
      <c r="E104" s="666"/>
      <c r="F104" s="667"/>
      <c r="G104" s="666"/>
      <c r="H104" s="666"/>
      <c r="I104" s="666"/>
      <c r="J104" s="666"/>
      <c r="K104" s="668"/>
      <c r="L104" s="128"/>
    </row>
    <row r="105" spans="1:12" ht="18">
      <c r="B105" s="127"/>
      <c r="C105" s="654" t="s">
        <v>2760</v>
      </c>
      <c r="D105" s="655"/>
      <c r="E105" s="655"/>
      <c r="F105" s="655"/>
      <c r="G105" s="655"/>
      <c r="H105" s="655"/>
      <c r="I105" s="655"/>
      <c r="J105" s="655"/>
      <c r="K105" s="656"/>
      <c r="L105" s="128"/>
    </row>
    <row r="106" spans="1:12" ht="17.25" customHeight="1">
      <c r="B106" s="127"/>
      <c r="C106" s="689" t="s">
        <v>2761</v>
      </c>
      <c r="D106" s="690"/>
      <c r="E106" s="690"/>
      <c r="F106" s="690"/>
      <c r="G106" s="286"/>
      <c r="H106" s="287"/>
      <c r="I106" s="287"/>
      <c r="J106" s="287"/>
      <c r="K106" s="288"/>
      <c r="L106" s="128"/>
    </row>
    <row r="107" spans="1:12" ht="17.25" customHeight="1">
      <c r="B107" s="127"/>
      <c r="C107" s="284"/>
      <c r="D107" s="697" t="s">
        <v>2762</v>
      </c>
      <c r="E107" s="697"/>
      <c r="F107" s="698"/>
      <c r="G107" s="229">
        <f>SUM(G108:G112)</f>
        <v>0</v>
      </c>
      <c r="H107" s="229">
        <f>SUM(H108:H112)</f>
        <v>0</v>
      </c>
      <c r="I107" s="229">
        <f>SUM(I108:I112)</f>
        <v>0</v>
      </c>
      <c r="J107" s="229">
        <f>SUM(J108:J112)</f>
        <v>0</v>
      </c>
      <c r="K107" s="230">
        <f>SUM(K108:K112)</f>
        <v>0</v>
      </c>
      <c r="L107" s="128"/>
    </row>
    <row r="108" spans="1:12" s="218" customFormat="1" ht="12" outlineLevel="1">
      <c r="B108" s="219"/>
      <c r="C108" s="618"/>
      <c r="D108" s="220"/>
      <c r="E108" s="616" t="s">
        <v>2763</v>
      </c>
      <c r="F108" s="617"/>
      <c r="G108" s="223"/>
      <c r="H108" s="223"/>
      <c r="I108" s="356"/>
      <c r="J108" s="223"/>
      <c r="K108" s="224"/>
      <c r="L108" s="225"/>
    </row>
    <row r="109" spans="1:12" s="218" customFormat="1" ht="12" outlineLevel="1">
      <c r="B109" s="219"/>
      <c r="C109" s="618"/>
      <c r="E109" s="621" t="s">
        <v>2764</v>
      </c>
      <c r="F109" s="622"/>
      <c r="G109" s="349"/>
      <c r="H109" s="349"/>
      <c r="I109" s="349"/>
      <c r="J109" s="227"/>
      <c r="K109" s="228"/>
      <c r="L109" s="225"/>
    </row>
    <row r="110" spans="1:12" s="218" customFormat="1" ht="12" outlineLevel="1">
      <c r="B110" s="219"/>
      <c r="C110" s="618"/>
      <c r="E110" s="621" t="s">
        <v>2765</v>
      </c>
      <c r="F110" s="622"/>
      <c r="G110" s="349"/>
      <c r="H110" s="349"/>
      <c r="I110" s="349"/>
      <c r="J110" s="227"/>
      <c r="K110" s="228"/>
      <c r="L110" s="225"/>
    </row>
    <row r="111" spans="1:12" s="218" customFormat="1" ht="12" outlineLevel="1">
      <c r="B111" s="219"/>
      <c r="C111" s="618"/>
      <c r="E111" s="621" t="s">
        <v>2766</v>
      </c>
      <c r="F111" s="622"/>
      <c r="G111" s="349"/>
      <c r="H111" s="349"/>
      <c r="I111" s="349"/>
      <c r="J111" s="227"/>
      <c r="K111" s="228"/>
      <c r="L111" s="225"/>
    </row>
    <row r="112" spans="1:12" s="218" customFormat="1" ht="12" outlineLevel="1">
      <c r="B112" s="219"/>
      <c r="C112" s="618"/>
      <c r="E112" s="621" t="s">
        <v>2767</v>
      </c>
      <c r="F112" s="622"/>
      <c r="G112" s="349"/>
      <c r="H112" s="349"/>
      <c r="I112" s="349"/>
      <c r="J112" s="227"/>
      <c r="K112" s="228"/>
      <c r="L112" s="225"/>
    </row>
    <row r="113" spans="1:13" s="125" customFormat="1" ht="12.75">
      <c r="B113" s="214"/>
      <c r="C113" s="618"/>
      <c r="D113" s="611" t="s">
        <v>2768</v>
      </c>
      <c r="E113" s="612"/>
      <c r="F113" s="613"/>
      <c r="G113" s="229">
        <f>SUM(G114:G118)</f>
        <v>0</v>
      </c>
      <c r="H113" s="229">
        <f>SUM(H114:H118)</f>
        <v>0</v>
      </c>
      <c r="I113" s="229">
        <f>SUM(I114:I118)</f>
        <v>0</v>
      </c>
      <c r="J113" s="229">
        <f>SUM(J114:J118)</f>
        <v>0</v>
      </c>
      <c r="K113" s="230">
        <f>SUM(K114:K118)</f>
        <v>0</v>
      </c>
      <c r="L113" s="200"/>
    </row>
    <row r="114" spans="1:13" s="218" customFormat="1" ht="12" outlineLevel="1">
      <c r="B114" s="219"/>
      <c r="C114" s="618"/>
      <c r="D114" s="220"/>
      <c r="E114" s="701" t="s">
        <v>2769</v>
      </c>
      <c r="F114" s="702"/>
      <c r="G114" s="348"/>
      <c r="H114" s="348"/>
      <c r="I114" s="348"/>
      <c r="J114" s="223"/>
      <c r="K114" s="224"/>
      <c r="L114" s="225"/>
      <c r="M114" s="227"/>
    </row>
    <row r="115" spans="1:13" s="218" customFormat="1" ht="12" outlineLevel="1">
      <c r="B115" s="219"/>
      <c r="C115" s="618"/>
      <c r="E115" s="621" t="s">
        <v>2770</v>
      </c>
      <c r="F115" s="622"/>
      <c r="G115" s="349"/>
      <c r="H115" s="349"/>
      <c r="I115" s="349"/>
      <c r="J115" s="227"/>
      <c r="K115" s="228"/>
      <c r="L115" s="225"/>
    </row>
    <row r="116" spans="1:13" s="218" customFormat="1" ht="12" outlineLevel="1">
      <c r="B116" s="219"/>
      <c r="C116" s="618"/>
      <c r="E116" s="626" t="s">
        <v>2771</v>
      </c>
      <c r="F116" s="627"/>
      <c r="G116" s="240"/>
      <c r="H116" s="349"/>
      <c r="I116" s="349"/>
      <c r="J116" s="227"/>
      <c r="K116" s="228"/>
      <c r="L116" s="225"/>
    </row>
    <row r="117" spans="1:13" s="218" customFormat="1" ht="12" outlineLevel="1">
      <c r="B117" s="219"/>
      <c r="C117" s="618"/>
      <c r="E117" s="626" t="s">
        <v>2772</v>
      </c>
      <c r="F117" s="627"/>
      <c r="G117" s="349"/>
      <c r="H117" s="349"/>
      <c r="I117" s="349"/>
      <c r="J117" s="227"/>
      <c r="K117" s="228"/>
      <c r="L117" s="225"/>
    </row>
    <row r="118" spans="1:13" s="218" customFormat="1" ht="12" outlineLevel="1">
      <c r="B118" s="219"/>
      <c r="C118" s="686"/>
      <c r="D118" s="241"/>
      <c r="E118" s="663" t="s">
        <v>2773</v>
      </c>
      <c r="F118" s="664"/>
      <c r="G118" s="357"/>
      <c r="H118" s="231"/>
      <c r="I118" s="231"/>
      <c r="J118" s="231"/>
      <c r="K118" s="232"/>
      <c r="L118" s="225"/>
    </row>
    <row r="119" spans="1:13" ht="17.25" customHeight="1">
      <c r="A119" s="125"/>
      <c r="B119" s="127"/>
      <c r="C119" s="609" t="s">
        <v>2774</v>
      </c>
      <c r="D119" s="610"/>
      <c r="E119" s="610"/>
      <c r="F119" s="610"/>
      <c r="G119" s="233">
        <f>SUM(G107,G113)</f>
        <v>0</v>
      </c>
      <c r="H119" s="233">
        <f>SUM(H107,H113)</f>
        <v>0</v>
      </c>
      <c r="I119" s="233">
        <f>SUM(I107,I113)</f>
        <v>0</v>
      </c>
      <c r="J119" s="233">
        <f>SUM(J107,J113)</f>
        <v>0</v>
      </c>
      <c r="K119" s="234">
        <f>SUM(K107,K113)</f>
        <v>0</v>
      </c>
      <c r="L119" s="128"/>
    </row>
    <row r="120" spans="1:13" s="125" customFormat="1" ht="7.5" customHeight="1">
      <c r="A120" s="124"/>
      <c r="B120" s="214"/>
      <c r="C120" s="618"/>
      <c r="D120" s="619"/>
      <c r="E120" s="619"/>
      <c r="F120" s="619"/>
      <c r="G120" s="619"/>
      <c r="H120" s="619"/>
      <c r="I120" s="619"/>
      <c r="J120" s="619"/>
      <c r="K120" s="662"/>
      <c r="L120" s="200"/>
    </row>
    <row r="121" spans="1:13" ht="17.25" customHeight="1">
      <c r="A121" s="285"/>
      <c r="B121" s="127"/>
      <c r="C121" s="609" t="s">
        <v>2775</v>
      </c>
      <c r="D121" s="610"/>
      <c r="E121" s="610"/>
      <c r="F121" s="610" t="s">
        <v>2776</v>
      </c>
      <c r="G121" s="233">
        <f>G119-G116+G129+G149-G160-G180-G201</f>
        <v>0</v>
      </c>
      <c r="H121" s="233">
        <f>H119-H116+H129+H149-H160-H180-H201</f>
        <v>0</v>
      </c>
      <c r="I121" s="233">
        <f>I119-I116+I129+I149-I160-I180-I201</f>
        <v>0</v>
      </c>
      <c r="J121" s="233">
        <f>J119-J116+J129+J149-J160-J180-J201</f>
        <v>0</v>
      </c>
      <c r="K121" s="234">
        <f>K119-K116+K129+K149-K160-K180-K201</f>
        <v>0</v>
      </c>
      <c r="L121" s="128"/>
    </row>
    <row r="122" spans="1:13" ht="7.5" customHeight="1">
      <c r="B122" s="127"/>
      <c r="C122" s="671"/>
      <c r="D122" s="672"/>
      <c r="E122" s="672"/>
      <c r="F122" s="672"/>
      <c r="G122" s="672"/>
      <c r="H122" s="672"/>
      <c r="I122" s="672"/>
      <c r="J122" s="672"/>
      <c r="K122" s="673"/>
      <c r="L122" s="128"/>
    </row>
    <row r="123" spans="1:13" ht="17.25" customHeight="1">
      <c r="B123" s="127"/>
      <c r="C123" s="689" t="s">
        <v>2777</v>
      </c>
      <c r="D123" s="690"/>
      <c r="E123" s="690"/>
      <c r="F123" s="690"/>
      <c r="G123" s="286"/>
      <c r="H123" s="287"/>
      <c r="I123" s="287"/>
      <c r="J123" s="287"/>
      <c r="K123" s="288"/>
      <c r="L123" s="128"/>
    </row>
    <row r="124" spans="1:13" ht="17.25" customHeight="1">
      <c r="B124" s="127"/>
      <c r="C124" s="689" t="s">
        <v>2778</v>
      </c>
      <c r="D124" s="690"/>
      <c r="E124" s="690"/>
      <c r="F124" s="690"/>
      <c r="G124" s="286"/>
      <c r="H124" s="287"/>
      <c r="I124" s="287"/>
      <c r="J124" s="287"/>
      <c r="K124" s="288"/>
      <c r="L124" s="128"/>
    </row>
    <row r="125" spans="1:13" s="125" customFormat="1" ht="14.25">
      <c r="A125" s="124"/>
      <c r="B125" s="214"/>
      <c r="C125" s="252"/>
      <c r="D125" s="611" t="s">
        <v>2779</v>
      </c>
      <c r="E125" s="612"/>
      <c r="F125" s="613"/>
      <c r="G125" s="229">
        <f>SUM(G126:G132)</f>
        <v>0</v>
      </c>
      <c r="H125" s="229">
        <f>SUM(H126:H132)</f>
        <v>0</v>
      </c>
      <c r="I125" s="229">
        <f>SUM(I126:I132)</f>
        <v>0</v>
      </c>
      <c r="J125" s="229">
        <f>SUM(J126:J132)</f>
        <v>0</v>
      </c>
      <c r="K125" s="230">
        <f>SUM(K126:K132)</f>
        <v>0</v>
      </c>
      <c r="L125" s="200"/>
    </row>
    <row r="126" spans="1:13" s="218" customFormat="1" ht="14.25" customHeight="1" outlineLevel="1">
      <c r="A126" s="125"/>
      <c r="B126" s="219"/>
      <c r="C126" s="252"/>
      <c r="D126" s="220"/>
      <c r="E126" s="616" t="s">
        <v>2780</v>
      </c>
      <c r="F126" s="617"/>
      <c r="G126" s="348"/>
      <c r="H126" s="223"/>
      <c r="I126" s="223"/>
      <c r="J126" s="223"/>
      <c r="K126" s="224"/>
      <c r="L126" s="225"/>
    </row>
    <row r="127" spans="1:13" s="218" customFormat="1" ht="14.25" customHeight="1" outlineLevel="1">
      <c r="B127" s="219"/>
      <c r="C127" s="252"/>
      <c r="E127" s="626" t="s">
        <v>2781</v>
      </c>
      <c r="F127" s="627"/>
      <c r="G127" s="227"/>
      <c r="H127" s="227"/>
      <c r="I127" s="227"/>
      <c r="J127" s="227"/>
      <c r="K127" s="228"/>
      <c r="L127" s="225"/>
    </row>
    <row r="128" spans="1:13" s="218" customFormat="1" ht="14.25" customHeight="1" outlineLevel="1">
      <c r="B128" s="219"/>
      <c r="C128" s="252"/>
      <c r="E128" s="626" t="s">
        <v>2782</v>
      </c>
      <c r="F128" s="627"/>
      <c r="G128" s="227"/>
      <c r="H128" s="227"/>
      <c r="I128" s="227"/>
      <c r="J128" s="227"/>
      <c r="K128" s="228"/>
      <c r="L128" s="225"/>
    </row>
    <row r="129" spans="1:13" s="125" customFormat="1" ht="12.75" outlineLevel="1">
      <c r="B129" s="289"/>
      <c r="C129" s="214"/>
      <c r="E129" s="626" t="s">
        <v>2783</v>
      </c>
      <c r="F129" s="627"/>
      <c r="G129" s="227"/>
      <c r="H129" s="227"/>
      <c r="I129" s="227"/>
      <c r="J129" s="227"/>
      <c r="K129" s="228"/>
      <c r="L129" s="200"/>
    </row>
    <row r="130" spans="1:13" s="218" customFormat="1" ht="14.25" customHeight="1" outlineLevel="1">
      <c r="B130" s="219"/>
      <c r="C130" s="252"/>
      <c r="E130" s="626" t="s">
        <v>2784</v>
      </c>
      <c r="F130" s="627"/>
      <c r="G130" s="227"/>
      <c r="H130" s="227"/>
      <c r="I130" s="227"/>
      <c r="J130" s="227"/>
      <c r="K130" s="228"/>
      <c r="L130" s="225"/>
      <c r="M130" s="125"/>
    </row>
    <row r="131" spans="1:13" s="218" customFormat="1" ht="14.25" customHeight="1" outlineLevel="1">
      <c r="B131" s="219"/>
      <c r="C131" s="252"/>
      <c r="E131" s="626" t="s">
        <v>2785</v>
      </c>
      <c r="F131" s="627"/>
      <c r="G131" s="227"/>
      <c r="H131" s="227"/>
      <c r="I131" s="227"/>
      <c r="J131" s="227"/>
      <c r="K131" s="228"/>
      <c r="L131" s="225"/>
      <c r="M131" s="125"/>
    </row>
    <row r="132" spans="1:13" s="125" customFormat="1" ht="14.25" outlineLevel="1">
      <c r="B132" s="214"/>
      <c r="C132" s="252"/>
      <c r="E132" s="626" t="s">
        <v>2786</v>
      </c>
      <c r="F132" s="627"/>
      <c r="G132" s="227"/>
      <c r="H132" s="227"/>
      <c r="I132" s="227"/>
      <c r="J132" s="227"/>
      <c r="K132" s="228"/>
      <c r="L132" s="200"/>
    </row>
    <row r="133" spans="1:13" s="125" customFormat="1" ht="14.25">
      <c r="A133" s="218"/>
      <c r="B133" s="214"/>
      <c r="C133" s="252"/>
      <c r="D133" s="611" t="s">
        <v>2787</v>
      </c>
      <c r="E133" s="612"/>
      <c r="F133" s="613"/>
      <c r="G133" s="227"/>
      <c r="H133" s="299"/>
      <c r="I133" s="299"/>
      <c r="J133" s="212"/>
      <c r="K133" s="213"/>
      <c r="L133" s="200"/>
    </row>
    <row r="134" spans="1:13" s="125" customFormat="1" ht="14.25">
      <c r="B134" s="214"/>
      <c r="C134" s="252"/>
      <c r="D134" s="646" t="s">
        <v>2788</v>
      </c>
      <c r="E134" s="647"/>
      <c r="F134" s="648"/>
      <c r="G134" s="290">
        <f>SUM(G135:G136)</f>
        <v>0</v>
      </c>
      <c r="H134" s="290">
        <f>SUM(H135:H136)</f>
        <v>0</v>
      </c>
      <c r="I134" s="290">
        <f>SUM(I135:I136)</f>
        <v>0</v>
      </c>
      <c r="J134" s="290">
        <f>SUM(J135:J136)</f>
        <v>0</v>
      </c>
      <c r="K134" s="291">
        <f>SUM(K135:K136)</f>
        <v>0</v>
      </c>
      <c r="L134" s="200"/>
    </row>
    <row r="135" spans="1:13" s="125" customFormat="1" ht="14.25">
      <c r="B135" s="214"/>
      <c r="C135" s="252"/>
      <c r="D135" s="211"/>
      <c r="E135" s="626" t="s">
        <v>2789</v>
      </c>
      <c r="F135" s="627"/>
      <c r="G135" s="348"/>
      <c r="H135" s="223"/>
      <c r="I135" s="223"/>
      <c r="J135" s="212"/>
      <c r="K135" s="213"/>
      <c r="L135" s="200"/>
    </row>
    <row r="136" spans="1:13" s="125" customFormat="1" ht="16.5" customHeight="1">
      <c r="B136" s="214"/>
      <c r="C136" s="252"/>
      <c r="D136" s="211"/>
      <c r="E136" s="626" t="s">
        <v>2790</v>
      </c>
      <c r="F136" s="627"/>
      <c r="G136" s="227"/>
      <c r="H136" s="212"/>
      <c r="I136" s="212"/>
      <c r="J136" s="212"/>
      <c r="K136" s="213"/>
      <c r="L136" s="200"/>
    </row>
    <row r="137" spans="1:13" s="125" customFormat="1" ht="14.25">
      <c r="B137" s="214"/>
      <c r="C137" s="252"/>
      <c r="D137" s="611" t="s">
        <v>2791</v>
      </c>
      <c r="E137" s="612"/>
      <c r="F137" s="613"/>
      <c r="G137" s="212">
        <f>SUM(G138:G139)</f>
        <v>0</v>
      </c>
      <c r="H137" s="212">
        <f>SUM(H138:H139)</f>
        <v>0</v>
      </c>
      <c r="I137" s="229">
        <f>SUM(I138:I139)</f>
        <v>0</v>
      </c>
      <c r="J137" s="212">
        <f>SUM(J138:J139)</f>
        <v>0</v>
      </c>
      <c r="K137" s="213">
        <f>SUM(K138:K139)</f>
        <v>0</v>
      </c>
      <c r="L137" s="200"/>
    </row>
    <row r="138" spans="1:13" s="125" customFormat="1" ht="14.25" outlineLevel="1">
      <c r="B138" s="214"/>
      <c r="C138" s="252"/>
      <c r="D138" s="220"/>
      <c r="E138" s="616" t="s">
        <v>2792</v>
      </c>
      <c r="F138" s="617"/>
      <c r="G138" s="348"/>
      <c r="H138" s="223"/>
      <c r="I138" s="223"/>
      <c r="J138" s="223"/>
      <c r="K138" s="224"/>
      <c r="L138" s="200"/>
    </row>
    <row r="139" spans="1:13" s="218" customFormat="1" ht="14.25" customHeight="1" outlineLevel="1">
      <c r="B139" s="219"/>
      <c r="C139" s="252"/>
      <c r="E139" s="626" t="s">
        <v>2793</v>
      </c>
      <c r="F139" s="627"/>
      <c r="G139" s="227"/>
      <c r="H139" s="227"/>
      <c r="I139" s="227"/>
      <c r="J139" s="227"/>
      <c r="K139" s="228"/>
      <c r="L139" s="225"/>
    </row>
    <row r="140" spans="1:13" s="125" customFormat="1" ht="14.25">
      <c r="B140" s="214"/>
      <c r="C140" s="292"/>
      <c r="D140" s="646" t="s">
        <v>2794</v>
      </c>
      <c r="E140" s="647"/>
      <c r="F140" s="648"/>
      <c r="G140" s="290"/>
      <c r="H140" s="344"/>
      <c r="I140" s="344"/>
      <c r="J140" s="344"/>
      <c r="K140" s="345"/>
      <c r="L140" s="200"/>
    </row>
    <row r="141" spans="1:13" ht="17.25" customHeight="1">
      <c r="A141" s="125"/>
      <c r="B141" s="127"/>
      <c r="C141" s="682" t="s">
        <v>2795</v>
      </c>
      <c r="D141" s="683"/>
      <c r="E141" s="683"/>
      <c r="F141" s="683"/>
      <c r="G141" s="256">
        <f>G125+G133+G134+G137+G140</f>
        <v>0</v>
      </c>
      <c r="H141" s="256">
        <f>H125+H133+H134+H137+H140</f>
        <v>0</v>
      </c>
      <c r="I141" s="256">
        <f>I125+I133+I134+I137+I140</f>
        <v>0</v>
      </c>
      <c r="J141" s="256">
        <f>SUM(J133,J134,J137,J140,J125)</f>
        <v>0</v>
      </c>
      <c r="K141" s="259">
        <f>SUM(K133:K140,K125)</f>
        <v>0</v>
      </c>
      <c r="L141" s="128"/>
    </row>
    <row r="142" spans="1:13" ht="7.5" customHeight="1">
      <c r="B142" s="127"/>
      <c r="C142" s="671"/>
      <c r="D142" s="672"/>
      <c r="E142" s="672"/>
      <c r="F142" s="672"/>
      <c r="G142" s="672"/>
      <c r="H142" s="672"/>
      <c r="I142" s="672"/>
      <c r="J142" s="672"/>
      <c r="K142" s="673"/>
      <c r="L142" s="128"/>
    </row>
    <row r="143" spans="1:13" ht="17.25" customHeight="1">
      <c r="B143" s="127"/>
      <c r="C143" s="689" t="s">
        <v>2796</v>
      </c>
      <c r="D143" s="690"/>
      <c r="E143" s="690"/>
      <c r="F143" s="690"/>
      <c r="G143" s="286"/>
      <c r="H143" s="287"/>
      <c r="I143" s="287"/>
      <c r="J143" s="287"/>
      <c r="K143" s="288"/>
      <c r="L143" s="128"/>
    </row>
    <row r="144" spans="1:13" s="125" customFormat="1" ht="14.25">
      <c r="A144" s="124"/>
      <c r="B144" s="214"/>
      <c r="C144" s="689"/>
      <c r="D144" s="611" t="s">
        <v>2797</v>
      </c>
      <c r="E144" s="612"/>
      <c r="F144" s="613"/>
      <c r="G144" s="229">
        <f>SUM(G145:G151)</f>
        <v>0</v>
      </c>
      <c r="H144" s="229">
        <f>SUM(H145:H151)</f>
        <v>0</v>
      </c>
      <c r="I144" s="229">
        <f>SUM(I145:I151)</f>
        <v>0</v>
      </c>
      <c r="J144" s="229">
        <f>SUM(J145:J151)</f>
        <v>0</v>
      </c>
      <c r="K144" s="230">
        <f>SUM(K145:K151)</f>
        <v>0</v>
      </c>
      <c r="L144" s="200"/>
    </row>
    <row r="145" spans="1:12" s="218" customFormat="1" ht="14.25" customHeight="1" outlineLevel="1">
      <c r="B145" s="219"/>
      <c r="C145" s="689"/>
      <c r="D145" s="220"/>
      <c r="E145" s="616" t="s">
        <v>2798</v>
      </c>
      <c r="F145" s="617"/>
      <c r="G145" s="348"/>
      <c r="H145" s="223"/>
      <c r="I145" s="223"/>
      <c r="J145" s="223"/>
      <c r="K145" s="224"/>
      <c r="L145" s="225"/>
    </row>
    <row r="146" spans="1:12" s="218" customFormat="1" ht="12" outlineLevel="1">
      <c r="B146" s="249"/>
      <c r="C146" s="689"/>
      <c r="E146" s="626" t="s">
        <v>2799</v>
      </c>
      <c r="F146" s="627"/>
      <c r="G146" s="349"/>
      <c r="H146" s="349"/>
      <c r="I146" s="349"/>
      <c r="J146" s="349"/>
      <c r="K146" s="358"/>
      <c r="L146" s="225"/>
    </row>
    <row r="147" spans="1:12" s="218" customFormat="1" ht="12" outlineLevel="1">
      <c r="B147" s="249"/>
      <c r="C147" s="689"/>
      <c r="E147" s="626" t="s">
        <v>2800</v>
      </c>
      <c r="F147" s="627"/>
      <c r="G147" s="349"/>
      <c r="H147" s="349"/>
      <c r="I147" s="349"/>
      <c r="J147" s="349"/>
      <c r="K147" s="358"/>
      <c r="L147" s="225"/>
    </row>
    <row r="148" spans="1:12" s="218" customFormat="1" ht="12" outlineLevel="1">
      <c r="B148" s="249"/>
      <c r="C148" s="689"/>
      <c r="E148" s="626" t="s">
        <v>2801</v>
      </c>
      <c r="F148" s="627"/>
      <c r="G148" s="349"/>
      <c r="H148" s="349"/>
      <c r="I148" s="349"/>
      <c r="J148" s="349"/>
      <c r="K148" s="358"/>
      <c r="L148" s="225"/>
    </row>
    <row r="149" spans="1:12" s="218" customFormat="1" ht="14.25" customHeight="1" outlineLevel="1">
      <c r="B149" s="219"/>
      <c r="C149" s="689"/>
      <c r="E149" s="621" t="s">
        <v>2802</v>
      </c>
      <c r="F149" s="622"/>
      <c r="G149" s="349"/>
      <c r="H149" s="227"/>
      <c r="I149" s="227"/>
      <c r="J149" s="227"/>
      <c r="K149" s="228"/>
      <c r="L149" s="225"/>
    </row>
    <row r="150" spans="1:12" s="218" customFormat="1" ht="14.25" customHeight="1" outlineLevel="1">
      <c r="B150" s="219"/>
      <c r="C150" s="689"/>
      <c r="E150" s="626" t="s">
        <v>2803</v>
      </c>
      <c r="F150" s="627"/>
      <c r="G150" s="349"/>
      <c r="H150" s="227"/>
      <c r="I150" s="227"/>
      <c r="J150" s="227"/>
      <c r="K150" s="228"/>
      <c r="L150" s="225"/>
    </row>
    <row r="151" spans="1:12" s="218" customFormat="1" ht="14.25" customHeight="1" outlineLevel="1">
      <c r="B151" s="219"/>
      <c r="C151" s="689"/>
      <c r="E151" s="626" t="s">
        <v>2804</v>
      </c>
      <c r="F151" s="627"/>
      <c r="G151" s="349"/>
      <c r="H151" s="349"/>
      <c r="I151" s="227"/>
      <c r="J151" s="227"/>
      <c r="K151" s="228"/>
      <c r="L151" s="225"/>
    </row>
    <row r="152" spans="1:12" s="125" customFormat="1" ht="12.75">
      <c r="A152" s="218"/>
      <c r="B152" s="214"/>
      <c r="C152" s="689"/>
      <c r="D152" s="611" t="s">
        <v>2805</v>
      </c>
      <c r="E152" s="612"/>
      <c r="F152" s="613"/>
      <c r="G152" s="229">
        <f>SUM(G153:G156)</f>
        <v>0</v>
      </c>
      <c r="H152" s="229">
        <f>SUM(H153:H156)</f>
        <v>0</v>
      </c>
      <c r="I152" s="229">
        <f>SUM(I153:I156)</f>
        <v>0</v>
      </c>
      <c r="J152" s="229">
        <f>SUM(J153:J156)</f>
        <v>0</v>
      </c>
      <c r="K152" s="230">
        <f>SUM(K153:K156)</f>
        <v>0</v>
      </c>
      <c r="L152" s="200"/>
    </row>
    <row r="153" spans="1:12" s="218" customFormat="1" ht="12" outlineLevel="1">
      <c r="B153" s="219"/>
      <c r="C153" s="689"/>
      <c r="D153" s="239"/>
      <c r="E153" s="616" t="s">
        <v>2806</v>
      </c>
      <c r="F153" s="617"/>
      <c r="G153" s="348"/>
      <c r="H153" s="223"/>
      <c r="I153" s="223"/>
      <c r="J153" s="223"/>
      <c r="K153" s="224"/>
      <c r="L153" s="225"/>
    </row>
    <row r="154" spans="1:12" s="218" customFormat="1" ht="12" outlineLevel="1">
      <c r="B154" s="219"/>
      <c r="C154" s="689"/>
      <c r="E154" s="680" t="s">
        <v>2807</v>
      </c>
      <c r="F154" s="681"/>
      <c r="G154" s="227"/>
      <c r="H154" s="227"/>
      <c r="I154" s="227"/>
      <c r="J154" s="227"/>
      <c r="K154" s="228"/>
      <c r="L154" s="225"/>
    </row>
    <row r="155" spans="1:12" s="218" customFormat="1" ht="12" outlineLevel="1">
      <c r="B155" s="219"/>
      <c r="C155" s="689"/>
      <c r="E155" s="693" t="s">
        <v>2808</v>
      </c>
      <c r="F155" s="694"/>
      <c r="G155" s="227"/>
      <c r="H155" s="227"/>
      <c r="I155" s="227"/>
      <c r="J155" s="227"/>
      <c r="K155" s="228"/>
      <c r="L155" s="225"/>
    </row>
    <row r="156" spans="1:12" s="218" customFormat="1" ht="12" outlineLevel="1">
      <c r="B156" s="219"/>
      <c r="C156" s="689"/>
      <c r="E156" s="693" t="s">
        <v>2809</v>
      </c>
      <c r="F156" s="694"/>
      <c r="G156" s="227"/>
      <c r="H156" s="227"/>
      <c r="I156" s="349"/>
      <c r="J156" s="227"/>
      <c r="K156" s="228"/>
      <c r="L156" s="225"/>
    </row>
    <row r="157" spans="1:12" s="125" customFormat="1" ht="12.75">
      <c r="B157" s="214"/>
      <c r="C157" s="689"/>
      <c r="D157" s="611" t="s">
        <v>2810</v>
      </c>
      <c r="E157" s="612"/>
      <c r="F157" s="613"/>
      <c r="G157" s="212"/>
      <c r="H157" s="212"/>
      <c r="I157" s="229"/>
      <c r="J157" s="212"/>
      <c r="K157" s="213"/>
      <c r="L157" s="200"/>
    </row>
    <row r="158" spans="1:12" s="125" customFormat="1" ht="12.75">
      <c r="B158" s="214"/>
      <c r="C158" s="689"/>
      <c r="D158" s="611" t="s">
        <v>2811</v>
      </c>
      <c r="E158" s="612"/>
      <c r="F158" s="613"/>
      <c r="G158" s="229">
        <f>SUM(G159:G161)</f>
        <v>0</v>
      </c>
      <c r="H158" s="229">
        <f>SUM(H159:H161)</f>
        <v>0</v>
      </c>
      <c r="I158" s="229">
        <f>SUM(I159:I161)</f>
        <v>0</v>
      </c>
      <c r="J158" s="229">
        <f>SUM(J159:J161)</f>
        <v>0</v>
      </c>
      <c r="K158" s="230">
        <f>SUM(K159:K161)</f>
        <v>0</v>
      </c>
      <c r="L158" s="200"/>
    </row>
    <row r="159" spans="1:12" s="218" customFormat="1" ht="12" outlineLevel="1">
      <c r="B159" s="219"/>
      <c r="C159" s="689"/>
      <c r="D159" s="239"/>
      <c r="E159" s="616" t="s">
        <v>2812</v>
      </c>
      <c r="F159" s="617"/>
      <c r="G159" s="348"/>
      <c r="H159" s="223"/>
      <c r="I159" s="223"/>
      <c r="J159" s="223"/>
      <c r="K159" s="224"/>
      <c r="L159" s="225"/>
    </row>
    <row r="160" spans="1:12" s="218" customFormat="1" ht="12" outlineLevel="1">
      <c r="B160" s="219"/>
      <c r="C160" s="689"/>
      <c r="D160" s="240"/>
      <c r="E160" s="626" t="s">
        <v>2813</v>
      </c>
      <c r="F160" s="627"/>
      <c r="G160" s="349"/>
      <c r="H160" s="227"/>
      <c r="I160" s="227"/>
      <c r="J160" s="227"/>
      <c r="K160" s="228"/>
      <c r="L160" s="225"/>
    </row>
    <row r="161" spans="1:15" s="218" customFormat="1" ht="12" outlineLevel="1">
      <c r="B161" s="219"/>
      <c r="C161" s="713"/>
      <c r="D161" s="242"/>
      <c r="E161" s="716" t="s">
        <v>2814</v>
      </c>
      <c r="F161" s="717"/>
      <c r="G161" s="357"/>
      <c r="H161" s="231"/>
      <c r="I161" s="231"/>
      <c r="J161" s="231"/>
      <c r="K161" s="232"/>
      <c r="L161" s="225"/>
    </row>
    <row r="162" spans="1:15" ht="17.25" customHeight="1">
      <c r="A162" s="125"/>
      <c r="B162" s="127"/>
      <c r="C162" s="609" t="s">
        <v>2815</v>
      </c>
      <c r="D162" s="610"/>
      <c r="E162" s="610"/>
      <c r="F162" s="610" t="s">
        <v>2816</v>
      </c>
      <c r="G162" s="233">
        <f>G144+G152+G157+G158</f>
        <v>0</v>
      </c>
      <c r="H162" s="233">
        <f>H144+H152+H157+H158</f>
        <v>0</v>
      </c>
      <c r="I162" s="233">
        <f>I144+I152+I157+I158</f>
        <v>0</v>
      </c>
      <c r="J162" s="233">
        <f>SUM(J144,J152,J157,J158)</f>
        <v>0</v>
      </c>
      <c r="K162" s="234">
        <f>SUM(K144,K152,K157,K158)</f>
        <v>0</v>
      </c>
      <c r="L162" s="128"/>
    </row>
    <row r="163" spans="1:15" ht="17.25" customHeight="1">
      <c r="A163" s="125"/>
      <c r="B163" s="127"/>
      <c r="C163" s="687" t="s">
        <v>2817</v>
      </c>
      <c r="D163" s="688"/>
      <c r="E163" s="688"/>
      <c r="F163" s="688"/>
      <c r="G163" s="294">
        <f>G119+G141+G162</f>
        <v>0</v>
      </c>
      <c r="H163" s="294">
        <f>H119+H141+H162</f>
        <v>0</v>
      </c>
      <c r="I163" s="294">
        <f>I119+I141+I162</f>
        <v>0</v>
      </c>
      <c r="J163" s="294">
        <f>J119+J141+J162</f>
        <v>0</v>
      </c>
      <c r="K163" s="295">
        <f>K119+K141+K162</f>
        <v>0</v>
      </c>
      <c r="L163" s="128"/>
    </row>
    <row r="164" spans="1:15" ht="17.25" customHeight="1">
      <c r="B164" s="127"/>
      <c r="C164" s="671"/>
      <c r="D164" s="672"/>
      <c r="E164" s="672"/>
      <c r="F164" s="672"/>
      <c r="G164" s="672"/>
      <c r="H164" s="672"/>
      <c r="I164" s="672"/>
      <c r="J164" s="672"/>
      <c r="K164" s="673"/>
      <c r="L164" s="128"/>
    </row>
    <row r="165" spans="1:15" s="124" customFormat="1" ht="18">
      <c r="B165" s="127"/>
      <c r="C165" s="729" t="s">
        <v>2818</v>
      </c>
      <c r="D165" s="730"/>
      <c r="E165" s="730"/>
      <c r="F165" s="730" t="s">
        <v>2819</v>
      </c>
      <c r="G165" s="730"/>
      <c r="H165" s="730"/>
      <c r="I165" s="730"/>
      <c r="J165" s="730"/>
      <c r="K165" s="731"/>
      <c r="L165" s="128"/>
      <c r="M165" s="227"/>
      <c r="N165" s="227"/>
      <c r="O165" s="227"/>
    </row>
    <row r="166" spans="1:15" ht="17.25" customHeight="1">
      <c r="B166" s="127"/>
      <c r="C166" s="644" t="s">
        <v>2820</v>
      </c>
      <c r="D166" s="645"/>
      <c r="E166" s="645"/>
      <c r="F166" s="645"/>
      <c r="G166" s="281"/>
      <c r="H166" s="282"/>
      <c r="I166" s="282"/>
      <c r="J166" s="282"/>
      <c r="K166" s="283"/>
      <c r="L166" s="128"/>
    </row>
    <row r="167" spans="1:15" s="125" customFormat="1" ht="14.25">
      <c r="A167" s="124"/>
      <c r="B167" s="214"/>
      <c r="C167" s="689"/>
      <c r="D167" s="611" t="s">
        <v>2821</v>
      </c>
      <c r="E167" s="612"/>
      <c r="F167" s="613"/>
      <c r="G167" s="229">
        <f>G168-G172+G173-G174+G175+G176</f>
        <v>0</v>
      </c>
      <c r="H167" s="229">
        <f>H168-H172+H173-H174+H175+H176</f>
        <v>0</v>
      </c>
      <c r="I167" s="229">
        <f>I168-I172+I173-I174+I175+I176</f>
        <v>0</v>
      </c>
      <c r="J167" s="229">
        <f>J168-J172+J173-J174+J175+J176</f>
        <v>0</v>
      </c>
      <c r="K167" s="230">
        <f>K168-K172+K173-K174+K175+K176</f>
        <v>0</v>
      </c>
      <c r="L167" s="200"/>
    </row>
    <row r="168" spans="1:15" s="125" customFormat="1" ht="12.75" outlineLevel="1">
      <c r="B168" s="214"/>
      <c r="C168" s="689"/>
      <c r="D168" s="215"/>
      <c r="E168" s="741" t="s">
        <v>2822</v>
      </c>
      <c r="F168" s="742"/>
      <c r="G168" s="216">
        <f>SUM(G169:G171)</f>
        <v>0</v>
      </c>
      <c r="H168" s="216">
        <f>SUM(H169:H171)</f>
        <v>0</v>
      </c>
      <c r="I168" s="216">
        <f>SUM(I169:I171)</f>
        <v>0</v>
      </c>
      <c r="J168" s="216">
        <f>SUM(J169:J171)</f>
        <v>0</v>
      </c>
      <c r="K168" s="217">
        <f>SUM(K169:K171)</f>
        <v>0</v>
      </c>
      <c r="L168" s="200"/>
    </row>
    <row r="169" spans="1:15" s="218" customFormat="1" ht="14.25" customHeight="1" outlineLevel="1">
      <c r="B169" s="219"/>
      <c r="C169" s="689"/>
      <c r="E169" s="239"/>
      <c r="F169" s="221" t="s">
        <v>2823</v>
      </c>
      <c r="G169" s="348"/>
      <c r="H169" s="223"/>
      <c r="I169" s="356"/>
      <c r="J169" s="223"/>
      <c r="K169" s="224"/>
      <c r="L169" s="225"/>
    </row>
    <row r="170" spans="1:15" s="218" customFormat="1" ht="14.25" customHeight="1" outlineLevel="1">
      <c r="B170" s="219"/>
      <c r="C170" s="689"/>
      <c r="E170" s="240"/>
      <c r="F170" s="226" t="s">
        <v>2824</v>
      </c>
      <c r="G170" s="227"/>
      <c r="H170" s="227"/>
      <c r="I170" s="227"/>
      <c r="J170" s="227"/>
      <c r="K170" s="228"/>
      <c r="L170" s="225"/>
    </row>
    <row r="171" spans="1:15" s="218" customFormat="1" ht="14.25" customHeight="1" outlineLevel="1">
      <c r="B171" s="219"/>
      <c r="C171" s="689"/>
      <c r="E171" s="240"/>
      <c r="F171" s="226" t="s">
        <v>2825</v>
      </c>
      <c r="G171" s="227"/>
      <c r="H171" s="227"/>
      <c r="I171" s="359"/>
      <c r="J171" s="227"/>
      <c r="K171" s="228"/>
      <c r="L171" s="225"/>
    </row>
    <row r="172" spans="1:15" s="218" customFormat="1" ht="12" outlineLevel="1">
      <c r="B172" s="219"/>
      <c r="C172" s="689"/>
      <c r="E172" s="626" t="s">
        <v>2826</v>
      </c>
      <c r="F172" s="627"/>
      <c r="G172" s="349"/>
      <c r="H172" s="227"/>
      <c r="I172" s="227"/>
      <c r="J172" s="227"/>
      <c r="K172" s="228"/>
      <c r="L172" s="225"/>
      <c r="M172" s="227"/>
    </row>
    <row r="173" spans="1:15" s="218" customFormat="1" ht="14.25" customHeight="1" outlineLevel="1">
      <c r="B173" s="219"/>
      <c r="C173" s="689"/>
      <c r="E173" s="626" t="s">
        <v>2827</v>
      </c>
      <c r="F173" s="627"/>
      <c r="G173" s="227"/>
      <c r="H173" s="227"/>
      <c r="I173" s="227"/>
      <c r="J173" s="227"/>
      <c r="K173" s="228"/>
      <c r="L173" s="225"/>
    </row>
    <row r="174" spans="1:15" s="218" customFormat="1" ht="14.25" customHeight="1" outlineLevel="1">
      <c r="B174" s="219"/>
      <c r="C174" s="689"/>
      <c r="E174" s="626" t="s">
        <v>2828</v>
      </c>
      <c r="F174" s="627"/>
      <c r="G174" s="227"/>
      <c r="H174" s="227"/>
      <c r="I174" s="227"/>
      <c r="J174" s="227"/>
      <c r="K174" s="228"/>
      <c r="L174" s="225"/>
    </row>
    <row r="175" spans="1:15" s="218" customFormat="1" ht="14.25" customHeight="1" outlineLevel="1">
      <c r="B175" s="219"/>
      <c r="C175" s="689"/>
      <c r="E175" s="626" t="s">
        <v>2829</v>
      </c>
      <c r="F175" s="627"/>
      <c r="G175" s="349"/>
      <c r="H175" s="227"/>
      <c r="I175" s="227"/>
      <c r="J175" s="227"/>
      <c r="K175" s="228"/>
      <c r="L175" s="225"/>
    </row>
    <row r="176" spans="1:15" s="218" customFormat="1" ht="14.25" customHeight="1" outlineLevel="1">
      <c r="B176" s="219"/>
      <c r="C176" s="689"/>
      <c r="E176" s="626" t="s">
        <v>2830</v>
      </c>
      <c r="F176" s="627"/>
      <c r="G176" s="349"/>
      <c r="H176" s="227"/>
      <c r="I176" s="227"/>
      <c r="J176" s="227"/>
      <c r="K176" s="228"/>
      <c r="L176" s="225"/>
    </row>
    <row r="177" spans="1:12" s="125" customFormat="1" ht="12.75">
      <c r="A177" s="218"/>
      <c r="B177" s="214"/>
      <c r="C177" s="689"/>
      <c r="D177" s="611" t="s">
        <v>2831</v>
      </c>
      <c r="E177" s="612"/>
      <c r="F177" s="613"/>
      <c r="G177" s="229">
        <f>SUM(G178:G181)</f>
        <v>0</v>
      </c>
      <c r="H177" s="229">
        <f>SUM(H178:H181)</f>
        <v>0</v>
      </c>
      <c r="I177" s="229">
        <f>SUM(I178:I181)</f>
        <v>0</v>
      </c>
      <c r="J177" s="229">
        <f>SUM(J178:J181)</f>
        <v>0</v>
      </c>
      <c r="K177" s="230">
        <f>SUM(K178:K181)</f>
        <v>0</v>
      </c>
      <c r="L177" s="200"/>
    </row>
    <row r="178" spans="1:12" s="218" customFormat="1" ht="14.25" customHeight="1" outlineLevel="1">
      <c r="B178" s="219"/>
      <c r="C178" s="689"/>
      <c r="D178" s="220"/>
      <c r="E178" s="701" t="s">
        <v>2832</v>
      </c>
      <c r="F178" s="702"/>
      <c r="G178" s="223"/>
      <c r="H178" s="223"/>
      <c r="I178" s="223"/>
      <c r="J178" s="223"/>
      <c r="K178" s="224"/>
      <c r="L178" s="225"/>
    </row>
    <row r="179" spans="1:12" s="218" customFormat="1" ht="14.25" customHeight="1" outlineLevel="1">
      <c r="B179" s="219"/>
      <c r="C179" s="689"/>
      <c r="E179" s="621" t="s">
        <v>2833</v>
      </c>
      <c r="F179" s="622"/>
      <c r="G179" s="227"/>
      <c r="H179" s="227"/>
      <c r="I179" s="227"/>
      <c r="J179" s="227"/>
      <c r="K179" s="228"/>
      <c r="L179" s="225"/>
    </row>
    <row r="180" spans="1:12" s="218" customFormat="1" ht="14.25" customHeight="1" outlineLevel="1">
      <c r="B180" s="219"/>
      <c r="C180" s="689"/>
      <c r="E180" s="621" t="s">
        <v>2834</v>
      </c>
      <c r="F180" s="622"/>
      <c r="G180" s="227"/>
      <c r="H180" s="227"/>
      <c r="I180" s="227"/>
      <c r="J180" s="227"/>
      <c r="K180" s="228"/>
      <c r="L180" s="225"/>
    </row>
    <row r="181" spans="1:12" s="218" customFormat="1" ht="14.25" customHeight="1" outlineLevel="1">
      <c r="B181" s="219"/>
      <c r="C181" s="689"/>
      <c r="E181" s="621" t="s">
        <v>2835</v>
      </c>
      <c r="F181" s="622"/>
      <c r="G181" s="227"/>
      <c r="H181" s="227"/>
      <c r="I181" s="227"/>
      <c r="J181" s="227"/>
      <c r="K181" s="228"/>
      <c r="L181" s="225"/>
    </row>
    <row r="182" spans="1:12" s="125" customFormat="1" ht="12.75">
      <c r="A182" s="218"/>
      <c r="B182" s="214"/>
      <c r="C182" s="689"/>
      <c r="D182" s="611" t="s">
        <v>2836</v>
      </c>
      <c r="E182" s="612"/>
      <c r="F182" s="613"/>
      <c r="G182" s="229">
        <f>SUM(G183,G187)</f>
        <v>0</v>
      </c>
      <c r="H182" s="229">
        <f>SUM(H183,H187)</f>
        <v>0</v>
      </c>
      <c r="I182" s="229">
        <f>SUM(I183,I187)</f>
        <v>0</v>
      </c>
      <c r="J182" s="229">
        <f>SUM(J183,J187)</f>
        <v>0</v>
      </c>
      <c r="K182" s="230">
        <f>SUM(K183,K187)</f>
        <v>0</v>
      </c>
      <c r="L182" s="200"/>
    </row>
    <row r="183" spans="1:12" s="218" customFormat="1" ht="14.25" customHeight="1" outlineLevel="1">
      <c r="B183" s="219"/>
      <c r="C183" s="689"/>
      <c r="D183" s="220"/>
      <c r="E183" s="616" t="s">
        <v>2837</v>
      </c>
      <c r="F183" s="617"/>
      <c r="G183" s="296">
        <f>SUM(G184:G186)</f>
        <v>0</v>
      </c>
      <c r="H183" s="296">
        <f>SUM(H184:H186)</f>
        <v>0</v>
      </c>
      <c r="I183" s="296">
        <f>SUM(I184:I186)</f>
        <v>0</v>
      </c>
      <c r="J183" s="296">
        <f>SUM(J184:J186)</f>
        <v>0</v>
      </c>
      <c r="K183" s="297">
        <f>SUM(K184:K186)</f>
        <v>0</v>
      </c>
      <c r="L183" s="225"/>
    </row>
    <row r="184" spans="1:12" s="218" customFormat="1" ht="14.25" customHeight="1" outlineLevel="1">
      <c r="B184" s="219"/>
      <c r="C184" s="689"/>
      <c r="E184" s="239"/>
      <c r="F184" s="221" t="s">
        <v>2838</v>
      </c>
      <c r="G184" s="296"/>
      <c r="H184" s="296"/>
      <c r="I184" s="296"/>
      <c r="J184" s="296"/>
      <c r="K184" s="297"/>
      <c r="L184" s="225"/>
    </row>
    <row r="185" spans="1:12" s="218" customFormat="1" ht="14.25" customHeight="1" outlineLevel="1">
      <c r="B185" s="219"/>
      <c r="C185" s="689"/>
      <c r="E185" s="240"/>
      <c r="F185" s="226" t="s">
        <v>2839</v>
      </c>
      <c r="G185" s="360"/>
      <c r="H185" s="360"/>
      <c r="I185" s="360"/>
      <c r="J185" s="360"/>
      <c r="K185" s="361"/>
      <c r="L185" s="225"/>
    </row>
    <row r="186" spans="1:12" s="218" customFormat="1" ht="14.25" customHeight="1" outlineLevel="1">
      <c r="B186" s="219"/>
      <c r="C186" s="689"/>
      <c r="E186" s="240"/>
      <c r="F186" s="226" t="s">
        <v>2840</v>
      </c>
      <c r="G186" s="360"/>
      <c r="H186" s="360"/>
      <c r="I186" s="360"/>
      <c r="J186" s="360"/>
      <c r="K186" s="361"/>
      <c r="L186" s="225"/>
    </row>
    <row r="187" spans="1:12" s="218" customFormat="1" ht="14.25" customHeight="1" outlineLevel="1">
      <c r="B187" s="219"/>
      <c r="C187" s="689"/>
      <c r="E187" s="626" t="s">
        <v>2841</v>
      </c>
      <c r="F187" s="627"/>
      <c r="G187" s="227"/>
      <c r="H187" s="227"/>
      <c r="I187" s="227"/>
      <c r="J187" s="227"/>
      <c r="K187" s="228"/>
      <c r="L187" s="225"/>
    </row>
    <row r="188" spans="1:12" s="125" customFormat="1" ht="12.75">
      <c r="A188" s="218"/>
      <c r="B188" s="214"/>
      <c r="C188" s="689"/>
      <c r="D188" s="650" t="s">
        <v>2842</v>
      </c>
      <c r="E188" s="650"/>
      <c r="F188" s="651"/>
      <c r="G188" s="299"/>
      <c r="H188" s="299"/>
      <c r="I188" s="299"/>
      <c r="J188" s="299"/>
      <c r="K188" s="300"/>
      <c r="L188" s="200"/>
    </row>
    <row r="189" spans="1:12" s="125" customFormat="1" ht="12.75">
      <c r="A189" s="218"/>
      <c r="B189" s="214"/>
      <c r="C189" s="689"/>
      <c r="D189" s="650" t="s">
        <v>2843</v>
      </c>
      <c r="E189" s="650"/>
      <c r="F189" s="651"/>
      <c r="G189" s="299">
        <f>SUM(G190:G192)</f>
        <v>0</v>
      </c>
      <c r="H189" s="299">
        <f>SUM(H190:H192)</f>
        <v>0</v>
      </c>
      <c r="I189" s="299">
        <f>SUM(I190:I192)</f>
        <v>0</v>
      </c>
      <c r="J189" s="299">
        <f>SUM(J190:J192)</f>
        <v>0</v>
      </c>
      <c r="K189" s="300">
        <f>SUM(K190:K192)</f>
        <v>0</v>
      </c>
      <c r="L189" s="200"/>
    </row>
    <row r="190" spans="1:12" s="218" customFormat="1" ht="12" outlineLevel="1">
      <c r="B190" s="219"/>
      <c r="C190" s="689"/>
      <c r="D190" s="239"/>
      <c r="E190" s="701" t="s">
        <v>2844</v>
      </c>
      <c r="F190" s="702"/>
      <c r="G190" s="362"/>
      <c r="H190" s="362"/>
      <c r="I190" s="362"/>
      <c r="J190" s="362"/>
      <c r="K190" s="363"/>
      <c r="L190" s="225"/>
    </row>
    <row r="191" spans="1:12" s="218" customFormat="1" ht="12" outlineLevel="1">
      <c r="B191" s="219"/>
      <c r="C191" s="689"/>
      <c r="D191" s="240"/>
      <c r="E191" s="621" t="s">
        <v>2845</v>
      </c>
      <c r="F191" s="622"/>
      <c r="G191" s="364"/>
      <c r="H191" s="364"/>
      <c r="I191" s="364"/>
      <c r="J191" s="364"/>
      <c r="K191" s="365"/>
      <c r="L191" s="225"/>
    </row>
    <row r="192" spans="1:12" s="218" customFormat="1" ht="12.75" outlineLevel="1">
      <c r="B192" s="219"/>
      <c r="C192" s="713"/>
      <c r="D192" s="242"/>
      <c r="E192" s="716" t="s">
        <v>2846</v>
      </c>
      <c r="F192" s="717"/>
      <c r="G192" s="366"/>
      <c r="H192" s="315"/>
      <c r="I192" s="315"/>
      <c r="J192" s="366"/>
      <c r="K192" s="345"/>
      <c r="L192" s="225"/>
    </row>
    <row r="193" spans="1:12" ht="17.25" customHeight="1">
      <c r="A193" s="125"/>
      <c r="B193" s="127"/>
      <c r="C193" s="609" t="s">
        <v>2847</v>
      </c>
      <c r="D193" s="610"/>
      <c r="E193" s="610"/>
      <c r="F193" s="610" t="s">
        <v>2848</v>
      </c>
      <c r="G193" s="233">
        <f>SUM(G167,G177,G182,G188,G189)</f>
        <v>0</v>
      </c>
      <c r="H193" s="233">
        <f>SUM(H167,H177,H182,H188,H189)</f>
        <v>0</v>
      </c>
      <c r="I193" s="233">
        <f>SUM(I167,I177,I182,I188,I189)</f>
        <v>0</v>
      </c>
      <c r="J193" s="233">
        <f>SUM(J167,J177,J182,J188,J189)</f>
        <v>0</v>
      </c>
      <c r="K193" s="234">
        <f>SUM(K167,K177,K182,K188,K189)</f>
        <v>0</v>
      </c>
      <c r="L193" s="128"/>
    </row>
    <row r="194" spans="1:12" ht="7.5" customHeight="1">
      <c r="B194" s="127"/>
      <c r="C194" s="671"/>
      <c r="D194" s="672"/>
      <c r="E194" s="672"/>
      <c r="F194" s="672"/>
      <c r="G194" s="672"/>
      <c r="H194" s="672"/>
      <c r="I194" s="672"/>
      <c r="J194" s="672"/>
      <c r="K194" s="673"/>
      <c r="L194" s="128"/>
    </row>
    <row r="195" spans="1:12" ht="17.25" customHeight="1">
      <c r="B195" s="127"/>
      <c r="C195" s="689" t="s">
        <v>2849</v>
      </c>
      <c r="D195" s="690"/>
      <c r="E195" s="690"/>
      <c r="F195" s="690"/>
      <c r="G195" s="286"/>
      <c r="H195" s="287"/>
      <c r="I195" s="287"/>
      <c r="J195" s="287"/>
      <c r="K195" s="288"/>
      <c r="L195" s="128"/>
    </row>
    <row r="196" spans="1:12" s="125" customFormat="1" ht="14.25">
      <c r="A196" s="124"/>
      <c r="B196" s="214"/>
      <c r="C196" s="665"/>
      <c r="D196" s="611" t="s">
        <v>2850</v>
      </c>
      <c r="E196" s="612"/>
      <c r="F196" s="613"/>
      <c r="G196" s="229">
        <f>SUM(G197,G200,G201,G202)</f>
        <v>0</v>
      </c>
      <c r="H196" s="229">
        <f>SUM(H197,H200,H201,H202)</f>
        <v>0</v>
      </c>
      <c r="I196" s="229">
        <f>SUM(I197,I200,I201,I202)</f>
        <v>0</v>
      </c>
      <c r="J196" s="229">
        <f>SUM(J197,J200,J201,J202)</f>
        <v>0</v>
      </c>
      <c r="K196" s="230">
        <f>SUM(K197,K200,K201,K202)</f>
        <v>0</v>
      </c>
      <c r="L196" s="200"/>
    </row>
    <row r="197" spans="1:12" s="218" customFormat="1" ht="14.25" customHeight="1" outlineLevel="1">
      <c r="B197" s="219"/>
      <c r="C197" s="665"/>
      <c r="D197" s="220"/>
      <c r="E197" s="701" t="s">
        <v>2851</v>
      </c>
      <c r="F197" s="702"/>
      <c r="G197" s="223">
        <f>SUM(G198:G199)</f>
        <v>0</v>
      </c>
      <c r="H197" s="223">
        <f>SUM(H198:H199)</f>
        <v>0</v>
      </c>
      <c r="I197" s="223">
        <f>SUM(I198:I199)</f>
        <v>0</v>
      </c>
      <c r="J197" s="223">
        <f>SUM(J198:J199)</f>
        <v>0</v>
      </c>
      <c r="K197" s="224">
        <f>SUM(K198:K199)</f>
        <v>0</v>
      </c>
      <c r="L197" s="225"/>
    </row>
    <row r="198" spans="1:12" s="218" customFormat="1" ht="14.25" customHeight="1" outlineLevel="2">
      <c r="B198" s="219"/>
      <c r="C198" s="665"/>
      <c r="E198" s="247"/>
      <c r="F198" s="248" t="s">
        <v>2852</v>
      </c>
      <c r="G198" s="223"/>
      <c r="H198" s="223"/>
      <c r="I198" s="223"/>
      <c r="J198" s="223"/>
      <c r="K198" s="224"/>
      <c r="L198" s="225"/>
    </row>
    <row r="199" spans="1:12" s="218" customFormat="1" ht="14.25" customHeight="1" outlineLevel="2">
      <c r="B199" s="219"/>
      <c r="C199" s="665"/>
      <c r="E199" s="250"/>
      <c r="F199" s="251" t="s">
        <v>2853</v>
      </c>
      <c r="G199" s="227"/>
      <c r="H199" s="227"/>
      <c r="I199" s="227"/>
      <c r="J199" s="227"/>
      <c r="K199" s="228"/>
      <c r="L199" s="225"/>
    </row>
    <row r="200" spans="1:12" s="218" customFormat="1" ht="14.25" customHeight="1" outlineLevel="1">
      <c r="B200" s="219"/>
      <c r="C200" s="665"/>
      <c r="E200" s="621" t="s">
        <v>2854</v>
      </c>
      <c r="F200" s="622"/>
      <c r="G200" s="227"/>
      <c r="H200" s="227"/>
      <c r="I200" s="227"/>
      <c r="J200" s="227"/>
      <c r="K200" s="228"/>
      <c r="L200" s="225"/>
    </row>
    <row r="201" spans="1:12" s="218" customFormat="1" ht="14.25" customHeight="1" outlineLevel="1">
      <c r="B201" s="219"/>
      <c r="C201" s="665"/>
      <c r="E201" s="621" t="s">
        <v>2855</v>
      </c>
      <c r="F201" s="622"/>
      <c r="G201" s="227"/>
      <c r="H201" s="227"/>
      <c r="I201" s="227"/>
      <c r="J201" s="227"/>
      <c r="K201" s="228"/>
      <c r="L201" s="225"/>
    </row>
    <row r="202" spans="1:12" s="218" customFormat="1" ht="14.25" customHeight="1" outlineLevel="1">
      <c r="B202" s="219"/>
      <c r="C202" s="665"/>
      <c r="E202" s="621" t="s">
        <v>2856</v>
      </c>
      <c r="F202" s="622"/>
      <c r="G202" s="227"/>
      <c r="H202" s="227"/>
      <c r="I202" s="227"/>
      <c r="J202" s="227"/>
      <c r="K202" s="228"/>
      <c r="L202" s="225"/>
    </row>
    <row r="203" spans="1:12" s="125" customFormat="1" ht="12.75">
      <c r="A203" s="218"/>
      <c r="B203" s="214"/>
      <c r="C203" s="665"/>
      <c r="D203" s="650" t="s">
        <v>2857</v>
      </c>
      <c r="E203" s="650"/>
      <c r="F203" s="651"/>
      <c r="G203" s="299">
        <f>SUM(G204:G207)</f>
        <v>0</v>
      </c>
      <c r="H203" s="299">
        <f>SUM(H204:H207)</f>
        <v>0</v>
      </c>
      <c r="I203" s="299">
        <f>SUM(I204:I207)</f>
        <v>0</v>
      </c>
      <c r="J203" s="299">
        <f>SUM(J204:J207)</f>
        <v>0</v>
      </c>
      <c r="K203" s="300">
        <f>SUM(K204:K207)</f>
        <v>0</v>
      </c>
      <c r="L203" s="200"/>
    </row>
    <row r="204" spans="1:12" s="218" customFormat="1" ht="12" outlineLevel="1">
      <c r="B204" s="219"/>
      <c r="C204" s="665"/>
      <c r="D204" s="239"/>
      <c r="E204" s="652" t="s">
        <v>2858</v>
      </c>
      <c r="F204" s="653"/>
      <c r="G204" s="362"/>
      <c r="H204" s="362"/>
      <c r="I204" s="362"/>
      <c r="J204" s="362"/>
      <c r="K204" s="363"/>
      <c r="L204" s="225"/>
    </row>
    <row r="205" spans="1:12" s="218" customFormat="1" ht="12" outlineLevel="1">
      <c r="B205" s="219"/>
      <c r="C205" s="665"/>
      <c r="D205" s="240"/>
      <c r="E205" s="669" t="s">
        <v>2859</v>
      </c>
      <c r="F205" s="670"/>
      <c r="G205" s="364"/>
      <c r="H205" s="364"/>
      <c r="I205" s="364"/>
      <c r="J205" s="364"/>
      <c r="K205" s="365"/>
      <c r="L205" s="225"/>
    </row>
    <row r="206" spans="1:12" s="218" customFormat="1" ht="12" outlineLevel="1">
      <c r="B206" s="219"/>
      <c r="C206" s="665"/>
      <c r="D206" s="240"/>
      <c r="E206" s="669" t="s">
        <v>2860</v>
      </c>
      <c r="F206" s="670"/>
      <c r="G206" s="364"/>
      <c r="H206" s="364"/>
      <c r="I206" s="364"/>
      <c r="J206" s="364"/>
      <c r="K206" s="365"/>
      <c r="L206" s="225"/>
    </row>
    <row r="207" spans="1:12" s="218" customFormat="1" ht="12" outlineLevel="1">
      <c r="B207" s="219"/>
      <c r="C207" s="665"/>
      <c r="D207" s="240"/>
      <c r="E207" s="669" t="s">
        <v>2861</v>
      </c>
      <c r="F207" s="670"/>
      <c r="G207" s="364"/>
      <c r="H207" s="364"/>
      <c r="I207" s="364"/>
      <c r="J207" s="364"/>
      <c r="K207" s="365"/>
      <c r="L207" s="225"/>
    </row>
    <row r="208" spans="1:12" s="125" customFormat="1" ht="12.75">
      <c r="B208" s="214"/>
      <c r="C208" s="665"/>
      <c r="D208" s="611" t="s">
        <v>2862</v>
      </c>
      <c r="E208" s="612"/>
      <c r="F208" s="613"/>
      <c r="G208" s="229">
        <f>SUM(G209:G210)-G212</f>
        <v>0</v>
      </c>
      <c r="H208" s="229">
        <f>SUM(H209:H210)-H212</f>
        <v>0</v>
      </c>
      <c r="I208" s="229">
        <f>SUM(I209:I210)-I212</f>
        <v>0</v>
      </c>
      <c r="J208" s="229">
        <f>SUM(J209:J210)-J212</f>
        <v>0</v>
      </c>
      <c r="K208" s="230">
        <f>SUM(K209:K210)-K212</f>
        <v>0</v>
      </c>
      <c r="L208" s="200"/>
    </row>
    <row r="209" spans="1:12" s="218" customFormat="1" ht="14.25" customHeight="1" outlineLevel="1">
      <c r="B209" s="219"/>
      <c r="C209" s="665"/>
      <c r="D209" s="220"/>
      <c r="E209" s="616" t="s">
        <v>2863</v>
      </c>
      <c r="F209" s="617"/>
      <c r="G209" s="362"/>
      <c r="H209" s="362"/>
      <c r="I209" s="362"/>
      <c r="J209" s="362"/>
      <c r="K209" s="363"/>
      <c r="L209" s="225"/>
    </row>
    <row r="210" spans="1:12" s="218" customFormat="1" ht="14.25" customHeight="1" outlineLevel="1">
      <c r="B210" s="219"/>
      <c r="C210" s="665"/>
      <c r="E210" s="626" t="s">
        <v>2864</v>
      </c>
      <c r="F210" s="627"/>
      <c r="G210" s="364"/>
      <c r="H210" s="364"/>
      <c r="I210" s="364"/>
      <c r="J210" s="364"/>
      <c r="K210" s="365"/>
      <c r="L210" s="225"/>
    </row>
    <row r="211" spans="1:12" s="218" customFormat="1" ht="14.25" customHeight="1" outlineLevel="1">
      <c r="B211" s="219"/>
      <c r="C211" s="665"/>
      <c r="E211" s="626" t="s">
        <v>2865</v>
      </c>
      <c r="F211" s="627"/>
      <c r="G211" s="364"/>
      <c r="H211" s="364"/>
      <c r="I211" s="364"/>
      <c r="J211" s="364"/>
      <c r="K211" s="365"/>
      <c r="L211" s="225"/>
    </row>
    <row r="212" spans="1:12" s="218" customFormat="1" ht="14.25" customHeight="1" outlineLevel="1">
      <c r="B212" s="219"/>
      <c r="C212" s="665"/>
      <c r="E212" s="621" t="s">
        <v>2866</v>
      </c>
      <c r="F212" s="622"/>
      <c r="G212" s="364"/>
      <c r="H212" s="364"/>
      <c r="I212" s="364"/>
      <c r="J212" s="364"/>
      <c r="K212" s="365"/>
      <c r="L212" s="225"/>
    </row>
    <row r="213" spans="1:12" s="125" customFormat="1" ht="12.75">
      <c r="A213" s="218"/>
      <c r="B213" s="214"/>
      <c r="C213" s="665"/>
      <c r="D213" s="611" t="s">
        <v>2867</v>
      </c>
      <c r="E213" s="612"/>
      <c r="F213" s="613"/>
      <c r="G213" s="299"/>
      <c r="H213" s="299"/>
      <c r="I213" s="299"/>
      <c r="J213" s="299"/>
      <c r="K213" s="300"/>
      <c r="L213" s="200"/>
    </row>
    <row r="214" spans="1:12" s="125" customFormat="1" ht="12.75">
      <c r="B214" s="214"/>
      <c r="C214" s="665"/>
      <c r="D214" s="611" t="s">
        <v>2868</v>
      </c>
      <c r="E214" s="612"/>
      <c r="F214" s="613"/>
      <c r="G214" s="229">
        <f>SUM(G215,G219)</f>
        <v>0</v>
      </c>
      <c r="H214" s="229">
        <f>SUM(H215,H219)</f>
        <v>0</v>
      </c>
      <c r="I214" s="229">
        <f>SUM(I215,I219)</f>
        <v>0</v>
      </c>
      <c r="J214" s="229">
        <f>SUM(J215,J219)</f>
        <v>0</v>
      </c>
      <c r="K214" s="230">
        <f>SUM(K215,K219)</f>
        <v>0</v>
      </c>
      <c r="L214" s="200"/>
    </row>
    <row r="215" spans="1:12" s="218" customFormat="1" ht="14.25" customHeight="1" outlineLevel="1">
      <c r="A215" s="125"/>
      <c r="B215" s="219"/>
      <c r="C215" s="665"/>
      <c r="D215" s="220"/>
      <c r="E215" s="616" t="s">
        <v>2869</v>
      </c>
      <c r="F215" s="617"/>
      <c r="G215" s="223">
        <f>SUM(G216:G218)</f>
        <v>0</v>
      </c>
      <c r="H215" s="223">
        <f>SUM(H216:H218)</f>
        <v>0</v>
      </c>
      <c r="I215" s="223">
        <f>SUM(I216:I218)</f>
        <v>0</v>
      </c>
      <c r="J215" s="223">
        <f>SUM(J216:J218)</f>
        <v>0</v>
      </c>
      <c r="K215" s="224">
        <f>SUM(K216:K218)</f>
        <v>0</v>
      </c>
      <c r="L215" s="225"/>
    </row>
    <row r="216" spans="1:12" s="218" customFormat="1" ht="14.25" customHeight="1" outlineLevel="1">
      <c r="A216" s="125"/>
      <c r="B216" s="219"/>
      <c r="C216" s="665"/>
      <c r="E216" s="239"/>
      <c r="F216" s="221" t="s">
        <v>2870</v>
      </c>
      <c r="G216" s="223"/>
      <c r="H216" s="223"/>
      <c r="I216" s="223"/>
      <c r="J216" s="223"/>
      <c r="K216" s="224"/>
      <c r="L216" s="225"/>
    </row>
    <row r="217" spans="1:12" s="218" customFormat="1" ht="14.25" customHeight="1" outlineLevel="1">
      <c r="A217" s="125"/>
      <c r="B217" s="219"/>
      <c r="C217" s="665"/>
      <c r="E217" s="240"/>
      <c r="F217" s="226" t="s">
        <v>2871</v>
      </c>
      <c r="G217" s="227"/>
      <c r="H217" s="227"/>
      <c r="I217" s="227"/>
      <c r="J217" s="227"/>
      <c r="K217" s="228"/>
      <c r="L217" s="225"/>
    </row>
    <row r="218" spans="1:12" s="218" customFormat="1" ht="14.25" customHeight="1" outlineLevel="1">
      <c r="A218" s="125"/>
      <c r="B218" s="219"/>
      <c r="C218" s="665"/>
      <c r="E218" s="240"/>
      <c r="F218" s="226" t="s">
        <v>2872</v>
      </c>
      <c r="G218" s="227"/>
      <c r="H218" s="227"/>
      <c r="I218" s="227"/>
      <c r="J218" s="227"/>
      <c r="K218" s="228"/>
      <c r="L218" s="225"/>
    </row>
    <row r="219" spans="1:12" s="218" customFormat="1" ht="14.25" customHeight="1" outlineLevel="1">
      <c r="B219" s="219"/>
      <c r="C219" s="665"/>
      <c r="E219" s="626" t="s">
        <v>2873</v>
      </c>
      <c r="F219" s="627"/>
      <c r="G219" s="227"/>
      <c r="H219" s="227"/>
      <c r="I219" s="227"/>
      <c r="J219" s="227"/>
      <c r="K219" s="228"/>
      <c r="L219" s="225"/>
    </row>
    <row r="220" spans="1:12" s="125" customFormat="1" ht="12.75">
      <c r="A220" s="218"/>
      <c r="B220" s="214"/>
      <c r="C220" s="743"/>
      <c r="D220" s="611" t="s">
        <v>2874</v>
      </c>
      <c r="E220" s="612"/>
      <c r="F220" s="613"/>
      <c r="G220" s="315"/>
      <c r="H220" s="315"/>
      <c r="I220" s="315"/>
      <c r="J220" s="315"/>
      <c r="K220" s="316"/>
      <c r="L220" s="200"/>
    </row>
    <row r="221" spans="1:12" ht="17.25" customHeight="1">
      <c r="A221" s="125"/>
      <c r="B221" s="127"/>
      <c r="C221" s="708" t="s">
        <v>2875</v>
      </c>
      <c r="D221" s="709"/>
      <c r="E221" s="709"/>
      <c r="F221" s="710" t="s">
        <v>2876</v>
      </c>
      <c r="G221" s="233">
        <f>SUM(G196,G203,G208,G213:G214,G220)</f>
        <v>0</v>
      </c>
      <c r="H221" s="233">
        <f>SUM(H196,H203,H208,H213:H214,H220)</f>
        <v>0</v>
      </c>
      <c r="I221" s="233">
        <f>SUM(I196,I203,I208,I213:I214,I220)</f>
        <v>0</v>
      </c>
      <c r="J221" s="233">
        <f>SUM(J196,J203,J208,J213:J214,J220)</f>
        <v>0</v>
      </c>
      <c r="K221" s="234">
        <f>SUM(K196,K203,K208,K213:K214,K220)</f>
        <v>0</v>
      </c>
      <c r="L221" s="128"/>
    </row>
    <row r="222" spans="1:12" ht="17.25" customHeight="1">
      <c r="A222" s="125"/>
      <c r="B222" s="127"/>
      <c r="C222" s="687" t="s">
        <v>2877</v>
      </c>
      <c r="D222" s="688"/>
      <c r="E222" s="688"/>
      <c r="F222" s="688" t="s">
        <v>2878</v>
      </c>
      <c r="G222" s="294">
        <f>SUM(G193,G221)</f>
        <v>0</v>
      </c>
      <c r="H222" s="294">
        <f>SUM(H193,H221)</f>
        <v>0</v>
      </c>
      <c r="I222" s="294">
        <f>SUM(I193,I221)</f>
        <v>0</v>
      </c>
      <c r="J222" s="294">
        <f>SUM(J193,J221)</f>
        <v>0</v>
      </c>
      <c r="K222" s="295">
        <f>SUM(K193,K221)</f>
        <v>0</v>
      </c>
      <c r="L222" s="128"/>
    </row>
    <row r="223" spans="1:12" ht="14.25" customHeight="1">
      <c r="B223" s="127"/>
      <c r="F223" s="301"/>
      <c r="G223" s="302"/>
      <c r="H223" s="303"/>
      <c r="I223" s="303"/>
      <c r="J223" s="303"/>
      <c r="K223" s="303"/>
      <c r="L223" s="128"/>
    </row>
    <row r="224" spans="1:12" s="218" customFormat="1" ht="12">
      <c r="B224" s="219"/>
      <c r="C224" s="711" t="s">
        <v>2879</v>
      </c>
      <c r="D224" s="712"/>
      <c r="E224" s="712"/>
      <c r="F224" s="712"/>
      <c r="G224" s="304">
        <f>G163-G222</f>
        <v>0</v>
      </c>
      <c r="H224" s="304">
        <f>H163-H222</f>
        <v>0</v>
      </c>
      <c r="I224" s="304">
        <f>I163-I222</f>
        <v>0</v>
      </c>
      <c r="J224" s="304">
        <f>J163-J222</f>
        <v>0</v>
      </c>
      <c r="K224" s="305">
        <f>K163-K222</f>
        <v>0</v>
      </c>
      <c r="L224" s="225"/>
    </row>
    <row r="225" spans="1:12" s="285" customFormat="1" ht="14.25" customHeight="1">
      <c r="A225" s="125"/>
      <c r="B225" s="127"/>
      <c r="C225" s="124"/>
      <c r="D225" s="124"/>
      <c r="E225" s="124"/>
      <c r="F225" s="240"/>
      <c r="G225" s="306"/>
      <c r="H225" s="268"/>
      <c r="I225" s="268"/>
      <c r="J225" s="268"/>
      <c r="K225" s="268"/>
      <c r="L225" s="128"/>
    </row>
    <row r="226" spans="1:12" s="285" customFormat="1" ht="19.5">
      <c r="A226" s="124"/>
      <c r="B226" s="127"/>
      <c r="C226" s="720" t="s">
        <v>2880</v>
      </c>
      <c r="D226" s="721"/>
      <c r="E226" s="721"/>
      <c r="F226" s="721"/>
      <c r="G226" s="721"/>
      <c r="H226" s="721"/>
      <c r="I226" s="721"/>
      <c r="J226" s="721"/>
      <c r="K226" s="722"/>
      <c r="L226" s="128"/>
    </row>
    <row r="227" spans="1:12" s="285" customFormat="1" ht="17.25" customHeight="1">
      <c r="A227" s="124"/>
      <c r="B227" s="127"/>
      <c r="C227" s="623" t="s">
        <v>2881</v>
      </c>
      <c r="D227" s="624"/>
      <c r="E227" s="624"/>
      <c r="F227" s="625" t="s">
        <v>2882</v>
      </c>
      <c r="G227" s="279" t="str">
        <f>G6</f>
        <v>-</v>
      </c>
      <c r="H227" s="279" t="str">
        <f>H6</f>
        <v>-</v>
      </c>
      <c r="I227" s="279">
        <f>I6</f>
        <v>0</v>
      </c>
      <c r="J227" s="279">
        <f>J6</f>
        <v>366</v>
      </c>
      <c r="K227" s="280">
        <f>K6</f>
        <v>731</v>
      </c>
      <c r="L227" s="128"/>
    </row>
    <row r="228" spans="1:12" s="309" customFormat="1" ht="16.5">
      <c r="A228" s="124"/>
      <c r="B228" s="307"/>
      <c r="C228" s="703" t="s">
        <v>2883</v>
      </c>
      <c r="D228" s="704"/>
      <c r="E228" s="704"/>
      <c r="F228" s="704"/>
      <c r="G228" s="704"/>
      <c r="H228" s="704"/>
      <c r="I228" s="704"/>
      <c r="J228" s="704"/>
      <c r="K228" s="705"/>
      <c r="L228" s="308"/>
    </row>
    <row r="229" spans="1:12" s="285" customFormat="1" ht="16.5">
      <c r="A229" s="310"/>
      <c r="B229" s="214"/>
      <c r="C229" s="649" t="s">
        <v>2884</v>
      </c>
      <c r="D229" s="650"/>
      <c r="E229" s="650"/>
      <c r="F229" s="651"/>
      <c r="G229" s="311"/>
      <c r="H229" s="261" t="str">
        <f>IFERROR((H23-G23)/G23,"-")</f>
        <v>-</v>
      </c>
      <c r="I229" s="261" t="str">
        <f>IFERROR((I23-H23)/H23,"-")</f>
        <v>-</v>
      </c>
      <c r="J229" s="261" t="str">
        <f>IFERROR((J23-I23)/I23,"-")</f>
        <v>-</v>
      </c>
      <c r="K229" s="262" t="str">
        <f>IFERROR((K23-J23)/J23,"-")</f>
        <v>-</v>
      </c>
      <c r="L229" s="200"/>
    </row>
    <row r="230" spans="1:12" s="285" customFormat="1" ht="12.75">
      <c r="A230" s="125"/>
      <c r="B230" s="214"/>
      <c r="C230" s="649" t="s">
        <v>2885</v>
      </c>
      <c r="D230" s="650"/>
      <c r="E230" s="650"/>
      <c r="F230" s="651"/>
      <c r="G230" s="311"/>
      <c r="H230" s="261" t="str">
        <f>IFERROR(H55/G55-1,"-")</f>
        <v>-</v>
      </c>
      <c r="I230" s="261" t="str">
        <f>IFERROR(I55/H55-1,"-")</f>
        <v>-</v>
      </c>
      <c r="J230" s="261" t="str">
        <f>IFERROR(J55/I55-1,"-")</f>
        <v>-</v>
      </c>
      <c r="K230" s="262" t="str">
        <f>IFERROR(K55/J55-1,"-")</f>
        <v>-</v>
      </c>
      <c r="L230" s="200"/>
    </row>
    <row r="231" spans="1:12" s="285" customFormat="1" ht="12.75">
      <c r="A231" s="125"/>
      <c r="B231" s="214"/>
      <c r="C231" s="649" t="s">
        <v>2886</v>
      </c>
      <c r="D231" s="650"/>
      <c r="E231" s="650"/>
      <c r="F231" s="651"/>
      <c r="G231" s="311"/>
      <c r="H231" s="261" t="str">
        <f>IFERROR((H92-G92)/G92,"-")</f>
        <v>-</v>
      </c>
      <c r="I231" s="261" t="str">
        <f>IFERROR((I92-H92)/H92,"-")</f>
        <v>-</v>
      </c>
      <c r="J231" s="261" t="str">
        <f>IFERROR((J92-I92)/I92,"-")</f>
        <v>-</v>
      </c>
      <c r="K231" s="262" t="str">
        <f>IFERROR((K92-J92)/J92,"-")</f>
        <v>-</v>
      </c>
      <c r="L231" s="200"/>
    </row>
    <row r="232" spans="1:12" ht="7.5" customHeight="1">
      <c r="A232" s="125"/>
      <c r="B232" s="127"/>
      <c r="C232" s="665"/>
      <c r="D232" s="666"/>
      <c r="E232" s="666"/>
      <c r="F232" s="667"/>
      <c r="G232" s="666"/>
      <c r="H232" s="666"/>
      <c r="I232" s="666"/>
      <c r="J232" s="666"/>
      <c r="K232" s="668"/>
      <c r="L232" s="128"/>
    </row>
    <row r="233" spans="1:12" s="309" customFormat="1" ht="16.5">
      <c r="A233" s="124"/>
      <c r="B233" s="307"/>
      <c r="C233" s="703" t="s">
        <v>2887</v>
      </c>
      <c r="D233" s="704"/>
      <c r="E233" s="704"/>
      <c r="F233" s="704"/>
      <c r="G233" s="704"/>
      <c r="H233" s="704"/>
      <c r="I233" s="704"/>
      <c r="J233" s="704"/>
      <c r="K233" s="705"/>
      <c r="L233" s="308"/>
    </row>
    <row r="234" spans="1:12" s="285" customFormat="1" ht="16.5">
      <c r="A234" s="310"/>
      <c r="B234" s="214"/>
      <c r="C234" s="649" t="s">
        <v>2888</v>
      </c>
      <c r="D234" s="650"/>
      <c r="E234" s="650"/>
      <c r="F234" s="651"/>
      <c r="G234" s="261" t="str">
        <f>IFERROR(G55/G23,"-")</f>
        <v>-</v>
      </c>
      <c r="H234" s="261" t="str">
        <f>IFERROR(H55/H23,"-")</f>
        <v>-</v>
      </c>
      <c r="I234" s="261" t="str">
        <f>IFERROR(I55/I23,"-")</f>
        <v>-</v>
      </c>
      <c r="J234" s="261" t="str">
        <f>IFERROR(J55/J23,"-")</f>
        <v>-</v>
      </c>
      <c r="K234" s="262" t="str">
        <f>IFERROR(K55/K23,"-")</f>
        <v>-</v>
      </c>
      <c r="L234" s="200"/>
    </row>
    <row r="235" spans="1:12" s="285" customFormat="1" ht="12.75">
      <c r="A235" s="125"/>
      <c r="B235" s="214"/>
      <c r="C235" s="618" t="s">
        <v>2889</v>
      </c>
      <c r="D235" s="619"/>
      <c r="E235" s="619"/>
      <c r="F235" s="620"/>
      <c r="G235" s="261" t="str">
        <f>IFERROR((G92-G73)/G23,"-")</f>
        <v>-</v>
      </c>
      <c r="H235" s="261" t="str">
        <f>IFERROR((H92-H73)/H23,"-")</f>
        <v>-</v>
      </c>
      <c r="I235" s="261" t="str">
        <f>IFERROR((I92-I73)/I23,"-")</f>
        <v>-</v>
      </c>
      <c r="J235" s="261" t="str">
        <f>IFERROR((J92-J73)/J23,"-")</f>
        <v>-</v>
      </c>
      <c r="K235" s="262" t="str">
        <f>IFERROR((K92-K73)/K23,"-")</f>
        <v>-</v>
      </c>
      <c r="L235" s="200"/>
    </row>
    <row r="236" spans="1:12" s="285" customFormat="1" ht="12.75">
      <c r="A236" s="125"/>
      <c r="B236" s="214"/>
      <c r="C236" s="649" t="s">
        <v>2890</v>
      </c>
      <c r="D236" s="650"/>
      <c r="E236" s="650"/>
      <c r="F236" s="651"/>
      <c r="G236" s="261" t="str">
        <f>IFERROR((G100-G73)/G23,"-")</f>
        <v>-</v>
      </c>
      <c r="H236" s="261" t="str">
        <f>IFERROR((H100-H73)/H23,"-")</f>
        <v>-</v>
      </c>
      <c r="I236" s="261" t="str">
        <f>IFERROR((I100-I73)/I23,"-")</f>
        <v>-</v>
      </c>
      <c r="J236" s="261" t="str">
        <f>IFERROR((J100-J73)/J23,"-")</f>
        <v>-</v>
      </c>
      <c r="K236" s="262" t="str">
        <f>IFERROR((K100-K73)/K23,"-")</f>
        <v>-</v>
      </c>
      <c r="L236" s="200"/>
    </row>
    <row r="237" spans="1:12" s="285" customFormat="1" ht="12.75">
      <c r="A237" s="125"/>
      <c r="B237" s="214"/>
      <c r="C237" s="649" t="s">
        <v>2891</v>
      </c>
      <c r="D237" s="650"/>
      <c r="E237" s="650"/>
      <c r="F237" s="651"/>
      <c r="G237" s="261" t="str">
        <f>IFERROR(G65/(G222-G162),"-")</f>
        <v>-</v>
      </c>
      <c r="H237" s="261" t="str">
        <f>IFERROR(H65/(H222-H162),"-")</f>
        <v>-</v>
      </c>
      <c r="I237" s="261" t="str">
        <f>IFERROR(I65/(I222-I162),"-")</f>
        <v>-</v>
      </c>
      <c r="J237" s="261" t="str">
        <f>IFERROR(J65/(J222-J162),"-")</f>
        <v>-</v>
      </c>
      <c r="K237" s="262" t="str">
        <f>IFERROR(K65/(K222-K162),"-")</f>
        <v>-</v>
      </c>
      <c r="L237" s="200"/>
    </row>
    <row r="238" spans="1:12" s="285" customFormat="1" ht="12.75">
      <c r="A238" s="125"/>
      <c r="B238" s="214"/>
      <c r="C238" s="649" t="s">
        <v>2892</v>
      </c>
      <c r="D238" s="650"/>
      <c r="E238" s="650"/>
      <c r="F238" s="651"/>
      <c r="G238" s="261" t="str">
        <f>IFERROR(G92/G119,"-")</f>
        <v>-</v>
      </c>
      <c r="H238" s="261" t="str">
        <f>IFERROR(H92/H119,"-")</f>
        <v>-</v>
      </c>
      <c r="I238" s="261" t="str">
        <f>IFERROR(I92/I119,"-")</f>
        <v>-</v>
      </c>
      <c r="J238" s="261" t="str">
        <f>IFERROR(J92/J119,"-")</f>
        <v>-</v>
      </c>
      <c r="K238" s="262" t="str">
        <f>IFERROR(K92/K119,"-")</f>
        <v>-</v>
      </c>
      <c r="L238" s="200"/>
    </row>
    <row r="239" spans="1:12" s="285" customFormat="1" ht="12.75">
      <c r="A239" s="125"/>
      <c r="B239" s="214"/>
      <c r="C239" s="649" t="s">
        <v>2893</v>
      </c>
      <c r="D239" s="650"/>
      <c r="E239" s="650"/>
      <c r="F239" s="651"/>
      <c r="G239" s="261" t="str">
        <f>IFERROR(G92/G222,"-")</f>
        <v>-</v>
      </c>
      <c r="H239" s="261" t="str">
        <f>IFERROR(H92/H222,"-")</f>
        <v>-</v>
      </c>
      <c r="I239" s="261" t="str">
        <f>IFERROR(I92/I222,"-")</f>
        <v>-</v>
      </c>
      <c r="J239" s="261" t="str">
        <f>IFERROR(J92/J222,"-")</f>
        <v>-</v>
      </c>
      <c r="K239" s="262" t="str">
        <f>IFERROR(K92/K222,"-")</f>
        <v>-</v>
      </c>
      <c r="L239" s="200"/>
    </row>
    <row r="240" spans="1:12" ht="7.5" customHeight="1">
      <c r="A240" s="125"/>
      <c r="B240" s="127"/>
      <c r="C240" s="665"/>
      <c r="D240" s="666"/>
      <c r="E240" s="666"/>
      <c r="F240" s="667"/>
      <c r="G240" s="666"/>
      <c r="H240" s="666"/>
      <c r="I240" s="666"/>
      <c r="J240" s="666"/>
      <c r="K240" s="668"/>
      <c r="L240" s="128"/>
    </row>
    <row r="241" spans="1:12" s="309" customFormat="1" ht="16.5">
      <c r="A241" s="124"/>
      <c r="B241" s="307"/>
      <c r="C241" s="703" t="s">
        <v>2894</v>
      </c>
      <c r="D241" s="704"/>
      <c r="E241" s="704"/>
      <c r="F241" s="704"/>
      <c r="G241" s="704"/>
      <c r="H241" s="704"/>
      <c r="I241" s="704"/>
      <c r="J241" s="704"/>
      <c r="K241" s="705"/>
      <c r="L241" s="308"/>
    </row>
    <row r="242" spans="1:12" s="285" customFormat="1" ht="16.5">
      <c r="A242" s="310"/>
      <c r="B242" s="214"/>
      <c r="C242" s="649" t="s">
        <v>2895</v>
      </c>
      <c r="D242" s="650"/>
      <c r="E242" s="650"/>
      <c r="F242" s="651"/>
      <c r="G242" s="299" t="str">
        <f>IFERROR(G221/G162,"-")</f>
        <v>-</v>
      </c>
      <c r="H242" s="299" t="str">
        <f>IFERROR(H221/H162,"-")</f>
        <v>-</v>
      </c>
      <c r="I242" s="299" t="str">
        <f>IFERROR(I221/I162,"-")</f>
        <v>-</v>
      </c>
      <c r="J242" s="299" t="str">
        <f>IFERROR(J221/J162,"-")</f>
        <v>-</v>
      </c>
      <c r="K242" s="300" t="str">
        <f>IFERROR(K221/K162,"-")</f>
        <v>-</v>
      </c>
      <c r="L242" s="200"/>
    </row>
    <row r="243" spans="1:12" s="285" customFormat="1" ht="12.75">
      <c r="A243" s="125"/>
      <c r="B243" s="214"/>
      <c r="C243" s="649" t="s">
        <v>2896</v>
      </c>
      <c r="D243" s="650"/>
      <c r="E243" s="650"/>
      <c r="F243" s="651"/>
      <c r="G243" s="299">
        <f>G221-G162</f>
        <v>0</v>
      </c>
      <c r="H243" s="299">
        <f>H221-H162</f>
        <v>0</v>
      </c>
      <c r="I243" s="299">
        <f>I221-I162</f>
        <v>0</v>
      </c>
      <c r="J243" s="299">
        <f>J221-J162</f>
        <v>0</v>
      </c>
      <c r="K243" s="300">
        <f>K221-K162</f>
        <v>0</v>
      </c>
      <c r="L243" s="200"/>
    </row>
    <row r="244" spans="1:12" s="285" customFormat="1" ht="12.75">
      <c r="A244" s="125"/>
      <c r="B244" s="214"/>
      <c r="C244" s="649" t="s">
        <v>2897</v>
      </c>
      <c r="D244" s="650"/>
      <c r="E244" s="650"/>
      <c r="F244" s="651"/>
      <c r="G244" s="299" t="str">
        <f>IFERROR(G23/G243,"-")</f>
        <v>-</v>
      </c>
      <c r="H244" s="299" t="str">
        <f>IFERROR(H23/H243,"-")</f>
        <v>-</v>
      </c>
      <c r="I244" s="299" t="str">
        <f>IFERROR(I23/I243,"-")</f>
        <v>-</v>
      </c>
      <c r="J244" s="299" t="str">
        <f>IFERROR(J23/J243,"-")</f>
        <v>-</v>
      </c>
      <c r="K244" s="300" t="str">
        <f>IFERROR(K23/K243,"-")</f>
        <v>-</v>
      </c>
      <c r="L244" s="200"/>
    </row>
    <row r="245" spans="1:12" s="285" customFormat="1" ht="12.75">
      <c r="A245" s="125"/>
      <c r="B245" s="214"/>
      <c r="C245" s="649" t="s">
        <v>2898</v>
      </c>
      <c r="D245" s="650"/>
      <c r="E245" s="650"/>
      <c r="F245" s="651"/>
      <c r="G245" s="299" t="str">
        <f>IFERROR((G221-G220-G203)/G162,"-")</f>
        <v>-</v>
      </c>
      <c r="H245" s="299" t="str">
        <f>IFERROR((H221-H220-H203)/H162,"-")</f>
        <v>-</v>
      </c>
      <c r="I245" s="299" t="str">
        <f>IFERROR((I221-I220-I203)/I162,"-")</f>
        <v>-</v>
      </c>
      <c r="J245" s="299" t="str">
        <f>IFERROR((J221-J220-J203)/J162,"-")</f>
        <v>-</v>
      </c>
      <c r="K245" s="300" t="str">
        <f>IFERROR((K221-K220-K203)/K162,"-")</f>
        <v>-</v>
      </c>
      <c r="L245" s="200"/>
    </row>
    <row r="246" spans="1:12" ht="7.5" customHeight="1">
      <c r="A246" s="125"/>
      <c r="B246" s="127"/>
      <c r="C246" s="665"/>
      <c r="D246" s="666"/>
      <c r="E246" s="666"/>
      <c r="F246" s="667"/>
      <c r="G246" s="666"/>
      <c r="H246" s="666"/>
      <c r="I246" s="666"/>
      <c r="J246" s="666"/>
      <c r="K246" s="668"/>
      <c r="L246" s="128"/>
    </row>
    <row r="247" spans="1:12" s="309" customFormat="1" ht="16.5">
      <c r="A247" s="124"/>
      <c r="B247" s="307"/>
      <c r="C247" s="703" t="s">
        <v>2899</v>
      </c>
      <c r="D247" s="704"/>
      <c r="E247" s="704"/>
      <c r="F247" s="704"/>
      <c r="G247" s="704"/>
      <c r="H247" s="704"/>
      <c r="I247" s="704"/>
      <c r="J247" s="704"/>
      <c r="K247" s="705"/>
      <c r="L247" s="308"/>
    </row>
    <row r="248" spans="1:12" s="285" customFormat="1" ht="16.5">
      <c r="A248" s="310"/>
      <c r="B248" s="214"/>
      <c r="C248" s="649" t="s">
        <v>2900</v>
      </c>
      <c r="D248" s="650"/>
      <c r="E248" s="650"/>
      <c r="F248" s="651"/>
      <c r="G248" s="299" t="str">
        <f>IFERROR(G26/G203,"-")</f>
        <v>-</v>
      </c>
      <c r="H248" s="299" t="str">
        <f>IFERROR(H26/H203,"-")</f>
        <v>-</v>
      </c>
      <c r="I248" s="299" t="str">
        <f>IFERROR(I26/I203,"-")</f>
        <v>-</v>
      </c>
      <c r="J248" s="299" t="str">
        <f>IFERROR(J26/J203,"-")</f>
        <v>-</v>
      </c>
      <c r="K248" s="300" t="str">
        <f>IFERROR(K26/K203,"-")</f>
        <v>-</v>
      </c>
      <c r="L248" s="200"/>
    </row>
    <row r="249" spans="1:12" s="285" customFormat="1" ht="12.75">
      <c r="A249" s="125"/>
      <c r="B249" s="214"/>
      <c r="C249" s="649" t="s">
        <v>2901</v>
      </c>
      <c r="D249" s="650"/>
      <c r="E249" s="650"/>
      <c r="F249" s="651"/>
      <c r="G249" s="299" t="str">
        <f>IFERROR(365/G248,"-")</f>
        <v>-</v>
      </c>
      <c r="H249" s="299" t="str">
        <f>IFERROR(365/H248,"-")</f>
        <v>-</v>
      </c>
      <c r="I249" s="299" t="str">
        <f>IFERROR(365/I248,"-")</f>
        <v>-</v>
      </c>
      <c r="J249" s="299" t="str">
        <f>IFERROR(365/J248,"-")</f>
        <v>-</v>
      </c>
      <c r="K249" s="300" t="str">
        <f>IFERROR(365/K248,"-")</f>
        <v>-</v>
      </c>
      <c r="L249" s="200"/>
    </row>
    <row r="250" spans="1:12" s="285" customFormat="1" ht="12.75">
      <c r="A250" s="125"/>
      <c r="B250" s="214"/>
      <c r="C250" s="649" t="s">
        <v>2902</v>
      </c>
      <c r="D250" s="650"/>
      <c r="E250" s="650"/>
      <c r="F250" s="651"/>
      <c r="G250" s="299" t="str">
        <f>IFERROR(G23/G208,"-")</f>
        <v>-</v>
      </c>
      <c r="H250" s="299" t="str">
        <f>IFERROR(H23/H208,"-")</f>
        <v>-</v>
      </c>
      <c r="I250" s="299" t="str">
        <f>IFERROR(I23/I208,"-")</f>
        <v>-</v>
      </c>
      <c r="J250" s="299" t="str">
        <f>IFERROR(J23/J208,"-")</f>
        <v>-</v>
      </c>
      <c r="K250" s="300" t="str">
        <f>IFERROR(K23/K208,"-")</f>
        <v>-</v>
      </c>
      <c r="L250" s="200"/>
    </row>
    <row r="251" spans="1:12" s="285" customFormat="1" ht="12.75">
      <c r="A251" s="125"/>
      <c r="B251" s="214"/>
      <c r="C251" s="649" t="s">
        <v>2903</v>
      </c>
      <c r="D251" s="650"/>
      <c r="E251" s="650"/>
      <c r="F251" s="651"/>
      <c r="G251" s="299" t="str">
        <f>IFERROR(365/G250,"-")</f>
        <v>-</v>
      </c>
      <c r="H251" s="299" t="str">
        <f>IFERROR(365/H250,"-")</f>
        <v>-</v>
      </c>
      <c r="I251" s="299" t="str">
        <f>IFERROR(365/I250,"-")</f>
        <v>-</v>
      </c>
      <c r="J251" s="299" t="str">
        <f>IFERROR(365/J250,"-")</f>
        <v>-</v>
      </c>
      <c r="K251" s="300" t="str">
        <f>IFERROR(365/K250,"-")</f>
        <v>-</v>
      </c>
      <c r="L251" s="200"/>
    </row>
    <row r="252" spans="1:12" s="285" customFormat="1" ht="12.75">
      <c r="A252" s="125"/>
      <c r="B252" s="214"/>
      <c r="C252" s="649" t="s">
        <v>2904</v>
      </c>
      <c r="D252" s="650"/>
      <c r="E252" s="650"/>
      <c r="F252" s="651"/>
      <c r="G252" s="299" t="str">
        <f>IFERROR((G26+G38)/G152,"-")</f>
        <v>-</v>
      </c>
      <c r="H252" s="299" t="str">
        <f>IFERROR((H26+H38)/H152,"-")</f>
        <v>-</v>
      </c>
      <c r="I252" s="299" t="str">
        <f>IFERROR((I26+I38)/I152,"-")</f>
        <v>-</v>
      </c>
      <c r="J252" s="299" t="str">
        <f>IFERROR((J26+J38)/J152,"-")</f>
        <v>-</v>
      </c>
      <c r="K252" s="300" t="str">
        <f>IFERROR((K26+K38)/K152,"-")</f>
        <v>-</v>
      </c>
      <c r="L252" s="200"/>
    </row>
    <row r="253" spans="1:12" s="285" customFormat="1" ht="12.75">
      <c r="A253" s="125"/>
      <c r="B253" s="214"/>
      <c r="C253" s="649" t="s">
        <v>2905</v>
      </c>
      <c r="D253" s="650"/>
      <c r="E253" s="650"/>
      <c r="F253" s="651"/>
      <c r="G253" s="299" t="str">
        <f>IFERROR(365/G252,"-")</f>
        <v>-</v>
      </c>
      <c r="H253" s="299" t="str">
        <f>IFERROR(365/H252,"-")</f>
        <v>-</v>
      </c>
      <c r="I253" s="299" t="str">
        <f>IFERROR(365/I252,"-")</f>
        <v>-</v>
      </c>
      <c r="J253" s="299" t="str">
        <f>IFERROR(365/J252,"-")</f>
        <v>-</v>
      </c>
      <c r="K253" s="300" t="str">
        <f>IFERROR(365/K252,"-")</f>
        <v>-</v>
      </c>
      <c r="L253" s="200"/>
    </row>
    <row r="254" spans="1:12" s="285" customFormat="1" ht="12.75">
      <c r="A254" s="125"/>
      <c r="B254" s="214"/>
      <c r="C254" s="649" t="s">
        <v>2906</v>
      </c>
      <c r="D254" s="650"/>
      <c r="E254" s="650"/>
      <c r="F254" s="651"/>
      <c r="G254" s="299" t="str">
        <f>IFERROR(G249+G251-G253,"-")</f>
        <v>-</v>
      </c>
      <c r="H254" s="299" t="str">
        <f>IFERROR(H249+H251-H253,"-")</f>
        <v>-</v>
      </c>
      <c r="I254" s="299" t="str">
        <f>IFERROR(I249+I251-I253,"-")</f>
        <v>-</v>
      </c>
      <c r="J254" s="299" t="str">
        <f>IFERROR(J249+J251-J253,"-")</f>
        <v>-</v>
      </c>
      <c r="K254" s="300" t="str">
        <f>IFERROR(K249+K251-K253,"-")</f>
        <v>-</v>
      </c>
      <c r="L254" s="200"/>
    </row>
    <row r="255" spans="1:12" s="285" customFormat="1" ht="12.75">
      <c r="A255" s="125"/>
      <c r="B255" s="214"/>
      <c r="C255" s="649" t="s">
        <v>2907</v>
      </c>
      <c r="D255" s="650"/>
      <c r="E255" s="650"/>
      <c r="F255" s="651"/>
      <c r="G255" s="299" t="str">
        <f>IFERROR(G23/(G168-G172),"-")</f>
        <v>-</v>
      </c>
      <c r="H255" s="299" t="str">
        <f>IFERROR(H23/(H168-H172),"-")</f>
        <v>-</v>
      </c>
      <c r="I255" s="299" t="str">
        <f>IFERROR(I23/(I168-I172),"-")</f>
        <v>-</v>
      </c>
      <c r="J255" s="299" t="str">
        <f>IFERROR(J23/(J168-J172),"-")</f>
        <v>-</v>
      </c>
      <c r="K255" s="300" t="str">
        <f>IFERROR(K23/(K168-K172),"-")</f>
        <v>-</v>
      </c>
      <c r="L255" s="200"/>
    </row>
    <row r="256" spans="1:12" s="285" customFormat="1" ht="12.75">
      <c r="A256" s="125"/>
      <c r="B256" s="214"/>
      <c r="C256" s="649" t="s">
        <v>2908</v>
      </c>
      <c r="D256" s="650"/>
      <c r="E256" s="650"/>
      <c r="F256" s="651"/>
      <c r="G256" s="299" t="str">
        <f>IFERROR(G23/G222,"-")</f>
        <v>-</v>
      </c>
      <c r="H256" s="299" t="str">
        <f>IFERROR(H23/H222,"-")</f>
        <v>-</v>
      </c>
      <c r="I256" s="299" t="str">
        <f>IFERROR(I23/I222,"-")</f>
        <v>-</v>
      </c>
      <c r="J256" s="299" t="str">
        <f>IFERROR(J23/J222,"-")</f>
        <v>-</v>
      </c>
      <c r="K256" s="300" t="str">
        <f>IFERROR(K23/K222,"-")</f>
        <v>-</v>
      </c>
      <c r="L256" s="200"/>
    </row>
    <row r="257" spans="1:12" s="285" customFormat="1" ht="7.5" customHeight="1">
      <c r="A257" s="125"/>
      <c r="B257" s="214"/>
      <c r="C257" s="665"/>
      <c r="D257" s="666"/>
      <c r="E257" s="666"/>
      <c r="F257" s="666"/>
      <c r="G257" s="666"/>
      <c r="H257" s="666"/>
      <c r="I257" s="666"/>
      <c r="J257" s="666"/>
      <c r="K257" s="668"/>
      <c r="L257" s="200"/>
    </row>
    <row r="258" spans="1:12" s="309" customFormat="1" ht="16.5">
      <c r="A258" s="125"/>
      <c r="B258" s="307"/>
      <c r="C258" s="758" t="s">
        <v>2909</v>
      </c>
      <c r="D258" s="759"/>
      <c r="E258" s="759"/>
      <c r="F258" s="759"/>
      <c r="G258" s="759"/>
      <c r="H258" s="759"/>
      <c r="I258" s="759"/>
      <c r="J258" s="759"/>
      <c r="K258" s="760"/>
      <c r="L258" s="308"/>
    </row>
    <row r="259" spans="1:12" s="125" customFormat="1" ht="16.5">
      <c r="A259" s="310"/>
      <c r="B259" s="214"/>
      <c r="C259" s="649" t="s">
        <v>2910</v>
      </c>
      <c r="D259" s="650"/>
      <c r="E259" s="650"/>
      <c r="F259" s="651"/>
      <c r="G259" s="299" t="str">
        <f>IFERROR(G55/G67,"-")</f>
        <v>-</v>
      </c>
      <c r="H259" s="299" t="str">
        <f>IFERROR(H65/H67,"-")</f>
        <v>-</v>
      </c>
      <c r="I259" s="299" t="str">
        <f>IFERROR(I65/I67,"-")</f>
        <v>-</v>
      </c>
      <c r="J259" s="299" t="str">
        <f>IFERROR(J55/J67,"-")</f>
        <v>-</v>
      </c>
      <c r="K259" s="300" t="str">
        <f>IFERROR(K55/K67,"-")</f>
        <v>-</v>
      </c>
      <c r="L259" s="200"/>
    </row>
    <row r="260" spans="1:12" s="125" customFormat="1" ht="29.25" customHeight="1">
      <c r="B260" s="214"/>
      <c r="C260" s="649" t="s">
        <v>2911</v>
      </c>
      <c r="D260" s="650"/>
      <c r="E260" s="650"/>
      <c r="F260" s="651"/>
      <c r="G260" s="313" t="str">
        <f>IF(G144+G152=0,"-",G55/(G144+G152))</f>
        <v>-</v>
      </c>
      <c r="H260" s="313" t="str">
        <f>IF(H144+H152=0,"-",H55/(H144+H152))</f>
        <v>-</v>
      </c>
      <c r="I260" s="313" t="str">
        <f>IF(I144+I152=0,"-",I55/(I144+I152))</f>
        <v>-</v>
      </c>
      <c r="J260" s="313" t="str">
        <f>IF(J144+J152=0,"-",J55/(J144+J152))</f>
        <v>-</v>
      </c>
      <c r="K260" s="314" t="str">
        <f>IF(K144+K152=0,"-",K55/(K144+K152))</f>
        <v>-</v>
      </c>
      <c r="L260" s="200"/>
    </row>
    <row r="261" spans="1:12" s="125" customFormat="1" ht="12.75">
      <c r="B261" s="214"/>
      <c r="C261" s="649" t="s">
        <v>2912</v>
      </c>
      <c r="D261" s="650"/>
      <c r="E261" s="650"/>
      <c r="F261" s="651"/>
      <c r="G261" s="261" t="str">
        <f>IFERROR((G141+G162)/G119,"-")</f>
        <v>-</v>
      </c>
      <c r="H261" s="261" t="str">
        <f>IFERROR((H141+H162)/H119,"-")</f>
        <v>-</v>
      </c>
      <c r="I261" s="261" t="str">
        <f>IFERROR((I141+I162)/I119,"-")</f>
        <v>-</v>
      </c>
      <c r="J261" s="261" t="str">
        <f>IFERROR((J141+J162)/J119,"-")</f>
        <v>-</v>
      </c>
      <c r="K261" s="262" t="str">
        <f>IFERROR((K141+K162)/K119,"-")</f>
        <v>-</v>
      </c>
      <c r="L261" s="200"/>
    </row>
    <row r="262" spans="1:12" s="125" customFormat="1" ht="42" customHeight="1">
      <c r="B262" s="214"/>
      <c r="C262" s="649" t="s">
        <v>2913</v>
      </c>
      <c r="D262" s="650"/>
      <c r="E262" s="650"/>
      <c r="F262" s="651"/>
      <c r="G262" s="299" t="str">
        <f>IFERROR((G125+SUM(G144,G152))/(G92+G57),"-")</f>
        <v>-</v>
      </c>
      <c r="H262" s="299" t="str">
        <f>IFERROR((H125+SUM(H144,H152))/(H92+H57),"-")</f>
        <v>-</v>
      </c>
      <c r="I262" s="299" t="str">
        <f>IFERROR((I125+SUM(I144,I152))/(I92+I57),"-")</f>
        <v>-</v>
      </c>
      <c r="J262" s="299" t="str">
        <f>IFERROR((J125+SUM(J144,J152))/(J92+J57),"-")</f>
        <v>-</v>
      </c>
      <c r="K262" s="300" t="str">
        <f>IFERROR((K125+SUM(K144,K152))/(K92+K57),"-")</f>
        <v>-</v>
      </c>
      <c r="L262" s="200"/>
    </row>
    <row r="263" spans="1:12" s="125" customFormat="1" ht="12.75">
      <c r="B263" s="214"/>
      <c r="C263" s="649" t="s">
        <v>2914</v>
      </c>
      <c r="D263" s="650"/>
      <c r="E263" s="650"/>
      <c r="F263" s="651"/>
      <c r="G263" s="299" t="str">
        <f>IFERROR(SUM(G144,G152,G125)/G119,"-")</f>
        <v>-</v>
      </c>
      <c r="H263" s="299" t="str">
        <f>IFERROR(SUM(H144,H152,H125)/H119,"-")</f>
        <v>-</v>
      </c>
      <c r="I263" s="299" t="str">
        <f>IFERROR(SUM(I144,I152,I125)/I119,"-")</f>
        <v>-</v>
      </c>
      <c r="J263" s="299" t="str">
        <f>IFERROR(SUM(J144,J152,J125)/J119,"-")</f>
        <v>-</v>
      </c>
      <c r="K263" s="300" t="str">
        <f>IFERROR(SUM(K144,K152,K125)/K119,"-")</f>
        <v>-</v>
      </c>
      <c r="L263" s="200"/>
    </row>
    <row r="264" spans="1:12" s="125" customFormat="1" ht="12.75">
      <c r="B264" s="214"/>
      <c r="C264" s="726" t="s">
        <v>2915</v>
      </c>
      <c r="D264" s="727"/>
      <c r="E264" s="727"/>
      <c r="F264" s="728"/>
      <c r="G264" s="315" t="str">
        <f>IF(G125+G144+G152=0,"No Debt",(G222-(G173+G174)-G191-(G162-(G144+G152)))/(G125+G144+G152))</f>
        <v>No Debt</v>
      </c>
      <c r="H264" s="315" t="str">
        <f>IF(H125+H144+H152=0,"No Debt",(H222-(H173+H174)-H191-(H162-(H144+H152)))/(H125+H144+H152))</f>
        <v>No Debt</v>
      </c>
      <c r="I264" s="315" t="str">
        <f>IF(I125+I144+I152=0,"No Debt",(I222-(I173+I174)-I191-(I162-(I144+I152)))/(I125+I144+I152))</f>
        <v>No Debt</v>
      </c>
      <c r="J264" s="315" t="str">
        <f>IF(J125+J144+J152=0,"No Debt",(J222-(J173+J174)-J191-(J162-(J144+J152)))/(J125+J144+J152))</f>
        <v>No Debt</v>
      </c>
      <c r="K264" s="316" t="str">
        <f>IF(K125+K144+K152=0,"No Debt",(K222-(K173+K174)-K191-(K162-(K144+K152)))/(K125+K144+K152))</f>
        <v>No Debt</v>
      </c>
      <c r="L264" s="200"/>
    </row>
    <row r="265" spans="1:12" ht="13.5" customHeight="1">
      <c r="A265" s="125"/>
      <c r="B265" s="272"/>
      <c r="C265" s="275"/>
      <c r="D265" s="275"/>
      <c r="E265" s="275"/>
      <c r="F265" s="317"/>
      <c r="G265" s="275"/>
      <c r="H265" s="275"/>
      <c r="I265" s="275"/>
      <c r="J265" s="275"/>
      <c r="K265" s="275"/>
      <c r="L265" s="318"/>
    </row>
  </sheetData>
  <mergeCells count="252">
    <mergeCell ref="B2:L2"/>
    <mergeCell ref="D35:D37"/>
    <mergeCell ref="E68:F68"/>
    <mergeCell ref="C250:F250"/>
    <mergeCell ref="C85:K85"/>
    <mergeCell ref="E151:F151"/>
    <mergeCell ref="E118:F118"/>
    <mergeCell ref="D52:F52"/>
    <mergeCell ref="C234:F234"/>
    <mergeCell ref="E201:F201"/>
    <mergeCell ref="E168:F168"/>
    <mergeCell ref="C102:K102"/>
    <mergeCell ref="E135:F135"/>
    <mergeCell ref="C229:F229"/>
    <mergeCell ref="C196:C220"/>
    <mergeCell ref="D196:F196"/>
    <mergeCell ref="C163:F163"/>
    <mergeCell ref="E130:F130"/>
    <mergeCell ref="D64:F64"/>
    <mergeCell ref="E97:F97"/>
    <mergeCell ref="E31:F31"/>
    <mergeCell ref="C246:K246"/>
    <mergeCell ref="D213:F213"/>
    <mergeCell ref="E180:F180"/>
    <mergeCell ref="C264:F264"/>
    <mergeCell ref="C231:F231"/>
    <mergeCell ref="C165:K165"/>
    <mergeCell ref="C99:F99"/>
    <mergeCell ref="E132:F132"/>
    <mergeCell ref="C66:K66"/>
    <mergeCell ref="C248:F248"/>
    <mergeCell ref="E215:F215"/>
    <mergeCell ref="D182:F182"/>
    <mergeCell ref="E149:F149"/>
    <mergeCell ref="E116:F116"/>
    <mergeCell ref="D83:F83"/>
    <mergeCell ref="C232:K232"/>
    <mergeCell ref="C166:F166"/>
    <mergeCell ref="D133:F133"/>
    <mergeCell ref="C100:F100"/>
    <mergeCell ref="C67:C80"/>
    <mergeCell ref="D67:F67"/>
    <mergeCell ref="C249:F249"/>
    <mergeCell ref="E183:F183"/>
    <mergeCell ref="C84:F84"/>
    <mergeCell ref="E150:F150"/>
    <mergeCell ref="E117:F117"/>
    <mergeCell ref="C233:K233"/>
    <mergeCell ref="C263:F263"/>
    <mergeCell ref="C230:F230"/>
    <mergeCell ref="C164:K164"/>
    <mergeCell ref="E197:F197"/>
    <mergeCell ref="E131:F131"/>
    <mergeCell ref="C65:F65"/>
    <mergeCell ref="E98:F98"/>
    <mergeCell ref="D32:D33"/>
    <mergeCell ref="C247:K247"/>
    <mergeCell ref="D214:F214"/>
    <mergeCell ref="E181:F181"/>
    <mergeCell ref="E148:F148"/>
    <mergeCell ref="C82:K82"/>
    <mergeCell ref="E115:F115"/>
    <mergeCell ref="D49:F49"/>
    <mergeCell ref="E50:F50"/>
    <mergeCell ref="E34:F34"/>
    <mergeCell ref="E51:F51"/>
    <mergeCell ref="C167:C192"/>
    <mergeCell ref="E200:F200"/>
    <mergeCell ref="D167:F167"/>
    <mergeCell ref="D134:F134"/>
    <mergeCell ref="D68:D71"/>
    <mergeCell ref="C262:F262"/>
    <mergeCell ref="C261:F261"/>
    <mergeCell ref="C228:K228"/>
    <mergeCell ref="C195:F195"/>
    <mergeCell ref="C162:F162"/>
    <mergeCell ref="E129:F129"/>
    <mergeCell ref="D96:F96"/>
    <mergeCell ref="E63:F63"/>
    <mergeCell ref="C245:F245"/>
    <mergeCell ref="E212:F212"/>
    <mergeCell ref="E179:F179"/>
    <mergeCell ref="E146:F146"/>
    <mergeCell ref="D113:F113"/>
    <mergeCell ref="E80:F80"/>
    <mergeCell ref="C260:F260"/>
    <mergeCell ref="C227:F227"/>
    <mergeCell ref="C194:K194"/>
    <mergeCell ref="C95:F95"/>
    <mergeCell ref="E161:F161"/>
    <mergeCell ref="E128:F128"/>
    <mergeCell ref="C259:F259"/>
    <mergeCell ref="C226:K226"/>
    <mergeCell ref="C193:F193"/>
    <mergeCell ref="E160:F160"/>
    <mergeCell ref="E127:F127"/>
    <mergeCell ref="D94:F94"/>
    <mergeCell ref="C258:K258"/>
    <mergeCell ref="E110:F110"/>
    <mergeCell ref="C81:F81"/>
    <mergeCell ref="E147:F147"/>
    <mergeCell ref="E114:F114"/>
    <mergeCell ref="C27:C42"/>
    <mergeCell ref="E60:F60"/>
    <mergeCell ref="E27:F27"/>
    <mergeCell ref="C242:F242"/>
    <mergeCell ref="E209:F209"/>
    <mergeCell ref="C143:F143"/>
    <mergeCell ref="E176:F176"/>
    <mergeCell ref="C244:F244"/>
    <mergeCell ref="E211:F211"/>
    <mergeCell ref="E178:F178"/>
    <mergeCell ref="E145:F145"/>
    <mergeCell ref="E112:F112"/>
    <mergeCell ref="E79:F79"/>
    <mergeCell ref="E48:F48"/>
    <mergeCell ref="E62:F62"/>
    <mergeCell ref="C243:F243"/>
    <mergeCell ref="C144:C161"/>
    <mergeCell ref="D177:F177"/>
    <mergeCell ref="E210:F210"/>
    <mergeCell ref="D144:F144"/>
    <mergeCell ref="E111:F111"/>
    <mergeCell ref="D45:F45"/>
    <mergeCell ref="E78:F78"/>
    <mergeCell ref="C46:C54"/>
    <mergeCell ref="E46:F46"/>
    <mergeCell ref="E47:F47"/>
    <mergeCell ref="E192:F192"/>
    <mergeCell ref="E159:F159"/>
    <mergeCell ref="C93:K93"/>
    <mergeCell ref="E126:F126"/>
    <mergeCell ref="C257:K257"/>
    <mergeCell ref="C224:F224"/>
    <mergeCell ref="D158:F158"/>
    <mergeCell ref="E191:F191"/>
    <mergeCell ref="C92:F92"/>
    <mergeCell ref="D125:F125"/>
    <mergeCell ref="D26:F26"/>
    <mergeCell ref="E59:F59"/>
    <mergeCell ref="C241:K241"/>
    <mergeCell ref="D208:F208"/>
    <mergeCell ref="C142:K142"/>
    <mergeCell ref="E175:F175"/>
    <mergeCell ref="E109:F109"/>
    <mergeCell ref="C43:F43"/>
    <mergeCell ref="E76:F76"/>
    <mergeCell ref="C256:F256"/>
    <mergeCell ref="D157:F157"/>
    <mergeCell ref="C124:F124"/>
    <mergeCell ref="E190:F190"/>
    <mergeCell ref="D91:F91"/>
    <mergeCell ref="C255:F255"/>
    <mergeCell ref="C254:F254"/>
    <mergeCell ref="D61:F61"/>
    <mergeCell ref="D28:D30"/>
    <mergeCell ref="D188:F188"/>
    <mergeCell ref="C122:K122"/>
    <mergeCell ref="E155:F155"/>
    <mergeCell ref="C56:K56"/>
    <mergeCell ref="D89:F89"/>
    <mergeCell ref="C25:F25"/>
    <mergeCell ref="D58:F58"/>
    <mergeCell ref="C240:K240"/>
    <mergeCell ref="C141:F141"/>
    <mergeCell ref="E207:F207"/>
    <mergeCell ref="C108:C118"/>
    <mergeCell ref="E174:F174"/>
    <mergeCell ref="E108:F108"/>
    <mergeCell ref="E75:F75"/>
    <mergeCell ref="E42:F42"/>
    <mergeCell ref="C222:F222"/>
    <mergeCell ref="D189:F189"/>
    <mergeCell ref="C123:F123"/>
    <mergeCell ref="E156:F156"/>
    <mergeCell ref="C90:C91"/>
    <mergeCell ref="C57:C64"/>
    <mergeCell ref="D90:F90"/>
    <mergeCell ref="C44:K44"/>
    <mergeCell ref="E77:F77"/>
    <mergeCell ref="C238:F238"/>
    <mergeCell ref="E205:F205"/>
    <mergeCell ref="C106:F106"/>
    <mergeCell ref="E172:F172"/>
    <mergeCell ref="E139:F139"/>
    <mergeCell ref="D73:F73"/>
    <mergeCell ref="E40:F40"/>
    <mergeCell ref="C253:F253"/>
    <mergeCell ref="D220:F220"/>
    <mergeCell ref="E187:F187"/>
    <mergeCell ref="C121:F121"/>
    <mergeCell ref="E154:F154"/>
    <mergeCell ref="C55:F55"/>
    <mergeCell ref="E88:F88"/>
    <mergeCell ref="C251:F251"/>
    <mergeCell ref="D57:F57"/>
    <mergeCell ref="C239:F239"/>
    <mergeCell ref="E206:F206"/>
    <mergeCell ref="E173:F173"/>
    <mergeCell ref="D140:F140"/>
    <mergeCell ref="D107:F107"/>
    <mergeCell ref="D74:D80"/>
    <mergeCell ref="E74:F74"/>
    <mergeCell ref="E41:F41"/>
    <mergeCell ref="D22:F22"/>
    <mergeCell ref="C237:F237"/>
    <mergeCell ref="E204:F204"/>
    <mergeCell ref="C105:K105"/>
    <mergeCell ref="E138:F138"/>
    <mergeCell ref="E72:F72"/>
    <mergeCell ref="E39:F39"/>
    <mergeCell ref="C12:C22"/>
    <mergeCell ref="E12:F12"/>
    <mergeCell ref="D13:D15"/>
    <mergeCell ref="E16:F16"/>
    <mergeCell ref="D17:D19"/>
    <mergeCell ref="D152:F152"/>
    <mergeCell ref="C119:F119"/>
    <mergeCell ref="D86:F86"/>
    <mergeCell ref="E53:F53"/>
    <mergeCell ref="E20:F20"/>
    <mergeCell ref="C235:F235"/>
    <mergeCell ref="E202:F202"/>
    <mergeCell ref="C103:F103"/>
    <mergeCell ref="E136:F136"/>
    <mergeCell ref="C23:F23"/>
    <mergeCell ref="C24:K24"/>
    <mergeCell ref="C221:F221"/>
    <mergeCell ref="C4:E4"/>
    <mergeCell ref="E70:F70"/>
    <mergeCell ref="C252:F252"/>
    <mergeCell ref="E219:F219"/>
    <mergeCell ref="C120:K120"/>
    <mergeCell ref="C87:C89"/>
    <mergeCell ref="E153:F153"/>
    <mergeCell ref="E87:F87"/>
    <mergeCell ref="E54:F54"/>
    <mergeCell ref="D21:F21"/>
    <mergeCell ref="C236:F236"/>
    <mergeCell ref="D203:F203"/>
    <mergeCell ref="C104:K104"/>
    <mergeCell ref="D137:F137"/>
    <mergeCell ref="D38:F38"/>
    <mergeCell ref="C5:K5"/>
    <mergeCell ref="E71:F71"/>
    <mergeCell ref="C6:F6"/>
    <mergeCell ref="C7:F7"/>
    <mergeCell ref="C8:F8"/>
    <mergeCell ref="C9:F9"/>
    <mergeCell ref="C10:F10"/>
    <mergeCell ref="D11:F11"/>
    <mergeCell ref="E69:F69"/>
  </mergeCells>
  <conditionalFormatting sqref="G11:K140">
    <cfRule type="expression" dxfId="61" priority="2">
      <formula>G$7=""</formula>
    </cfRule>
  </conditionalFormatting>
  <conditionalFormatting sqref="G144:K161">
    <cfRule type="expression" dxfId="60" priority="3">
      <formula>G$7=""</formula>
    </cfRule>
  </conditionalFormatting>
  <conditionalFormatting sqref="G167:K192">
    <cfRule type="expression" dxfId="59" priority="4">
      <formula>G$7=""</formula>
    </cfRule>
  </conditionalFormatting>
  <conditionalFormatting sqref="G196:K220">
    <cfRule type="expression" dxfId="58" priority="5">
      <formula>G$7=""</formula>
    </cfRule>
  </conditionalFormatting>
  <conditionalFormatting sqref="G224:K224 G229:K231 G234:K239 G242:K245 G248:K256 G259:K264">
    <cfRule type="expression" dxfId="57" priority="1">
      <formula>G$7=""</formula>
    </cfRule>
  </conditionalFormatting>
  <dataValidations count="3">
    <dataValidation type="list" allowBlank="1" showErrorMessage="1" errorTitle="The value you entered is not valid." error="The value entered violates data validation rules set in cell" sqref="G9:K9" xr:uid="{00000000-0002-0000-0E00-000000000000}">
      <formula1>"Material Qualification,Unqualified,No opinion / Unknown"</formula1>
    </dataValidation>
    <dataValidation type="list" allowBlank="1" showErrorMessage="1" errorTitle="The value you entered is not valid." error="The value entered violates data validation rules set in cell" sqref="K4" xr:uid="{00000000-0002-0000-0E00-000001000000}">
      <formula1>"Actuals, Thousands, Lakhs, Millions, Crores"</formula1>
    </dataValidation>
    <dataValidation type="list" allowBlank="1" showErrorMessage="1" errorTitle="The value you entered is not valid." error="The value entered violates data validation rules set in cell" sqref="G7:K7" xr:uid="{00000000-0002-0000-0E00-000002000000}">
      <formula1>"Audited,Unaudited,Provisional,Projection"</formula1>
    </dataValidation>
  </dataValidation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6">
    <tabColor rgb="FF0F243F"/>
  </sheetPr>
  <dimension ref="A2:AMJ265"/>
  <sheetViews>
    <sheetView workbookViewId="0"/>
  </sheetViews>
  <sheetFormatPr defaultRowHeight="15.75" customHeight="1" outlineLevelRow="2"/>
  <cols>
    <col min="1" max="5" width="2.5703125" style="124"/>
    <col min="6" max="6" width="49.28515625" style="126"/>
    <col min="7" max="7" width="16.140625" style="124"/>
    <col min="8" max="8" width="19.7109375" style="124"/>
    <col min="9" max="9" width="18.42578125" style="124"/>
    <col min="10" max="11" width="16.140625" style="124"/>
    <col min="12" max="12" width="2" style="124"/>
    <col min="13" max="13" width="23.140625" style="124"/>
    <col min="14" max="15" width="13.42578125" style="124"/>
    <col min="16" max="1024" width="9.85546875" style="124"/>
    <col min="1025" max="1025" width="11.42578125"/>
  </cols>
  <sheetData>
    <row r="2" spans="2:12" ht="26.25" customHeight="1">
      <c r="B2" s="738" t="s">
        <v>2916</v>
      </c>
      <c r="C2" s="739"/>
      <c r="D2" s="739"/>
      <c r="E2" s="739"/>
      <c r="F2" s="739"/>
      <c r="G2" s="739"/>
      <c r="H2" s="739"/>
      <c r="I2" s="739"/>
      <c r="J2" s="739"/>
      <c r="K2" s="739"/>
      <c r="L2" s="740"/>
    </row>
    <row r="3" spans="2:12" ht="15">
      <c r="B3" s="189"/>
      <c r="F3" s="124"/>
      <c r="G3" s="125"/>
      <c r="L3" s="128"/>
    </row>
    <row r="4" spans="2:12" ht="15">
      <c r="B4" s="189"/>
      <c r="C4" s="755" t="s">
        <v>2917</v>
      </c>
      <c r="D4" s="755"/>
      <c r="E4" s="755"/>
      <c r="F4" s="342"/>
      <c r="G4" s="125"/>
      <c r="J4" s="191" t="s">
        <v>2918</v>
      </c>
      <c r="K4" s="192" t="s">
        <v>2919</v>
      </c>
      <c r="L4" s="128"/>
    </row>
    <row r="5" spans="2:12" ht="19.5">
      <c r="B5" s="127"/>
      <c r="C5" s="630" t="s">
        <v>2920</v>
      </c>
      <c r="D5" s="631"/>
      <c r="E5" s="631"/>
      <c r="F5" s="631"/>
      <c r="G5" s="631"/>
      <c r="H5" s="631"/>
      <c r="I5" s="631"/>
      <c r="J5" s="631"/>
      <c r="K5" s="632"/>
      <c r="L5" s="128"/>
    </row>
    <row r="6" spans="2:12" s="193" customFormat="1" ht="19.5" customHeight="1">
      <c r="B6" s="194"/>
      <c r="C6" s="633" t="s">
        <v>2921</v>
      </c>
      <c r="D6" s="634"/>
      <c r="E6" s="634"/>
      <c r="F6" s="634"/>
      <c r="G6" s="195" t="str">
        <f>IFERROR(EDATE(H6,-12),"-")</f>
        <v>-</v>
      </c>
      <c r="H6" s="195" t="str">
        <f>IFERROR(EDATE(I6,-12),"-")</f>
        <v>-</v>
      </c>
      <c r="I6" s="195"/>
      <c r="J6" s="195">
        <f>IFERROR(EDATE(I6,12),"-")</f>
        <v>366</v>
      </c>
      <c r="K6" s="196">
        <f>IFERROR(EDATE(J6,12),"-")</f>
        <v>731</v>
      </c>
      <c r="L6" s="197"/>
    </row>
    <row r="7" spans="2:12" s="125" customFormat="1" ht="16.5" customHeight="1">
      <c r="B7" s="189"/>
      <c r="C7" s="635" t="s">
        <v>2922</v>
      </c>
      <c r="D7" s="636"/>
      <c r="E7" s="636"/>
      <c r="F7" s="637"/>
      <c r="G7" s="199" t="s">
        <v>2923</v>
      </c>
      <c r="H7" s="199" t="s">
        <v>2924</v>
      </c>
      <c r="I7" s="199" t="s">
        <v>2925</v>
      </c>
      <c r="J7" s="199" t="s">
        <v>2926</v>
      </c>
      <c r="K7" s="199" t="s">
        <v>2927</v>
      </c>
      <c r="L7" s="200"/>
    </row>
    <row r="8" spans="2:12" s="201" customFormat="1" ht="12.75">
      <c r="B8" s="202"/>
      <c r="C8" s="638" t="s">
        <v>2928</v>
      </c>
      <c r="D8" s="639"/>
      <c r="E8" s="639"/>
      <c r="F8" s="640"/>
      <c r="G8" s="203"/>
      <c r="H8" s="203"/>
      <c r="I8" s="203"/>
      <c r="J8" s="203"/>
      <c r="K8" s="204"/>
      <c r="L8" s="205"/>
    </row>
    <row r="9" spans="2:12" s="201" customFormat="1" ht="12.75">
      <c r="B9" s="202"/>
      <c r="C9" s="641" t="s">
        <v>2929</v>
      </c>
      <c r="D9" s="642"/>
      <c r="E9" s="642"/>
      <c r="F9" s="643"/>
      <c r="G9" s="206"/>
      <c r="H9" s="206"/>
      <c r="I9" s="206"/>
      <c r="J9" s="206"/>
      <c r="K9" s="207"/>
      <c r="L9" s="205"/>
    </row>
    <row r="10" spans="2:12" ht="17.25" customHeight="1">
      <c r="B10" s="127"/>
      <c r="C10" s="644" t="s">
        <v>2930</v>
      </c>
      <c r="D10" s="645"/>
      <c r="E10" s="645"/>
      <c r="F10" s="645"/>
      <c r="G10" s="208"/>
      <c r="H10" s="208"/>
      <c r="I10" s="208"/>
      <c r="J10" s="208"/>
      <c r="K10" s="209"/>
      <c r="L10" s="128"/>
    </row>
    <row r="11" spans="2:12" ht="17.25" customHeight="1">
      <c r="B11" s="127"/>
      <c r="C11" s="210"/>
      <c r="D11" s="611" t="s">
        <v>2931</v>
      </c>
      <c r="E11" s="612"/>
      <c r="F11" s="613"/>
      <c r="G11" s="212">
        <f>SUM(G12,G16,G20)</f>
        <v>0</v>
      </c>
      <c r="H11" s="212">
        <f>SUM(H12,H16,H20)</f>
        <v>0</v>
      </c>
      <c r="I11" s="212">
        <f>SUM(I12,I16,I20)</f>
        <v>0</v>
      </c>
      <c r="J11" s="212">
        <f>SUM(J12,J16,J20)</f>
        <v>0</v>
      </c>
      <c r="K11" s="213">
        <f>SUM(K12,K16,K20)</f>
        <v>0</v>
      </c>
      <c r="L11" s="128"/>
    </row>
    <row r="12" spans="2:12" s="125" customFormat="1" ht="12.75" outlineLevel="1">
      <c r="B12" s="214"/>
      <c r="C12" s="657"/>
      <c r="D12" s="215"/>
      <c r="E12" s="659" t="s">
        <v>2932</v>
      </c>
      <c r="F12" s="660"/>
      <c r="G12" s="216">
        <f>SUM(G13:G15)</f>
        <v>0</v>
      </c>
      <c r="H12" s="216">
        <f>SUM(H13:H15)</f>
        <v>0</v>
      </c>
      <c r="I12" s="216">
        <f>SUM(I13:I15)</f>
        <v>0</v>
      </c>
      <c r="J12" s="216">
        <f>SUM(J13:J15)</f>
        <v>0</v>
      </c>
      <c r="K12" s="217">
        <f>SUM(K13:K15)</f>
        <v>0</v>
      </c>
      <c r="L12" s="200"/>
    </row>
    <row r="13" spans="2:12" s="218" customFormat="1" ht="14.25" customHeight="1" outlineLevel="2">
      <c r="B13" s="219"/>
      <c r="C13" s="657"/>
      <c r="D13" s="661"/>
      <c r="E13" s="220"/>
      <c r="F13" s="221" t="s">
        <v>2933</v>
      </c>
      <c r="G13" s="223"/>
      <c r="H13" s="223"/>
      <c r="I13" s="223"/>
      <c r="J13" s="223"/>
      <c r="K13" s="224"/>
      <c r="L13" s="225"/>
    </row>
    <row r="14" spans="2:12" s="218" customFormat="1" ht="14.25" customHeight="1" outlineLevel="2">
      <c r="B14" s="219"/>
      <c r="C14" s="657"/>
      <c r="D14" s="661"/>
      <c r="F14" s="226" t="s">
        <v>2934</v>
      </c>
      <c r="G14" s="227"/>
      <c r="H14" s="227"/>
      <c r="I14" s="227"/>
      <c r="J14" s="227"/>
      <c r="K14" s="228"/>
      <c r="L14" s="225"/>
    </row>
    <row r="15" spans="2:12" s="218" customFormat="1" ht="14.25" customHeight="1" outlineLevel="2">
      <c r="B15" s="219"/>
      <c r="C15" s="657"/>
      <c r="D15" s="661"/>
      <c r="F15" s="226" t="s">
        <v>2935</v>
      </c>
      <c r="G15" s="227"/>
      <c r="H15" s="227"/>
      <c r="I15" s="227"/>
      <c r="J15" s="227"/>
      <c r="K15" s="228"/>
      <c r="L15" s="225"/>
    </row>
    <row r="16" spans="2:12" s="125" customFormat="1" ht="12.75" outlineLevel="1">
      <c r="B16" s="214"/>
      <c r="C16" s="657"/>
      <c r="E16" s="611" t="s">
        <v>2936</v>
      </c>
      <c r="F16" s="613"/>
      <c r="G16" s="229">
        <f>SUM(G17:G19)</f>
        <v>0</v>
      </c>
      <c r="H16" s="229">
        <f>SUM(H17:H19)</f>
        <v>0</v>
      </c>
      <c r="I16" s="229">
        <f>SUM(I17:I19)</f>
        <v>0</v>
      </c>
      <c r="J16" s="229">
        <f>SUM(J17:J19)</f>
        <v>0</v>
      </c>
      <c r="K16" s="230">
        <f>SUM(K17:K19)</f>
        <v>0</v>
      </c>
      <c r="L16" s="200"/>
    </row>
    <row r="17" spans="2:12" s="218" customFormat="1" ht="14.25" customHeight="1" outlineLevel="2">
      <c r="B17" s="219"/>
      <c r="C17" s="657"/>
      <c r="D17" s="661"/>
      <c r="E17" s="220"/>
      <c r="F17" s="221" t="s">
        <v>2937</v>
      </c>
      <c r="G17" s="223"/>
      <c r="H17" s="223"/>
      <c r="I17" s="223"/>
      <c r="J17" s="223"/>
      <c r="K17" s="224"/>
      <c r="L17" s="225"/>
    </row>
    <row r="18" spans="2:12" s="218" customFormat="1" ht="14.25" customHeight="1" outlineLevel="2">
      <c r="B18" s="219"/>
      <c r="C18" s="657"/>
      <c r="D18" s="661"/>
      <c r="F18" s="226" t="s">
        <v>2938</v>
      </c>
      <c r="G18" s="227"/>
      <c r="H18" s="227"/>
      <c r="I18" s="227"/>
      <c r="J18" s="227"/>
      <c r="K18" s="228"/>
      <c r="L18" s="225"/>
    </row>
    <row r="19" spans="2:12" s="218" customFormat="1" ht="14.25" customHeight="1" outlineLevel="2">
      <c r="B19" s="219"/>
      <c r="C19" s="657"/>
      <c r="D19" s="661"/>
      <c r="F19" s="226" t="s">
        <v>2939</v>
      </c>
      <c r="G19" s="227"/>
      <c r="H19" s="227"/>
      <c r="I19" s="227"/>
      <c r="J19" s="227"/>
      <c r="K19" s="228"/>
      <c r="L19" s="225"/>
    </row>
    <row r="20" spans="2:12" s="218" customFormat="1" ht="14.25" customHeight="1" outlineLevel="1">
      <c r="B20" s="219"/>
      <c r="C20" s="657"/>
      <c r="E20" s="611" t="s">
        <v>2940</v>
      </c>
      <c r="F20" s="613"/>
      <c r="G20" s="227"/>
      <c r="H20" s="227"/>
      <c r="I20" s="227"/>
      <c r="J20" s="227"/>
      <c r="K20" s="228"/>
      <c r="L20" s="225"/>
    </row>
    <row r="21" spans="2:12" s="125" customFormat="1" ht="12.75">
      <c r="B21" s="214"/>
      <c r="C21" s="657"/>
      <c r="D21" s="611" t="s">
        <v>2941</v>
      </c>
      <c r="E21" s="612"/>
      <c r="F21" s="613"/>
      <c r="G21" s="212"/>
      <c r="H21" s="212"/>
      <c r="I21" s="212"/>
      <c r="J21" s="212"/>
      <c r="K21" s="213"/>
      <c r="L21" s="200"/>
    </row>
    <row r="22" spans="2:12" s="125" customFormat="1" ht="12.75">
      <c r="B22" s="214"/>
      <c r="C22" s="658"/>
      <c r="D22" s="646" t="s">
        <v>2942</v>
      </c>
      <c r="E22" s="647"/>
      <c r="F22" s="648"/>
      <c r="G22" s="344"/>
      <c r="H22" s="344"/>
      <c r="I22" s="344"/>
      <c r="J22" s="344"/>
      <c r="K22" s="345"/>
      <c r="L22" s="200"/>
    </row>
    <row r="23" spans="2:12" ht="17.25" customHeight="1">
      <c r="B23" s="127"/>
      <c r="C23" s="609" t="s">
        <v>2943</v>
      </c>
      <c r="D23" s="610"/>
      <c r="E23" s="610"/>
      <c r="F23" s="610"/>
      <c r="G23" s="233">
        <f>SUM(G11+G21)-G22</f>
        <v>0</v>
      </c>
      <c r="H23" s="233">
        <f>SUM(H11+H21)-H22</f>
        <v>0</v>
      </c>
      <c r="I23" s="233">
        <f>SUM(I11+I21)-I22</f>
        <v>0</v>
      </c>
      <c r="J23" s="233">
        <f>SUM(J11+J21)-J22</f>
        <v>0</v>
      </c>
      <c r="K23" s="234">
        <f>SUM(K11+K21)-K22</f>
        <v>0</v>
      </c>
      <c r="L23" s="128"/>
    </row>
    <row r="24" spans="2:12" ht="7.5" customHeight="1">
      <c r="B24" s="127"/>
      <c r="C24" s="671"/>
      <c r="D24" s="672"/>
      <c r="E24" s="672"/>
      <c r="F24" s="672"/>
      <c r="G24" s="672"/>
      <c r="H24" s="672"/>
      <c r="I24" s="672"/>
      <c r="J24" s="672"/>
      <c r="K24" s="673"/>
      <c r="L24" s="128"/>
    </row>
    <row r="25" spans="2:12" ht="17.25" customHeight="1">
      <c r="B25" s="127"/>
      <c r="C25" s="684" t="s">
        <v>2944</v>
      </c>
      <c r="D25" s="685"/>
      <c r="E25" s="685"/>
      <c r="F25" s="685"/>
      <c r="G25" s="218"/>
      <c r="H25" s="218"/>
      <c r="I25" s="218"/>
      <c r="J25" s="218"/>
      <c r="K25" s="225"/>
      <c r="L25" s="225"/>
    </row>
    <row r="26" spans="2:12" ht="17.25" customHeight="1">
      <c r="B26" s="127"/>
      <c r="C26" s="236"/>
      <c r="D26" s="611" t="s">
        <v>2945</v>
      </c>
      <c r="E26" s="612"/>
      <c r="F26" s="613"/>
      <c r="G26" s="229">
        <f>G27+G31+G34</f>
        <v>0</v>
      </c>
      <c r="H26" s="229">
        <f>H27+H31+H34</f>
        <v>0</v>
      </c>
      <c r="I26" s="229">
        <f>I27+I31+I34</f>
        <v>0</v>
      </c>
      <c r="J26" s="229">
        <f>J27+J31+J34</f>
        <v>0</v>
      </c>
      <c r="K26" s="230">
        <f>K27+K31+K34</f>
        <v>0</v>
      </c>
      <c r="L26" s="225"/>
    </row>
    <row r="27" spans="2:12" s="125" customFormat="1" ht="12.75" outlineLevel="1">
      <c r="B27" s="214"/>
      <c r="C27" s="657"/>
      <c r="D27" s="215"/>
      <c r="E27" s="718" t="s">
        <v>2946</v>
      </c>
      <c r="F27" s="719"/>
      <c r="G27" s="216">
        <f>G29+G28-G30</f>
        <v>0</v>
      </c>
      <c r="H27" s="216">
        <f>H29+H28-H30</f>
        <v>0</v>
      </c>
      <c r="I27" s="216">
        <f>I29+I28-I30</f>
        <v>0</v>
      </c>
      <c r="J27" s="216">
        <f>J29+J28-J30</f>
        <v>0</v>
      </c>
      <c r="K27" s="217">
        <f>K29+K28-K30</f>
        <v>0</v>
      </c>
      <c r="L27" s="200"/>
    </row>
    <row r="28" spans="2:12" s="218" customFormat="1" ht="14.25" customHeight="1" outlineLevel="2">
      <c r="B28" s="219"/>
      <c r="C28" s="657"/>
      <c r="D28" s="661"/>
      <c r="E28" s="220"/>
      <c r="F28" s="221" t="s">
        <v>2947</v>
      </c>
      <c r="G28" s="223"/>
      <c r="H28" s="223"/>
      <c r="I28" s="223"/>
      <c r="J28" s="346"/>
      <c r="K28" s="224"/>
      <c r="L28" s="225"/>
    </row>
    <row r="29" spans="2:12" s="218" customFormat="1" ht="17.25" customHeight="1" outlineLevel="2">
      <c r="B29" s="219"/>
      <c r="C29" s="657"/>
      <c r="D29" s="661"/>
      <c r="F29" s="226" t="s">
        <v>2948</v>
      </c>
      <c r="G29" s="227"/>
      <c r="H29" s="227"/>
      <c r="I29" s="227"/>
      <c r="J29" s="227"/>
      <c r="K29" s="228"/>
      <c r="L29" s="225"/>
    </row>
    <row r="30" spans="2:12" s="218" customFormat="1" ht="17.25" customHeight="1" outlineLevel="2">
      <c r="B30" s="219"/>
      <c r="C30" s="657"/>
      <c r="D30" s="661"/>
      <c r="F30" s="226" t="s">
        <v>2949</v>
      </c>
      <c r="G30" s="227"/>
      <c r="H30" s="227"/>
      <c r="I30" s="227"/>
      <c r="J30" s="227"/>
      <c r="K30" s="228"/>
      <c r="L30" s="225"/>
    </row>
    <row r="31" spans="2:12" s="125" customFormat="1" ht="17.25" customHeight="1" outlineLevel="1">
      <c r="B31" s="214"/>
      <c r="C31" s="657"/>
      <c r="E31" s="724" t="s">
        <v>2950</v>
      </c>
      <c r="F31" s="725"/>
      <c r="G31" s="229">
        <f>G32-G33</f>
        <v>0</v>
      </c>
      <c r="H31" s="229">
        <f>H32-H33</f>
        <v>0</v>
      </c>
      <c r="I31" s="229">
        <f>I32-I33</f>
        <v>0</v>
      </c>
      <c r="J31" s="229">
        <f>J32-J33</f>
        <v>0</v>
      </c>
      <c r="K31" s="230">
        <f>K32-K33</f>
        <v>0</v>
      </c>
      <c r="L31" s="200"/>
    </row>
    <row r="32" spans="2:12" s="218" customFormat="1" ht="14.25" customHeight="1" outlineLevel="2">
      <c r="B32" s="219"/>
      <c r="C32" s="657"/>
      <c r="D32" s="661"/>
      <c r="E32" s="220"/>
      <c r="F32" s="221" t="s">
        <v>2951</v>
      </c>
      <c r="G32" s="223"/>
      <c r="H32" s="223"/>
      <c r="I32" s="223"/>
      <c r="J32" s="223"/>
      <c r="K32" s="224"/>
      <c r="L32" s="225"/>
    </row>
    <row r="33" spans="2:12" s="218" customFormat="1" ht="14.25" customHeight="1" outlineLevel="2">
      <c r="B33" s="219"/>
      <c r="C33" s="657"/>
      <c r="D33" s="661"/>
      <c r="F33" s="226" t="s">
        <v>2952</v>
      </c>
      <c r="G33" s="227"/>
      <c r="H33" s="227"/>
      <c r="I33" s="227"/>
      <c r="J33" s="227"/>
      <c r="K33" s="228"/>
      <c r="L33" s="225"/>
    </row>
    <row r="34" spans="2:12" s="125" customFormat="1" ht="12.75" outlineLevel="1">
      <c r="B34" s="214"/>
      <c r="C34" s="657"/>
      <c r="E34" s="724" t="s">
        <v>2953</v>
      </c>
      <c r="F34" s="725"/>
      <c r="G34" s="229">
        <f>G36+G35-G37</f>
        <v>0</v>
      </c>
      <c r="H34" s="229">
        <f>H36+H35-H37</f>
        <v>0</v>
      </c>
      <c r="I34" s="229">
        <f>I36+I35-I37</f>
        <v>0</v>
      </c>
      <c r="J34" s="229">
        <f>J36+J35-J37</f>
        <v>0</v>
      </c>
      <c r="K34" s="230">
        <f>K36+K35-K37</f>
        <v>0</v>
      </c>
      <c r="L34" s="200"/>
    </row>
    <row r="35" spans="2:12" s="218" customFormat="1" ht="14.25" customHeight="1" outlineLevel="1">
      <c r="B35" s="219"/>
      <c r="C35" s="657"/>
      <c r="D35" s="661"/>
      <c r="E35" s="220"/>
      <c r="F35" s="221" t="s">
        <v>2954</v>
      </c>
      <c r="G35" s="223"/>
      <c r="H35" s="223"/>
      <c r="I35" s="223"/>
      <c r="J35" s="223"/>
      <c r="K35" s="224"/>
      <c r="L35" s="225"/>
    </row>
    <row r="36" spans="2:12" s="218" customFormat="1" ht="14.25" customHeight="1" outlineLevel="1">
      <c r="B36" s="219"/>
      <c r="C36" s="657"/>
      <c r="D36" s="661"/>
      <c r="F36" s="226" t="s">
        <v>2955</v>
      </c>
      <c r="G36" s="227"/>
      <c r="H36" s="227"/>
      <c r="I36" s="227"/>
      <c r="J36" s="227"/>
      <c r="K36" s="228"/>
      <c r="L36" s="225"/>
    </row>
    <row r="37" spans="2:12" s="218" customFormat="1" ht="14.25" customHeight="1" outlineLevel="1">
      <c r="B37" s="219"/>
      <c r="C37" s="657"/>
      <c r="D37" s="661"/>
      <c r="F37" s="226" t="s">
        <v>2956</v>
      </c>
      <c r="G37" s="227"/>
      <c r="H37" s="227"/>
      <c r="I37" s="227"/>
      <c r="J37" s="227"/>
      <c r="K37" s="228"/>
      <c r="L37" s="225"/>
    </row>
    <row r="38" spans="2:12" s="218" customFormat="1" ht="14.25" customHeight="1">
      <c r="B38" s="219"/>
      <c r="C38" s="657"/>
      <c r="D38" s="611" t="s">
        <v>2957</v>
      </c>
      <c r="E38" s="612"/>
      <c r="F38" s="613"/>
      <c r="G38" s="227">
        <f>SUM(G39:G42)</f>
        <v>0</v>
      </c>
      <c r="H38" s="227">
        <f>SUM(H39:H42)</f>
        <v>0</v>
      </c>
      <c r="I38" s="227">
        <f>SUM(I39:I42)</f>
        <v>0</v>
      </c>
      <c r="J38" s="227">
        <f>SUM(J39:J42)</f>
        <v>0</v>
      </c>
      <c r="K38" s="228">
        <f>SUM(K39:K42)</f>
        <v>0</v>
      </c>
      <c r="L38" s="225"/>
    </row>
    <row r="39" spans="2:12" s="218" customFormat="1" ht="12" outlineLevel="1">
      <c r="B39" s="219"/>
      <c r="C39" s="657"/>
      <c r="D39" s="220"/>
      <c r="E39" s="616" t="s">
        <v>2958</v>
      </c>
      <c r="F39" s="617"/>
      <c r="G39" s="223"/>
      <c r="H39" s="223"/>
      <c r="I39" s="223"/>
      <c r="J39" s="223"/>
      <c r="K39" s="224"/>
      <c r="L39" s="225"/>
    </row>
    <row r="40" spans="2:12" s="218" customFormat="1" ht="12" outlineLevel="1">
      <c r="B40" s="219"/>
      <c r="C40" s="657"/>
      <c r="E40" s="626" t="s">
        <v>2959</v>
      </c>
      <c r="F40" s="627"/>
      <c r="G40" s="227"/>
      <c r="H40" s="227"/>
      <c r="I40" s="227"/>
      <c r="J40" s="227"/>
      <c r="K40" s="228"/>
      <c r="L40" s="225"/>
    </row>
    <row r="41" spans="2:12" s="218" customFormat="1" ht="12" outlineLevel="1">
      <c r="B41" s="219"/>
      <c r="C41" s="657"/>
      <c r="E41" s="626" t="s">
        <v>2960</v>
      </c>
      <c r="F41" s="627"/>
      <c r="G41" s="227"/>
      <c r="H41" s="227"/>
      <c r="I41" s="227"/>
      <c r="J41" s="227"/>
      <c r="K41" s="228"/>
      <c r="L41" s="225"/>
    </row>
    <row r="42" spans="2:12" s="218" customFormat="1" ht="12" outlineLevel="1">
      <c r="B42" s="219"/>
      <c r="C42" s="658"/>
      <c r="D42" s="241"/>
      <c r="E42" s="663" t="s">
        <v>2961</v>
      </c>
      <c r="F42" s="664"/>
      <c r="G42" s="227"/>
      <c r="H42" s="227"/>
      <c r="I42" s="227"/>
      <c r="J42" s="227"/>
      <c r="K42" s="228"/>
      <c r="L42" s="225"/>
    </row>
    <row r="43" spans="2:12" ht="17.25" customHeight="1">
      <c r="B43" s="127"/>
      <c r="C43" s="609" t="s">
        <v>2962</v>
      </c>
      <c r="D43" s="610"/>
      <c r="E43" s="610"/>
      <c r="F43" s="610" t="s">
        <v>2963</v>
      </c>
      <c r="G43" s="233">
        <f>G23-SUM(G26,G38)</f>
        <v>0</v>
      </c>
      <c r="H43" s="233">
        <f>H23-SUM(H26,H38)</f>
        <v>0</v>
      </c>
      <c r="I43" s="233">
        <f>I23-SUM(I26,I38)</f>
        <v>0</v>
      </c>
      <c r="J43" s="233">
        <f>J23-SUM(J26,J38)</f>
        <v>0</v>
      </c>
      <c r="K43" s="234">
        <f>K23-SUM(K26,K38)</f>
        <v>0</v>
      </c>
      <c r="L43" s="128"/>
    </row>
    <row r="44" spans="2:12" ht="7.5" customHeight="1">
      <c r="B44" s="127"/>
      <c r="C44" s="671"/>
      <c r="D44" s="672"/>
      <c r="E44" s="672"/>
      <c r="F44" s="672"/>
      <c r="G44" s="672"/>
      <c r="H44" s="672"/>
      <c r="I44" s="672"/>
      <c r="J44" s="672"/>
      <c r="K44" s="673"/>
      <c r="L44" s="128"/>
    </row>
    <row r="45" spans="2:12" s="125" customFormat="1" ht="12.75">
      <c r="B45" s="214"/>
      <c r="C45" s="214"/>
      <c r="D45" s="611" t="s">
        <v>2964</v>
      </c>
      <c r="E45" s="612"/>
      <c r="F45" s="613"/>
      <c r="G45" s="212">
        <f>SUM(G46,G47,G48)</f>
        <v>0</v>
      </c>
      <c r="H45" s="212">
        <f>SUM(H46,H47,H48)</f>
        <v>0</v>
      </c>
      <c r="I45" s="212">
        <f>SUM(I46,I47,I48)</f>
        <v>0</v>
      </c>
      <c r="J45" s="212">
        <f>SUM(J46,J47,J48)</f>
        <v>0</v>
      </c>
      <c r="K45" s="213">
        <f>SUM(K46,K47,K48)</f>
        <v>0</v>
      </c>
      <c r="L45" s="200"/>
    </row>
    <row r="46" spans="2:12" s="218" customFormat="1" ht="12" outlineLevel="1">
      <c r="B46" s="219"/>
      <c r="C46" s="618"/>
      <c r="D46" s="220"/>
      <c r="E46" s="701" t="s">
        <v>2965</v>
      </c>
      <c r="F46" s="702"/>
      <c r="G46" s="346"/>
      <c r="H46" s="223"/>
      <c r="I46" s="223"/>
      <c r="J46" s="223"/>
      <c r="K46" s="224"/>
      <c r="L46" s="225"/>
    </row>
    <row r="47" spans="2:12" s="218" customFormat="1" ht="12" outlineLevel="1">
      <c r="B47" s="219"/>
      <c r="C47" s="618"/>
      <c r="D47" s="240"/>
      <c r="E47" s="626" t="s">
        <v>2966</v>
      </c>
      <c r="F47" s="627"/>
      <c r="G47" s="227"/>
      <c r="H47" s="227"/>
      <c r="I47" s="227"/>
      <c r="J47" s="227"/>
      <c r="K47" s="228"/>
      <c r="L47" s="225"/>
    </row>
    <row r="48" spans="2:12" s="218" customFormat="1" ht="12" outlineLevel="1">
      <c r="B48" s="219"/>
      <c r="C48" s="618"/>
      <c r="D48" s="240"/>
      <c r="E48" s="621" t="s">
        <v>2967</v>
      </c>
      <c r="F48" s="622"/>
      <c r="G48" s="347"/>
      <c r="H48" s="347"/>
      <c r="I48" s="227"/>
      <c r="J48" s="227"/>
      <c r="K48" s="228"/>
      <c r="L48" s="225"/>
    </row>
    <row r="49" spans="1:12" s="125" customFormat="1" ht="12.75">
      <c r="B49" s="214"/>
      <c r="C49" s="618"/>
      <c r="D49" s="611" t="s">
        <v>2968</v>
      </c>
      <c r="E49" s="612"/>
      <c r="F49" s="613"/>
      <c r="G49" s="229">
        <f>SUM(G50:G51)</f>
        <v>0</v>
      </c>
      <c r="H49" s="229">
        <f>SUM(H50:H51)</f>
        <v>0</v>
      </c>
      <c r="I49" s="229">
        <f>SUM(I50:I51)</f>
        <v>0</v>
      </c>
      <c r="J49" s="229">
        <f>SUM(J50:J51)</f>
        <v>0</v>
      </c>
      <c r="K49" s="230">
        <f>SUM(K50:K51)</f>
        <v>0</v>
      </c>
      <c r="L49" s="200"/>
    </row>
    <row r="50" spans="1:12" s="218" customFormat="1" ht="14.25" customHeight="1" outlineLevel="1">
      <c r="B50" s="219"/>
      <c r="C50" s="618"/>
      <c r="D50" s="220"/>
      <c r="E50" s="616" t="s">
        <v>2969</v>
      </c>
      <c r="F50" s="617"/>
      <c r="G50" s="223"/>
      <c r="H50" s="223"/>
      <c r="I50" s="223"/>
      <c r="J50" s="223"/>
      <c r="K50" s="224"/>
      <c r="L50" s="225"/>
    </row>
    <row r="51" spans="1:12" s="218" customFormat="1" ht="14.25" customHeight="1" outlineLevel="1">
      <c r="B51" s="219"/>
      <c r="C51" s="618"/>
      <c r="E51" s="626" t="s">
        <v>2970</v>
      </c>
      <c r="F51" s="627"/>
      <c r="G51" s="227"/>
      <c r="H51" s="227"/>
      <c r="I51" s="227"/>
      <c r="J51" s="227"/>
      <c r="K51" s="228"/>
      <c r="L51" s="225"/>
    </row>
    <row r="52" spans="1:12" s="125" customFormat="1" ht="12.75">
      <c r="A52" s="218"/>
      <c r="B52" s="214"/>
      <c r="C52" s="618"/>
      <c r="D52" s="611" t="s">
        <v>2971</v>
      </c>
      <c r="E52" s="612"/>
      <c r="F52" s="613"/>
      <c r="G52" s="229">
        <f>SUM(G53:G54)</f>
        <v>0</v>
      </c>
      <c r="H52" s="229">
        <f>SUM(H53:H54)</f>
        <v>0</v>
      </c>
      <c r="I52" s="229">
        <f>SUM(I53:I54)</f>
        <v>0</v>
      </c>
      <c r="J52" s="229">
        <f>SUM(J53:J54)</f>
        <v>0</v>
      </c>
      <c r="K52" s="230">
        <f>SUM(K53:K54)</f>
        <v>0</v>
      </c>
      <c r="L52" s="200"/>
    </row>
    <row r="53" spans="1:12" s="218" customFormat="1" ht="14.25" customHeight="1" outlineLevel="1">
      <c r="B53" s="219"/>
      <c r="C53" s="618"/>
      <c r="D53" s="220"/>
      <c r="E53" s="616" t="s">
        <v>2972</v>
      </c>
      <c r="F53" s="617"/>
      <c r="G53" s="223"/>
      <c r="H53" s="223"/>
      <c r="I53" s="223"/>
      <c r="J53" s="223"/>
      <c r="K53" s="224"/>
      <c r="L53" s="225"/>
    </row>
    <row r="54" spans="1:12" s="218" customFormat="1" ht="14.25" customHeight="1" outlineLevel="1">
      <c r="B54" s="219"/>
      <c r="C54" s="686"/>
      <c r="D54" s="241"/>
      <c r="E54" s="663" t="s">
        <v>2973</v>
      </c>
      <c r="F54" s="664"/>
      <c r="G54" s="231"/>
      <c r="H54" s="231"/>
      <c r="I54" s="231"/>
      <c r="J54" s="227"/>
      <c r="K54" s="232"/>
      <c r="L54" s="225"/>
    </row>
    <row r="55" spans="1:12" ht="17.25" customHeight="1">
      <c r="A55" s="218"/>
      <c r="B55" s="127"/>
      <c r="C55" s="682" t="s">
        <v>2974</v>
      </c>
      <c r="D55" s="683"/>
      <c r="E55" s="683"/>
      <c r="F55" s="683"/>
      <c r="G55" s="256">
        <f>G43-SUM(G45,G49,G52)</f>
        <v>0</v>
      </c>
      <c r="H55" s="256">
        <f>H43-SUM(H45,H49,H52)</f>
        <v>0</v>
      </c>
      <c r="I55" s="256">
        <f>I43-SUM(I45,I49,I52)</f>
        <v>0</v>
      </c>
      <c r="J55" s="256">
        <f>J43-SUM(J45,J49,J52)</f>
        <v>0</v>
      </c>
      <c r="K55" s="259">
        <f>K43-SUM(K45,K49,K52)</f>
        <v>0</v>
      </c>
      <c r="L55" s="128"/>
    </row>
    <row r="56" spans="1:12" ht="7.5" customHeight="1">
      <c r="B56" s="127"/>
      <c r="C56" s="671"/>
      <c r="D56" s="672"/>
      <c r="E56" s="672"/>
      <c r="F56" s="672"/>
      <c r="G56" s="672"/>
      <c r="H56" s="672"/>
      <c r="I56" s="672"/>
      <c r="J56" s="672"/>
      <c r="K56" s="673"/>
      <c r="L56" s="128"/>
    </row>
    <row r="57" spans="1:12" s="125" customFormat="1" ht="14.25">
      <c r="A57" s="124"/>
      <c r="B57" s="214"/>
      <c r="C57" s="618"/>
      <c r="D57" s="611" t="s">
        <v>2975</v>
      </c>
      <c r="E57" s="612"/>
      <c r="F57" s="613"/>
      <c r="G57" s="212"/>
      <c r="H57" s="212"/>
      <c r="I57" s="212"/>
      <c r="J57" s="212"/>
      <c r="K57" s="213"/>
      <c r="L57" s="200"/>
    </row>
    <row r="58" spans="1:12" s="125" customFormat="1" ht="12.75">
      <c r="B58" s="214"/>
      <c r="C58" s="618"/>
      <c r="D58" s="611" t="s">
        <v>2976</v>
      </c>
      <c r="E58" s="612"/>
      <c r="F58" s="613"/>
      <c r="G58" s="212">
        <f>SUM(G60:G60)</f>
        <v>0</v>
      </c>
      <c r="H58" s="212">
        <f>SUM(H59:H60)</f>
        <v>0</v>
      </c>
      <c r="I58" s="212">
        <f>SUM(I59:I60)</f>
        <v>0</v>
      </c>
      <c r="J58" s="212">
        <f>SUM(J59:J60)</f>
        <v>0</v>
      </c>
      <c r="K58" s="213">
        <f>SUM(K60:K60)</f>
        <v>0</v>
      </c>
      <c r="L58" s="200"/>
    </row>
    <row r="59" spans="1:12" s="218" customFormat="1" ht="12" outlineLevel="1">
      <c r="B59" s="219"/>
      <c r="C59" s="618"/>
      <c r="D59" s="220"/>
      <c r="E59" s="616" t="s">
        <v>2977</v>
      </c>
      <c r="F59" s="617"/>
      <c r="G59" s="223"/>
      <c r="H59" s="223"/>
      <c r="I59" s="223"/>
      <c r="J59" s="223"/>
      <c r="K59" s="224"/>
      <c r="L59" s="225"/>
    </row>
    <row r="60" spans="1:12" s="218" customFormat="1" ht="12" outlineLevel="1">
      <c r="B60" s="219"/>
      <c r="C60" s="618"/>
      <c r="E60" s="626" t="s">
        <v>2978</v>
      </c>
      <c r="F60" s="627"/>
      <c r="G60" s="227"/>
      <c r="H60" s="227"/>
      <c r="I60" s="227"/>
      <c r="J60" s="227"/>
      <c r="K60" s="228"/>
      <c r="L60" s="225"/>
    </row>
    <row r="61" spans="1:12" s="125" customFormat="1" ht="12.75">
      <c r="B61" s="214"/>
      <c r="C61" s="618"/>
      <c r="D61" s="611" t="s">
        <v>2979</v>
      </c>
      <c r="E61" s="612"/>
      <c r="F61" s="613"/>
      <c r="G61" s="212">
        <f>SUM(G62:G63)</f>
        <v>0</v>
      </c>
      <c r="H61" s="212">
        <f>SUM(H62:H63)</f>
        <v>0</v>
      </c>
      <c r="I61" s="212">
        <f>SUM(I62:I63)</f>
        <v>0</v>
      </c>
      <c r="J61" s="212">
        <f>SUM(J62:J63)</f>
        <v>0</v>
      </c>
      <c r="K61" s="213">
        <f>SUM(K62:K63)</f>
        <v>0</v>
      </c>
      <c r="L61" s="200"/>
    </row>
    <row r="62" spans="1:12" s="218" customFormat="1" ht="12" outlineLevel="1">
      <c r="B62" s="219"/>
      <c r="C62" s="618"/>
      <c r="D62" s="239"/>
      <c r="E62" s="701" t="s">
        <v>2980</v>
      </c>
      <c r="F62" s="702"/>
      <c r="G62" s="223"/>
      <c r="H62" s="223"/>
      <c r="I62" s="223"/>
      <c r="J62" s="223"/>
      <c r="K62" s="224"/>
      <c r="L62" s="225"/>
    </row>
    <row r="63" spans="1:12" s="218" customFormat="1" ht="12" outlineLevel="1">
      <c r="B63" s="219"/>
      <c r="C63" s="618"/>
      <c r="D63" s="240"/>
      <c r="E63" s="626" t="s">
        <v>2981</v>
      </c>
      <c r="F63" s="627"/>
      <c r="G63" s="227"/>
      <c r="H63" s="227"/>
      <c r="I63" s="227"/>
      <c r="J63" s="227"/>
      <c r="K63" s="228"/>
      <c r="L63" s="225"/>
    </row>
    <row r="64" spans="1:12" s="125" customFormat="1" ht="12.75">
      <c r="B64" s="214"/>
      <c r="C64" s="686"/>
      <c r="D64" s="646" t="s">
        <v>2982</v>
      </c>
      <c r="E64" s="647"/>
      <c r="F64" s="648"/>
      <c r="G64" s="344"/>
      <c r="H64" s="227"/>
      <c r="I64" s="227"/>
      <c r="J64" s="344"/>
      <c r="K64" s="345"/>
      <c r="L64" s="200"/>
    </row>
    <row r="65" spans="1:12" ht="17.25" customHeight="1">
      <c r="A65" s="125"/>
      <c r="B65" s="127"/>
      <c r="C65" s="609" t="s">
        <v>2983</v>
      </c>
      <c r="D65" s="610"/>
      <c r="E65" s="610"/>
      <c r="F65" s="610"/>
      <c r="G65" s="233">
        <f>G55-SUM(G57,G58,G61,G64)</f>
        <v>0</v>
      </c>
      <c r="H65" s="233">
        <f>H55-SUM(H57,H58,H61,H64)</f>
        <v>0</v>
      </c>
      <c r="I65" s="233">
        <f>I55-SUM(I57,I58,I61,I64)</f>
        <v>0</v>
      </c>
      <c r="J65" s="233">
        <f>J55-SUM(J57,J58,J61,J64)</f>
        <v>0</v>
      </c>
      <c r="K65" s="234">
        <f>K55-SUM(K57,K58,K61,K64)</f>
        <v>0</v>
      </c>
      <c r="L65" s="128"/>
    </row>
    <row r="66" spans="1:12" ht="7.5" customHeight="1">
      <c r="B66" s="127"/>
      <c r="C66" s="671"/>
      <c r="D66" s="672"/>
      <c r="E66" s="672"/>
      <c r="F66" s="672"/>
      <c r="G66" s="672"/>
      <c r="H66" s="672"/>
      <c r="I66" s="672"/>
      <c r="J66" s="672"/>
      <c r="K66" s="673"/>
      <c r="L66" s="128"/>
    </row>
    <row r="67" spans="1:12" s="125" customFormat="1" ht="14.25">
      <c r="A67" s="124"/>
      <c r="B67" s="214"/>
      <c r="C67" s="618"/>
      <c r="D67" s="611" t="s">
        <v>2984</v>
      </c>
      <c r="E67" s="612"/>
      <c r="F67" s="613"/>
      <c r="G67" s="258">
        <f>SUM(G68:G72)</f>
        <v>0</v>
      </c>
      <c r="H67" s="229">
        <f>SUM(H68:H72)</f>
        <v>0</v>
      </c>
      <c r="I67" s="229">
        <f>SUM(I68:I72)</f>
        <v>0</v>
      </c>
      <c r="J67" s="229">
        <f>SUM(J68:J72)</f>
        <v>0</v>
      </c>
      <c r="K67" s="230">
        <f>SUM(K68:K72)</f>
        <v>0</v>
      </c>
      <c r="L67" s="200"/>
    </row>
    <row r="68" spans="1:12" s="218" customFormat="1" ht="14.25" customHeight="1" outlineLevel="1">
      <c r="A68" s="125"/>
      <c r="B68" s="219"/>
      <c r="C68" s="618"/>
      <c r="D68" s="699"/>
      <c r="E68" s="616" t="s">
        <v>2985</v>
      </c>
      <c r="F68" s="617"/>
      <c r="G68" s="348"/>
      <c r="H68" s="223"/>
      <c r="I68" s="223"/>
      <c r="J68" s="223"/>
      <c r="K68" s="224"/>
      <c r="L68" s="225"/>
    </row>
    <row r="69" spans="1:12" s="218" customFormat="1" ht="14.25" customHeight="1" outlineLevel="1">
      <c r="B69" s="219"/>
      <c r="C69" s="618"/>
      <c r="D69" s="680"/>
      <c r="E69" s="626" t="s">
        <v>2986</v>
      </c>
      <c r="F69" s="627"/>
      <c r="G69" s="349"/>
      <c r="H69" s="227"/>
      <c r="I69" s="227"/>
      <c r="J69" s="227"/>
      <c r="K69" s="228"/>
      <c r="L69" s="225"/>
    </row>
    <row r="70" spans="1:12" s="218" customFormat="1" ht="14.25" customHeight="1" outlineLevel="1">
      <c r="B70" s="219"/>
      <c r="C70" s="618"/>
      <c r="D70" s="680"/>
      <c r="E70" s="626" t="s">
        <v>2987</v>
      </c>
      <c r="F70" s="627"/>
      <c r="G70" s="349"/>
      <c r="H70" s="227"/>
      <c r="I70" s="227"/>
      <c r="J70" s="227"/>
      <c r="K70" s="228"/>
      <c r="L70" s="225"/>
    </row>
    <row r="71" spans="1:12" s="218" customFormat="1" ht="14.25" customHeight="1" outlineLevel="1">
      <c r="B71" s="219"/>
      <c r="C71" s="618"/>
      <c r="D71" s="680"/>
      <c r="E71" s="626" t="s">
        <v>2988</v>
      </c>
      <c r="F71" s="627"/>
      <c r="G71" s="349"/>
      <c r="H71" s="227"/>
      <c r="I71" s="227"/>
      <c r="J71" s="227"/>
      <c r="K71" s="228"/>
      <c r="L71" s="225"/>
    </row>
    <row r="72" spans="1:12" s="218" customFormat="1" ht="14.25" customHeight="1" outlineLevel="1">
      <c r="B72" s="219"/>
      <c r="C72" s="618"/>
      <c r="E72" s="626" t="s">
        <v>2989</v>
      </c>
      <c r="F72" s="627"/>
      <c r="G72" s="349"/>
      <c r="H72" s="227"/>
      <c r="I72" s="227"/>
      <c r="J72" s="227"/>
      <c r="K72" s="228"/>
      <c r="L72" s="225"/>
    </row>
    <row r="73" spans="1:12" s="125" customFormat="1" ht="12.75">
      <c r="A73" s="218"/>
      <c r="B73" s="214"/>
      <c r="C73" s="618"/>
      <c r="D73" s="611" t="s">
        <v>2990</v>
      </c>
      <c r="E73" s="612"/>
      <c r="F73" s="613"/>
      <c r="G73" s="229">
        <f>SUM(G74:G80)</f>
        <v>0</v>
      </c>
      <c r="H73" s="229">
        <f>SUM(H74:H80)</f>
        <v>0</v>
      </c>
      <c r="I73" s="229">
        <f>SUM(I74:I80)</f>
        <v>0</v>
      </c>
      <c r="J73" s="229">
        <f>SUM(J74:J80)</f>
        <v>0</v>
      </c>
      <c r="K73" s="230">
        <f>SUM(K74:K80)</f>
        <v>0</v>
      </c>
      <c r="L73" s="200"/>
    </row>
    <row r="74" spans="1:12" s="218" customFormat="1" ht="14.25" customHeight="1" outlineLevel="1">
      <c r="A74" s="125"/>
      <c r="B74" s="219"/>
      <c r="C74" s="618"/>
      <c r="D74" s="699"/>
      <c r="E74" s="701" t="s">
        <v>2991</v>
      </c>
      <c r="F74" s="702"/>
      <c r="G74" s="223"/>
      <c r="H74" s="223"/>
      <c r="I74" s="223"/>
      <c r="J74" s="223"/>
      <c r="K74" s="224"/>
      <c r="L74" s="225"/>
    </row>
    <row r="75" spans="1:12" s="218" customFormat="1" ht="14.25" customHeight="1" outlineLevel="1">
      <c r="B75" s="219"/>
      <c r="C75" s="618"/>
      <c r="D75" s="680"/>
      <c r="E75" s="621" t="s">
        <v>2992</v>
      </c>
      <c r="F75" s="622"/>
      <c r="G75" s="227"/>
      <c r="H75" s="227"/>
      <c r="I75" s="227"/>
      <c r="J75" s="227"/>
      <c r="K75" s="228"/>
      <c r="L75" s="225"/>
    </row>
    <row r="76" spans="1:12" s="218" customFormat="1" ht="14.25" customHeight="1" outlineLevel="1">
      <c r="B76" s="219"/>
      <c r="C76" s="618"/>
      <c r="D76" s="680"/>
      <c r="E76" s="621" t="s">
        <v>2993</v>
      </c>
      <c r="F76" s="622"/>
      <c r="G76" s="227"/>
      <c r="H76" s="227"/>
      <c r="I76" s="227"/>
      <c r="J76" s="227"/>
      <c r="K76" s="228"/>
      <c r="L76" s="225"/>
    </row>
    <row r="77" spans="1:12" s="218" customFormat="1" ht="14.25" customHeight="1" outlineLevel="1">
      <c r="B77" s="219"/>
      <c r="C77" s="618"/>
      <c r="D77" s="680"/>
      <c r="E77" s="621" t="s">
        <v>2994</v>
      </c>
      <c r="F77" s="622"/>
      <c r="G77" s="227"/>
      <c r="H77" s="227"/>
      <c r="I77" s="227"/>
      <c r="J77" s="227"/>
      <c r="K77" s="228"/>
      <c r="L77" s="225"/>
    </row>
    <row r="78" spans="1:12" s="218" customFormat="1" ht="14.25" customHeight="1" outlineLevel="1">
      <c r="B78" s="219"/>
      <c r="C78" s="618"/>
      <c r="D78" s="680"/>
      <c r="E78" s="621" t="s">
        <v>2995</v>
      </c>
      <c r="F78" s="622"/>
      <c r="G78" s="227"/>
      <c r="H78" s="227"/>
      <c r="I78" s="227"/>
      <c r="J78" s="227"/>
      <c r="K78" s="228"/>
      <c r="L78" s="225"/>
    </row>
    <row r="79" spans="1:12" s="218" customFormat="1" ht="14.25" customHeight="1" outlineLevel="1">
      <c r="B79" s="219"/>
      <c r="C79" s="618"/>
      <c r="D79" s="680"/>
      <c r="E79" s="621" t="s">
        <v>2996</v>
      </c>
      <c r="F79" s="622"/>
      <c r="G79" s="227"/>
      <c r="H79" s="227"/>
      <c r="I79" s="227"/>
      <c r="J79" s="227"/>
      <c r="K79" s="228"/>
      <c r="L79" s="225"/>
    </row>
    <row r="80" spans="1:12" s="218" customFormat="1" ht="14.25" customHeight="1" outlineLevel="1">
      <c r="B80" s="219"/>
      <c r="C80" s="686"/>
      <c r="D80" s="700"/>
      <c r="E80" s="716" t="s">
        <v>2997</v>
      </c>
      <c r="F80" s="717"/>
      <c r="G80" s="231"/>
      <c r="H80" s="231"/>
      <c r="I80" s="231"/>
      <c r="J80" s="231"/>
      <c r="K80" s="232"/>
      <c r="L80" s="225"/>
    </row>
    <row r="81" spans="1:1024" ht="17.25" customHeight="1">
      <c r="A81" s="218"/>
      <c r="B81" s="127"/>
      <c r="C81" s="682" t="s">
        <v>2998</v>
      </c>
      <c r="D81" s="683"/>
      <c r="E81" s="683"/>
      <c r="F81" s="683"/>
      <c r="G81" s="256">
        <f>G65-G67+G73</f>
        <v>0</v>
      </c>
      <c r="H81" s="256">
        <f>H65-H67+H73</f>
        <v>0</v>
      </c>
      <c r="I81" s="256">
        <f>I65-I67+I73</f>
        <v>0</v>
      </c>
      <c r="J81" s="256">
        <f>J65-J67+J73</f>
        <v>0</v>
      </c>
      <c r="K81" s="259">
        <f>K65-K67+K73</f>
        <v>0</v>
      </c>
      <c r="L81" s="128"/>
    </row>
    <row r="82" spans="1:1024" ht="7.5" customHeight="1">
      <c r="B82" s="127"/>
      <c r="C82" s="671"/>
      <c r="D82" s="672"/>
      <c r="E82" s="672"/>
      <c r="F82" s="672"/>
      <c r="G82" s="672"/>
      <c r="H82" s="672"/>
      <c r="I82" s="672"/>
      <c r="J82" s="672"/>
      <c r="K82" s="673"/>
      <c r="L82" s="128"/>
    </row>
    <row r="83" spans="1:1024" s="125" customFormat="1" ht="14.25">
      <c r="A83" s="124"/>
      <c r="B83" s="214"/>
      <c r="C83" s="214"/>
      <c r="D83" s="735" t="s">
        <v>2999</v>
      </c>
      <c r="E83" s="736"/>
      <c r="F83" s="737"/>
      <c r="G83" s="350"/>
      <c r="H83" s="212"/>
      <c r="I83" s="212"/>
      <c r="J83" s="212"/>
      <c r="K83" s="213"/>
      <c r="L83" s="260"/>
    </row>
    <row r="84" spans="1:1024" ht="17.25" customHeight="1">
      <c r="A84" s="125"/>
      <c r="B84" s="127"/>
      <c r="C84" s="609" t="s">
        <v>3000</v>
      </c>
      <c r="D84" s="610"/>
      <c r="E84" s="610"/>
      <c r="F84" s="610"/>
      <c r="G84" s="233">
        <f>G81+G83</f>
        <v>0</v>
      </c>
      <c r="H84" s="233">
        <f>H81+H83</f>
        <v>0</v>
      </c>
      <c r="I84" s="233">
        <f>I81+I83</f>
        <v>0</v>
      </c>
      <c r="J84" s="233">
        <f>J81+J83</f>
        <v>0</v>
      </c>
      <c r="K84" s="234">
        <f>K81+K83</f>
        <v>0</v>
      </c>
      <c r="L84" s="128"/>
    </row>
    <row r="85" spans="1:1024" ht="7.5" customHeight="1">
      <c r="B85" s="127"/>
      <c r="C85" s="665"/>
      <c r="D85" s="666"/>
      <c r="E85" s="666"/>
      <c r="F85" s="667"/>
      <c r="G85" s="666"/>
      <c r="H85" s="666"/>
      <c r="I85" s="666"/>
      <c r="J85" s="666"/>
      <c r="K85" s="668"/>
      <c r="L85" s="128"/>
    </row>
    <row r="86" spans="1:1024" s="125" customFormat="1" ht="12.75">
      <c r="B86" s="214"/>
      <c r="C86" s="214"/>
      <c r="D86" s="614" t="s">
        <v>3001</v>
      </c>
      <c r="E86" s="614"/>
      <c r="F86" s="615"/>
      <c r="G86" s="212">
        <f>SUM(G87,G88)</f>
        <v>0</v>
      </c>
      <c r="H86" s="212">
        <f>SUM(H87,H88)</f>
        <v>0</v>
      </c>
      <c r="I86" s="212">
        <f>SUM(I87,I88)</f>
        <v>0</v>
      </c>
      <c r="J86" s="212">
        <f>SUM(J87,J88)</f>
        <v>0</v>
      </c>
      <c r="K86" s="213">
        <f>SUM(K87,K88)</f>
        <v>0</v>
      </c>
      <c r="L86" s="200"/>
    </row>
    <row r="87" spans="1:1024" s="218" customFormat="1" ht="12" outlineLevel="1">
      <c r="B87" s="219"/>
      <c r="C87" s="618"/>
      <c r="D87" s="220"/>
      <c r="E87" s="616" t="s">
        <v>3002</v>
      </c>
      <c r="F87" s="617"/>
      <c r="G87" s="223"/>
      <c r="H87" s="223"/>
      <c r="I87" s="223"/>
      <c r="J87" s="223"/>
      <c r="K87" s="224"/>
      <c r="L87" s="225"/>
    </row>
    <row r="88" spans="1:1024" s="218" customFormat="1" ht="12" outlineLevel="1">
      <c r="B88" s="219"/>
      <c r="C88" s="618"/>
      <c r="E88" s="626" t="s">
        <v>3003</v>
      </c>
      <c r="F88" s="627"/>
      <c r="G88" s="227"/>
      <c r="H88" s="227"/>
      <c r="I88" s="227"/>
      <c r="J88" s="227"/>
      <c r="K88" s="228"/>
      <c r="L88" s="225"/>
    </row>
    <row r="89" spans="1:1024" s="125" customFormat="1" ht="12.75">
      <c r="B89" s="214"/>
      <c r="C89" s="618"/>
      <c r="D89" s="611" t="s">
        <v>3004</v>
      </c>
      <c r="E89" s="612"/>
      <c r="F89" s="613"/>
      <c r="G89" s="261" t="str">
        <f>IFERROR(G87/G84,"-")</f>
        <v>-</v>
      </c>
      <c r="H89" s="261" t="str">
        <f>IFERROR(H87/H84,"-")</f>
        <v>-</v>
      </c>
      <c r="I89" s="261" t="str">
        <f>IFERROR(I87/I84,"-")</f>
        <v>-</v>
      </c>
      <c r="J89" s="261" t="str">
        <f>IFERROR(J87/J84,"-")</f>
        <v>-</v>
      </c>
      <c r="K89" s="262" t="str">
        <f>IFERROR(K87/K84,"-")</f>
        <v>-</v>
      </c>
      <c r="L89" s="200"/>
    </row>
    <row r="90" spans="1:1024" ht="15">
      <c r="A90" s="263"/>
      <c r="B90" s="264"/>
      <c r="C90" s="691"/>
      <c r="D90" s="695" t="s">
        <v>3005</v>
      </c>
      <c r="E90" s="695"/>
      <c r="F90" s="696"/>
      <c r="G90" s="351"/>
      <c r="H90" s="351"/>
      <c r="I90" s="351"/>
      <c r="J90" s="351"/>
      <c r="K90" s="352"/>
      <c r="L90" s="266"/>
      <c r="M90" s="267"/>
      <c r="N90" s="267"/>
      <c r="O90" s="267"/>
      <c r="P90" s="267"/>
      <c r="Q90" s="267"/>
      <c r="R90" s="267"/>
      <c r="S90" s="267"/>
      <c r="T90" s="267"/>
      <c r="U90" s="267"/>
      <c r="V90" s="267"/>
      <c r="W90" s="267"/>
      <c r="X90" s="267"/>
      <c r="Y90" s="267"/>
      <c r="Z90" s="267"/>
      <c r="AA90" s="267"/>
      <c r="AB90" s="267"/>
      <c r="AC90" s="267"/>
      <c r="AD90" s="267"/>
      <c r="AE90" s="267"/>
      <c r="AF90" s="267"/>
      <c r="AG90" s="267"/>
      <c r="AH90" s="267"/>
      <c r="AI90" s="267"/>
      <c r="AJ90" s="267"/>
      <c r="AK90" s="267"/>
      <c r="AL90" s="267"/>
      <c r="AM90" s="267"/>
      <c r="AN90" s="267"/>
      <c r="AO90" s="267"/>
      <c r="AP90" s="267"/>
      <c r="AQ90" s="267"/>
      <c r="AR90" s="267"/>
      <c r="AS90" s="267"/>
      <c r="AT90" s="267"/>
      <c r="AU90" s="267"/>
      <c r="AV90" s="267"/>
      <c r="AW90" s="267"/>
      <c r="AX90" s="267"/>
      <c r="AY90" s="267"/>
      <c r="AZ90" s="267"/>
      <c r="BA90" s="267"/>
      <c r="BB90" s="267"/>
      <c r="BC90" s="267"/>
      <c r="BD90" s="267"/>
      <c r="BE90" s="267"/>
      <c r="BF90" s="267"/>
      <c r="BG90" s="267"/>
      <c r="BH90" s="267"/>
      <c r="BI90" s="267"/>
      <c r="BJ90" s="267"/>
      <c r="BK90" s="267"/>
      <c r="BL90" s="267"/>
      <c r="BM90" s="267"/>
      <c r="BN90" s="267"/>
      <c r="BO90" s="267"/>
      <c r="BP90" s="267"/>
      <c r="BQ90" s="267"/>
      <c r="BR90" s="267"/>
      <c r="BS90" s="267"/>
      <c r="BT90" s="267"/>
      <c r="BU90" s="267"/>
      <c r="BV90" s="267"/>
      <c r="BW90" s="267"/>
      <c r="BX90" s="267"/>
      <c r="BY90" s="267"/>
      <c r="BZ90" s="267"/>
      <c r="CA90" s="267"/>
      <c r="CB90" s="267"/>
      <c r="CC90" s="267"/>
      <c r="CD90" s="267"/>
      <c r="CE90" s="267"/>
      <c r="CF90" s="267"/>
      <c r="CG90" s="267"/>
      <c r="CH90" s="267"/>
      <c r="CI90" s="267"/>
      <c r="CJ90" s="267"/>
      <c r="CK90" s="267"/>
      <c r="CL90" s="267"/>
      <c r="CM90" s="267"/>
      <c r="CN90" s="267"/>
      <c r="CO90" s="267"/>
      <c r="CP90" s="267"/>
      <c r="CQ90" s="267"/>
      <c r="CR90" s="267"/>
      <c r="CS90" s="267"/>
      <c r="CT90" s="267"/>
      <c r="CU90" s="267"/>
      <c r="CV90" s="267"/>
      <c r="CW90" s="267"/>
      <c r="CX90" s="267"/>
      <c r="CY90" s="267"/>
      <c r="CZ90" s="267"/>
      <c r="DA90" s="267"/>
      <c r="DB90" s="267"/>
      <c r="DC90" s="267"/>
      <c r="DD90" s="267"/>
      <c r="DE90" s="267"/>
      <c r="DF90" s="267"/>
      <c r="DG90" s="267"/>
      <c r="DH90" s="267"/>
      <c r="DI90" s="267"/>
      <c r="DJ90" s="267"/>
      <c r="DK90" s="267"/>
      <c r="DL90" s="267"/>
      <c r="DM90" s="267"/>
      <c r="DN90" s="267"/>
      <c r="DO90" s="267"/>
      <c r="DP90" s="267"/>
      <c r="DQ90" s="267"/>
      <c r="DR90" s="267"/>
      <c r="DS90" s="267"/>
      <c r="DT90" s="267"/>
      <c r="DU90" s="267"/>
      <c r="DV90" s="267"/>
      <c r="DW90" s="267"/>
      <c r="DX90" s="267"/>
      <c r="DY90" s="267"/>
      <c r="DZ90" s="267"/>
      <c r="EA90" s="267"/>
      <c r="EB90" s="267"/>
      <c r="EC90" s="267"/>
      <c r="ED90" s="267"/>
      <c r="EE90" s="267"/>
      <c r="EF90" s="267"/>
      <c r="EG90" s="267"/>
      <c r="EH90" s="267"/>
      <c r="EI90" s="267"/>
      <c r="EJ90" s="267"/>
      <c r="EK90" s="267"/>
      <c r="EL90" s="267"/>
      <c r="EM90" s="267"/>
      <c r="EN90" s="267"/>
      <c r="EO90" s="267"/>
      <c r="EP90" s="267"/>
      <c r="EQ90" s="267"/>
      <c r="ER90" s="267"/>
      <c r="ES90" s="267"/>
      <c r="ET90" s="267"/>
      <c r="EU90" s="267"/>
      <c r="EV90" s="267"/>
      <c r="EW90" s="267"/>
      <c r="EX90" s="267"/>
      <c r="EY90" s="267"/>
      <c r="EZ90" s="267"/>
      <c r="FA90" s="267"/>
      <c r="FB90" s="267"/>
      <c r="FC90" s="267"/>
      <c r="FD90" s="267"/>
      <c r="FE90" s="267"/>
      <c r="FF90" s="267"/>
      <c r="FG90" s="267"/>
      <c r="FH90" s="267"/>
      <c r="FI90" s="267"/>
      <c r="FJ90" s="267"/>
      <c r="FK90" s="267"/>
      <c r="FL90" s="267"/>
      <c r="FM90" s="267"/>
      <c r="FN90" s="267"/>
      <c r="FO90" s="267"/>
      <c r="FP90" s="267"/>
      <c r="FQ90" s="267"/>
      <c r="FR90" s="267"/>
      <c r="FS90" s="267"/>
      <c r="FT90" s="267"/>
      <c r="FU90" s="267"/>
      <c r="FV90" s="267"/>
      <c r="FW90" s="267"/>
      <c r="FX90" s="267"/>
      <c r="FY90" s="267"/>
      <c r="FZ90" s="267"/>
      <c r="GA90" s="267"/>
      <c r="GB90" s="267"/>
      <c r="GC90" s="267"/>
      <c r="GD90" s="267"/>
      <c r="GE90" s="267"/>
      <c r="GF90" s="267"/>
      <c r="GG90" s="267"/>
      <c r="GH90" s="267"/>
      <c r="GI90" s="267"/>
      <c r="GJ90" s="267"/>
      <c r="GK90" s="267"/>
      <c r="GL90" s="267"/>
      <c r="GM90" s="267"/>
      <c r="GN90" s="267"/>
      <c r="GO90" s="267"/>
      <c r="GP90" s="267"/>
      <c r="GQ90" s="267"/>
      <c r="GR90" s="267"/>
      <c r="GS90" s="267"/>
      <c r="GT90" s="267"/>
      <c r="GU90" s="267"/>
      <c r="GV90" s="267"/>
      <c r="GW90" s="267"/>
      <c r="GX90" s="267"/>
      <c r="GY90" s="267"/>
      <c r="GZ90" s="267"/>
      <c r="HA90" s="267"/>
      <c r="HB90" s="267"/>
      <c r="HC90" s="267"/>
      <c r="HD90" s="267"/>
      <c r="HE90" s="267"/>
      <c r="HF90" s="267"/>
      <c r="HG90" s="267"/>
      <c r="HH90" s="267"/>
      <c r="HI90" s="267"/>
      <c r="HJ90" s="267"/>
      <c r="HK90" s="267"/>
      <c r="HL90" s="267"/>
      <c r="HM90" s="267"/>
      <c r="HN90" s="267"/>
      <c r="HO90" s="267"/>
      <c r="HP90" s="267"/>
      <c r="HQ90" s="267"/>
      <c r="HR90" s="267"/>
      <c r="HS90" s="267"/>
      <c r="HT90" s="267"/>
      <c r="HU90" s="267"/>
      <c r="HV90" s="267"/>
      <c r="HW90" s="267"/>
      <c r="HX90" s="267"/>
      <c r="HY90" s="267"/>
      <c r="HZ90" s="267"/>
      <c r="IA90" s="267"/>
      <c r="IB90" s="267"/>
      <c r="IC90" s="267"/>
      <c r="ID90" s="267"/>
      <c r="IE90" s="267"/>
      <c r="IF90" s="267"/>
      <c r="IG90" s="267"/>
      <c r="IH90" s="267"/>
      <c r="II90" s="267"/>
      <c r="IJ90" s="267"/>
      <c r="IK90" s="267"/>
      <c r="IL90" s="267"/>
      <c r="IM90" s="267"/>
      <c r="IN90" s="267"/>
      <c r="IO90" s="267"/>
      <c r="IP90" s="267"/>
      <c r="IQ90" s="267"/>
      <c r="IR90" s="267"/>
      <c r="IS90" s="267"/>
      <c r="IT90" s="267"/>
      <c r="IU90" s="267"/>
      <c r="IV90" s="267"/>
      <c r="IW90" s="267"/>
      <c r="IX90" s="267"/>
      <c r="IY90" s="267"/>
      <c r="IZ90" s="267"/>
      <c r="JA90" s="267"/>
      <c r="JB90" s="267"/>
      <c r="JC90" s="267"/>
      <c r="JD90" s="267"/>
      <c r="JE90" s="267"/>
      <c r="JF90" s="267"/>
      <c r="JG90" s="267"/>
      <c r="JH90" s="267"/>
      <c r="JI90" s="267"/>
      <c r="JJ90" s="267"/>
      <c r="JK90" s="267"/>
      <c r="JL90" s="267"/>
      <c r="JM90" s="267"/>
      <c r="JN90" s="267"/>
      <c r="JO90" s="267"/>
      <c r="JP90" s="267"/>
      <c r="JQ90" s="267"/>
      <c r="JR90" s="267"/>
      <c r="JS90" s="267"/>
      <c r="JT90" s="267"/>
      <c r="JU90" s="267"/>
      <c r="JV90" s="267"/>
      <c r="JW90" s="267"/>
      <c r="JX90" s="267"/>
      <c r="JY90" s="267"/>
      <c r="JZ90" s="267"/>
      <c r="KA90" s="267"/>
      <c r="KB90" s="267"/>
      <c r="KC90" s="267"/>
      <c r="KD90" s="267"/>
      <c r="KE90" s="267"/>
      <c r="KF90" s="267"/>
      <c r="KG90" s="267"/>
      <c r="KH90" s="267"/>
      <c r="KI90" s="267"/>
      <c r="KJ90" s="267"/>
      <c r="KK90" s="267"/>
      <c r="KL90" s="267"/>
      <c r="KM90" s="267"/>
      <c r="KN90" s="267"/>
      <c r="KO90" s="267"/>
      <c r="KP90" s="267"/>
      <c r="KQ90" s="267"/>
      <c r="KR90" s="267"/>
      <c r="KS90" s="267"/>
      <c r="KT90" s="267"/>
      <c r="KU90" s="267"/>
      <c r="KV90" s="267"/>
      <c r="KW90" s="267"/>
      <c r="KX90" s="267"/>
      <c r="KY90" s="267"/>
      <c r="KZ90" s="267"/>
      <c r="LA90" s="267"/>
      <c r="LB90" s="267"/>
      <c r="LC90" s="267"/>
      <c r="LD90" s="267"/>
      <c r="LE90" s="267"/>
      <c r="LF90" s="267"/>
      <c r="LG90" s="267"/>
      <c r="LH90" s="267"/>
      <c r="LI90" s="267"/>
      <c r="LJ90" s="267"/>
      <c r="LK90" s="267"/>
      <c r="LL90" s="267"/>
      <c r="LM90" s="267"/>
      <c r="LN90" s="267"/>
      <c r="LO90" s="267"/>
      <c r="LP90" s="267"/>
      <c r="LQ90" s="267"/>
      <c r="LR90" s="267"/>
      <c r="LS90" s="267"/>
      <c r="LT90" s="267"/>
      <c r="LU90" s="267"/>
      <c r="LV90" s="267"/>
      <c r="LW90" s="267"/>
      <c r="LX90" s="267"/>
      <c r="LY90" s="267"/>
      <c r="LZ90" s="267"/>
      <c r="MA90" s="267"/>
      <c r="MB90" s="267"/>
      <c r="MC90" s="267"/>
      <c r="MD90" s="267"/>
      <c r="ME90" s="267"/>
      <c r="MF90" s="267"/>
      <c r="MG90" s="267"/>
      <c r="MH90" s="267"/>
      <c r="MI90" s="267"/>
      <c r="MJ90" s="267"/>
      <c r="MK90" s="267"/>
      <c r="ML90" s="267"/>
      <c r="MM90" s="267"/>
      <c r="MN90" s="267"/>
      <c r="MO90" s="267"/>
      <c r="MP90" s="267"/>
      <c r="MQ90" s="267"/>
      <c r="MR90" s="267"/>
      <c r="MS90" s="267"/>
      <c r="MT90" s="267"/>
      <c r="MU90" s="267"/>
      <c r="MV90" s="267"/>
      <c r="MW90" s="267"/>
      <c r="MX90" s="267"/>
      <c r="MY90" s="267"/>
      <c r="MZ90" s="267"/>
      <c r="NA90" s="267"/>
      <c r="NB90" s="267"/>
      <c r="NC90" s="267"/>
      <c r="ND90" s="267"/>
      <c r="NE90" s="267"/>
      <c r="NF90" s="267"/>
      <c r="NG90" s="267"/>
      <c r="NH90" s="267"/>
      <c r="NI90" s="267"/>
      <c r="NJ90" s="267"/>
      <c r="NK90" s="267"/>
      <c r="NL90" s="267"/>
      <c r="NM90" s="267"/>
      <c r="NN90" s="267"/>
      <c r="NO90" s="267"/>
      <c r="NP90" s="267"/>
      <c r="NQ90" s="267"/>
      <c r="NR90" s="267"/>
      <c r="NS90" s="267"/>
      <c r="NT90" s="267"/>
      <c r="NU90" s="267"/>
      <c r="NV90" s="267"/>
      <c r="NW90" s="267"/>
      <c r="NX90" s="267"/>
      <c r="NY90" s="267"/>
      <c r="NZ90" s="267"/>
      <c r="OA90" s="267"/>
      <c r="OB90" s="267"/>
      <c r="OC90" s="267"/>
      <c r="OD90" s="267"/>
      <c r="OE90" s="267"/>
      <c r="OF90" s="267"/>
      <c r="OG90" s="267"/>
      <c r="OH90" s="267"/>
      <c r="OI90" s="267"/>
      <c r="OJ90" s="267"/>
      <c r="OK90" s="267"/>
      <c r="OL90" s="267"/>
      <c r="OM90" s="267"/>
      <c r="ON90" s="267"/>
      <c r="OO90" s="267"/>
      <c r="OP90" s="267"/>
      <c r="OQ90" s="267"/>
      <c r="OR90" s="267"/>
      <c r="OS90" s="267"/>
      <c r="OT90" s="267"/>
      <c r="OU90" s="267"/>
      <c r="OV90" s="267"/>
      <c r="OW90" s="267"/>
      <c r="OX90" s="267"/>
      <c r="OY90" s="267"/>
      <c r="OZ90" s="267"/>
      <c r="PA90" s="267"/>
      <c r="PB90" s="267"/>
      <c r="PC90" s="267"/>
      <c r="PD90" s="267"/>
      <c r="PE90" s="267"/>
      <c r="PF90" s="267"/>
      <c r="PG90" s="267"/>
      <c r="PH90" s="267"/>
      <c r="PI90" s="267"/>
      <c r="PJ90" s="267"/>
      <c r="PK90" s="267"/>
      <c r="PL90" s="267"/>
      <c r="PM90" s="267"/>
      <c r="PN90" s="267"/>
      <c r="PO90" s="267"/>
      <c r="PP90" s="267"/>
      <c r="PQ90" s="267"/>
      <c r="PR90" s="267"/>
      <c r="PS90" s="267"/>
      <c r="PT90" s="267"/>
      <c r="PU90" s="267"/>
      <c r="PV90" s="267"/>
      <c r="PW90" s="267"/>
      <c r="PX90" s="267"/>
      <c r="PY90" s="267"/>
      <c r="PZ90" s="267"/>
      <c r="QA90" s="267"/>
      <c r="QB90" s="267"/>
      <c r="QC90" s="267"/>
      <c r="QD90" s="267"/>
      <c r="QE90" s="267"/>
      <c r="QF90" s="267"/>
      <c r="QG90" s="267"/>
      <c r="QH90" s="267"/>
      <c r="QI90" s="267"/>
      <c r="QJ90" s="267"/>
      <c r="QK90" s="267"/>
      <c r="QL90" s="267"/>
      <c r="QM90" s="267"/>
      <c r="QN90" s="267"/>
      <c r="QO90" s="267"/>
      <c r="QP90" s="267"/>
      <c r="QQ90" s="267"/>
      <c r="QR90" s="267"/>
      <c r="QS90" s="267"/>
      <c r="QT90" s="267"/>
      <c r="QU90" s="267"/>
      <c r="QV90" s="267"/>
      <c r="QW90" s="267"/>
      <c r="QX90" s="267"/>
      <c r="QY90" s="267"/>
      <c r="QZ90" s="267"/>
      <c r="RA90" s="267"/>
      <c r="RB90" s="267"/>
      <c r="RC90" s="267"/>
      <c r="RD90" s="267"/>
      <c r="RE90" s="267"/>
      <c r="RF90" s="267"/>
      <c r="RG90" s="267"/>
      <c r="RH90" s="267"/>
      <c r="RI90" s="267"/>
      <c r="RJ90" s="267"/>
      <c r="RK90" s="267"/>
      <c r="RL90" s="267"/>
      <c r="RM90" s="267"/>
      <c r="RN90" s="267"/>
      <c r="RO90" s="267"/>
      <c r="RP90" s="267"/>
      <c r="RQ90" s="267"/>
      <c r="RR90" s="267"/>
      <c r="RS90" s="267"/>
      <c r="RT90" s="267"/>
      <c r="RU90" s="267"/>
      <c r="RV90" s="267"/>
      <c r="RW90" s="267"/>
      <c r="RX90" s="267"/>
      <c r="RY90" s="267"/>
      <c r="RZ90" s="267"/>
      <c r="SA90" s="267"/>
      <c r="SB90" s="267"/>
      <c r="SC90" s="267"/>
      <c r="SD90" s="267"/>
      <c r="SE90" s="267"/>
      <c r="SF90" s="267"/>
      <c r="SG90" s="267"/>
      <c r="SH90" s="267"/>
      <c r="SI90" s="267"/>
      <c r="SJ90" s="267"/>
      <c r="SK90" s="267"/>
      <c r="SL90" s="267"/>
      <c r="SM90" s="267"/>
      <c r="SN90" s="267"/>
      <c r="SO90" s="267"/>
      <c r="SP90" s="267"/>
      <c r="SQ90" s="267"/>
      <c r="SR90" s="267"/>
      <c r="SS90" s="267"/>
      <c r="ST90" s="267"/>
      <c r="SU90" s="267"/>
      <c r="SV90" s="267"/>
      <c r="SW90" s="267"/>
      <c r="SX90" s="267"/>
      <c r="SY90" s="267"/>
      <c r="SZ90" s="267"/>
      <c r="TA90" s="267"/>
      <c r="TB90" s="267"/>
      <c r="TC90" s="267"/>
      <c r="TD90" s="267"/>
      <c r="TE90" s="267"/>
      <c r="TF90" s="267"/>
      <c r="TG90" s="267"/>
      <c r="TH90" s="267"/>
      <c r="TI90" s="267"/>
      <c r="TJ90" s="267"/>
      <c r="TK90" s="267"/>
      <c r="TL90" s="267"/>
      <c r="TM90" s="267"/>
      <c r="TN90" s="267"/>
      <c r="TO90" s="267"/>
      <c r="TP90" s="267"/>
      <c r="TQ90" s="267"/>
      <c r="TR90" s="267"/>
      <c r="TS90" s="267"/>
      <c r="TT90" s="267"/>
      <c r="TU90" s="267"/>
      <c r="TV90" s="267"/>
      <c r="TW90" s="267"/>
      <c r="TX90" s="267"/>
      <c r="TY90" s="267"/>
      <c r="TZ90" s="267"/>
      <c r="UA90" s="267"/>
      <c r="UB90" s="267"/>
      <c r="UC90" s="267"/>
      <c r="UD90" s="267"/>
      <c r="UE90" s="267"/>
      <c r="UF90" s="267"/>
      <c r="UG90" s="267"/>
      <c r="UH90" s="267"/>
      <c r="UI90" s="267"/>
      <c r="UJ90" s="267"/>
      <c r="UK90" s="267"/>
      <c r="UL90" s="267"/>
      <c r="UM90" s="267"/>
      <c r="UN90" s="267"/>
      <c r="UO90" s="267"/>
      <c r="UP90" s="267"/>
      <c r="UQ90" s="267"/>
      <c r="UR90" s="267"/>
      <c r="US90" s="267"/>
      <c r="UT90" s="267"/>
      <c r="UU90" s="267"/>
      <c r="UV90" s="267"/>
      <c r="UW90" s="267"/>
      <c r="UX90" s="267"/>
      <c r="UY90" s="267"/>
      <c r="UZ90" s="267"/>
      <c r="VA90" s="267"/>
      <c r="VB90" s="267"/>
      <c r="VC90" s="267"/>
      <c r="VD90" s="267"/>
      <c r="VE90" s="267"/>
      <c r="VF90" s="267"/>
      <c r="VG90" s="267"/>
      <c r="VH90" s="267"/>
      <c r="VI90" s="267"/>
      <c r="VJ90" s="267"/>
      <c r="VK90" s="267"/>
      <c r="VL90" s="267"/>
      <c r="VM90" s="267"/>
      <c r="VN90" s="267"/>
      <c r="VO90" s="267"/>
      <c r="VP90" s="267"/>
      <c r="VQ90" s="267"/>
      <c r="VR90" s="267"/>
      <c r="VS90" s="267"/>
      <c r="VT90" s="267"/>
      <c r="VU90" s="267"/>
      <c r="VV90" s="267"/>
      <c r="VW90" s="267"/>
      <c r="VX90" s="267"/>
      <c r="VY90" s="267"/>
      <c r="VZ90" s="267"/>
      <c r="WA90" s="267"/>
      <c r="WB90" s="267"/>
      <c r="WC90" s="267"/>
      <c r="WD90" s="267"/>
      <c r="WE90" s="267"/>
      <c r="WF90" s="267"/>
      <c r="WG90" s="267"/>
      <c r="WH90" s="267"/>
      <c r="WI90" s="267"/>
      <c r="WJ90" s="267"/>
      <c r="WK90" s="267"/>
      <c r="WL90" s="267"/>
      <c r="WM90" s="267"/>
      <c r="WN90" s="267"/>
      <c r="WO90" s="267"/>
      <c r="WP90" s="267"/>
      <c r="WQ90" s="267"/>
      <c r="WR90" s="267"/>
      <c r="WS90" s="267"/>
      <c r="WT90" s="267"/>
      <c r="WU90" s="267"/>
      <c r="WV90" s="267"/>
      <c r="WW90" s="267"/>
      <c r="WX90" s="267"/>
      <c r="WY90" s="267"/>
      <c r="WZ90" s="267"/>
      <c r="XA90" s="267"/>
      <c r="XB90" s="267"/>
      <c r="XC90" s="267"/>
      <c r="XD90" s="267"/>
      <c r="XE90" s="267"/>
      <c r="XF90" s="267"/>
      <c r="XG90" s="267"/>
      <c r="XH90" s="267"/>
      <c r="XI90" s="267"/>
      <c r="XJ90" s="267"/>
      <c r="XK90" s="267"/>
      <c r="XL90" s="267"/>
      <c r="XM90" s="267"/>
      <c r="XN90" s="267"/>
      <c r="XO90" s="267"/>
      <c r="XP90" s="267"/>
      <c r="XQ90" s="267"/>
      <c r="XR90" s="267"/>
      <c r="XS90" s="267"/>
      <c r="XT90" s="267"/>
      <c r="XU90" s="267"/>
      <c r="XV90" s="267"/>
      <c r="XW90" s="267"/>
      <c r="XX90" s="267"/>
      <c r="XY90" s="267"/>
      <c r="XZ90" s="267"/>
      <c r="YA90" s="267"/>
      <c r="YB90" s="267"/>
      <c r="YC90" s="267"/>
      <c r="YD90" s="267"/>
      <c r="YE90" s="267"/>
      <c r="YF90" s="267"/>
      <c r="YG90" s="267"/>
      <c r="YH90" s="267"/>
      <c r="YI90" s="267"/>
      <c r="YJ90" s="267"/>
      <c r="YK90" s="267"/>
      <c r="YL90" s="267"/>
      <c r="YM90" s="267"/>
      <c r="YN90" s="267"/>
      <c r="YO90" s="267"/>
      <c r="YP90" s="267"/>
      <c r="YQ90" s="267"/>
      <c r="YR90" s="267"/>
      <c r="YS90" s="267"/>
      <c r="YT90" s="267"/>
      <c r="YU90" s="267"/>
      <c r="YV90" s="267"/>
      <c r="YW90" s="267"/>
      <c r="YX90" s="267"/>
      <c r="YY90" s="267"/>
      <c r="YZ90" s="267"/>
      <c r="ZA90" s="267"/>
      <c r="ZB90" s="267"/>
      <c r="ZC90" s="267"/>
      <c r="ZD90" s="267"/>
      <c r="ZE90" s="267"/>
      <c r="ZF90" s="267"/>
      <c r="ZG90" s="267"/>
      <c r="ZH90" s="267"/>
      <c r="ZI90" s="267"/>
      <c r="ZJ90" s="267"/>
      <c r="ZK90" s="267"/>
      <c r="ZL90" s="267"/>
      <c r="ZM90" s="267"/>
      <c r="ZN90" s="267"/>
      <c r="ZO90" s="267"/>
      <c r="ZP90" s="267"/>
      <c r="ZQ90" s="267"/>
      <c r="ZR90" s="267"/>
      <c r="ZS90" s="267"/>
      <c r="ZT90" s="267"/>
      <c r="ZU90" s="267"/>
      <c r="ZV90" s="267"/>
      <c r="ZW90" s="267"/>
      <c r="ZX90" s="267"/>
      <c r="ZY90" s="267"/>
      <c r="ZZ90" s="267"/>
      <c r="AAA90" s="267"/>
      <c r="AAB90" s="267"/>
      <c r="AAC90" s="267"/>
      <c r="AAD90" s="267"/>
      <c r="AAE90" s="267"/>
      <c r="AAF90" s="267"/>
      <c r="AAG90" s="267"/>
      <c r="AAH90" s="267"/>
      <c r="AAI90" s="267"/>
      <c r="AAJ90" s="267"/>
      <c r="AAK90" s="267"/>
      <c r="AAL90" s="267"/>
      <c r="AAM90" s="267"/>
      <c r="AAN90" s="267"/>
      <c r="AAO90" s="267"/>
      <c r="AAP90" s="267"/>
      <c r="AAQ90" s="267"/>
      <c r="AAR90" s="267"/>
      <c r="AAS90" s="267"/>
      <c r="AAT90" s="267"/>
      <c r="AAU90" s="267"/>
      <c r="AAV90" s="267"/>
      <c r="AAW90" s="267"/>
      <c r="AAX90" s="267"/>
      <c r="AAY90" s="267"/>
      <c r="AAZ90" s="267"/>
      <c r="ABA90" s="267"/>
      <c r="ABB90" s="267"/>
      <c r="ABC90" s="267"/>
      <c r="ABD90" s="267"/>
      <c r="ABE90" s="267"/>
      <c r="ABF90" s="267"/>
      <c r="ABG90" s="267"/>
      <c r="ABH90" s="267"/>
      <c r="ABI90" s="267"/>
      <c r="ABJ90" s="267"/>
      <c r="ABK90" s="267"/>
      <c r="ABL90" s="267"/>
      <c r="ABM90" s="267"/>
      <c r="ABN90" s="267"/>
      <c r="ABO90" s="267"/>
      <c r="ABP90" s="267"/>
      <c r="ABQ90" s="267"/>
      <c r="ABR90" s="267"/>
      <c r="ABS90" s="267"/>
      <c r="ABT90" s="267"/>
      <c r="ABU90" s="267"/>
      <c r="ABV90" s="267"/>
      <c r="ABW90" s="267"/>
      <c r="ABX90" s="267"/>
      <c r="ABY90" s="267"/>
      <c r="ABZ90" s="267"/>
      <c r="ACA90" s="267"/>
      <c r="ACB90" s="267"/>
      <c r="ACC90" s="267"/>
      <c r="ACD90" s="267"/>
      <c r="ACE90" s="267"/>
      <c r="ACF90" s="267"/>
      <c r="ACG90" s="267"/>
      <c r="ACH90" s="267"/>
      <c r="ACI90" s="267"/>
      <c r="ACJ90" s="267"/>
      <c r="ACK90" s="267"/>
      <c r="ACL90" s="267"/>
      <c r="ACM90" s="267"/>
      <c r="ACN90" s="267"/>
      <c r="ACO90" s="267"/>
      <c r="ACP90" s="267"/>
      <c r="ACQ90" s="267"/>
      <c r="ACR90" s="267"/>
      <c r="ACS90" s="267"/>
      <c r="ACT90" s="267"/>
      <c r="ACU90" s="267"/>
      <c r="ACV90" s="267"/>
      <c r="ACW90" s="267"/>
      <c r="ACX90" s="267"/>
      <c r="ACY90" s="267"/>
      <c r="ACZ90" s="267"/>
      <c r="ADA90" s="267"/>
      <c r="ADB90" s="267"/>
      <c r="ADC90" s="267"/>
      <c r="ADD90" s="267"/>
      <c r="ADE90" s="267"/>
      <c r="ADF90" s="267"/>
      <c r="ADG90" s="267"/>
      <c r="ADH90" s="267"/>
      <c r="ADI90" s="267"/>
      <c r="ADJ90" s="267"/>
      <c r="ADK90" s="267"/>
      <c r="ADL90" s="267"/>
      <c r="ADM90" s="267"/>
      <c r="ADN90" s="267"/>
      <c r="ADO90" s="267"/>
      <c r="ADP90" s="267"/>
      <c r="ADQ90" s="267"/>
      <c r="ADR90" s="267"/>
      <c r="ADS90" s="267"/>
      <c r="ADT90" s="267"/>
      <c r="ADU90" s="267"/>
      <c r="ADV90" s="267"/>
      <c r="ADW90" s="267"/>
      <c r="ADX90" s="267"/>
      <c r="ADY90" s="267"/>
      <c r="ADZ90" s="267"/>
      <c r="AEA90" s="267"/>
      <c r="AEB90" s="267"/>
      <c r="AEC90" s="267"/>
      <c r="AED90" s="267"/>
      <c r="AEE90" s="267"/>
      <c r="AEF90" s="267"/>
      <c r="AEG90" s="267"/>
      <c r="AEH90" s="267"/>
      <c r="AEI90" s="267"/>
      <c r="AEJ90" s="267"/>
      <c r="AEK90" s="267"/>
      <c r="AEL90" s="267"/>
      <c r="AEM90" s="267"/>
      <c r="AEN90" s="267"/>
      <c r="AEO90" s="267"/>
      <c r="AEP90" s="267"/>
      <c r="AEQ90" s="267"/>
      <c r="AER90" s="267"/>
      <c r="AES90" s="267"/>
      <c r="AET90" s="267"/>
      <c r="AEU90" s="267"/>
      <c r="AEV90" s="267"/>
      <c r="AEW90" s="267"/>
      <c r="AEX90" s="267"/>
      <c r="AEY90" s="267"/>
      <c r="AEZ90" s="267"/>
      <c r="AFA90" s="267"/>
      <c r="AFB90" s="267"/>
      <c r="AFC90" s="267"/>
      <c r="AFD90" s="267"/>
      <c r="AFE90" s="267"/>
      <c r="AFF90" s="267"/>
      <c r="AFG90" s="267"/>
      <c r="AFH90" s="267"/>
      <c r="AFI90" s="267"/>
      <c r="AFJ90" s="267"/>
      <c r="AFK90" s="267"/>
      <c r="AFL90" s="267"/>
      <c r="AFM90" s="267"/>
      <c r="AFN90" s="267"/>
      <c r="AFO90" s="267"/>
      <c r="AFP90" s="267"/>
      <c r="AFQ90" s="267"/>
      <c r="AFR90" s="267"/>
      <c r="AFS90" s="267"/>
      <c r="AFT90" s="267"/>
      <c r="AFU90" s="267"/>
      <c r="AFV90" s="267"/>
      <c r="AFW90" s="267"/>
      <c r="AFX90" s="267"/>
      <c r="AFY90" s="267"/>
      <c r="AFZ90" s="267"/>
      <c r="AGA90" s="267"/>
      <c r="AGB90" s="267"/>
      <c r="AGC90" s="267"/>
      <c r="AGD90" s="267"/>
      <c r="AGE90" s="267"/>
      <c r="AGF90" s="267"/>
      <c r="AGG90" s="267"/>
      <c r="AGH90" s="267"/>
      <c r="AGI90" s="267"/>
      <c r="AGJ90" s="267"/>
      <c r="AGK90" s="267"/>
      <c r="AGL90" s="267"/>
      <c r="AGM90" s="267"/>
      <c r="AGN90" s="267"/>
      <c r="AGO90" s="267"/>
      <c r="AGP90" s="267"/>
      <c r="AGQ90" s="267"/>
      <c r="AGR90" s="267"/>
      <c r="AGS90" s="267"/>
      <c r="AGT90" s="267"/>
      <c r="AGU90" s="267"/>
      <c r="AGV90" s="267"/>
      <c r="AGW90" s="267"/>
      <c r="AGX90" s="267"/>
      <c r="AGY90" s="267"/>
      <c r="AGZ90" s="267"/>
      <c r="AHA90" s="267"/>
      <c r="AHB90" s="267"/>
      <c r="AHC90" s="267"/>
      <c r="AHD90" s="267"/>
      <c r="AHE90" s="267"/>
      <c r="AHF90" s="267"/>
      <c r="AHG90" s="267"/>
      <c r="AHH90" s="267"/>
      <c r="AHI90" s="267"/>
      <c r="AHJ90" s="267"/>
      <c r="AHK90" s="267"/>
      <c r="AHL90" s="267"/>
      <c r="AHM90" s="267"/>
      <c r="AHN90" s="267"/>
      <c r="AHO90" s="267"/>
      <c r="AHP90" s="267"/>
      <c r="AHQ90" s="267"/>
      <c r="AHR90" s="267"/>
      <c r="AHS90" s="267"/>
      <c r="AHT90" s="267"/>
      <c r="AHU90" s="267"/>
      <c r="AHV90" s="267"/>
      <c r="AHW90" s="267"/>
      <c r="AHX90" s="267"/>
      <c r="AHY90" s="267"/>
      <c r="AHZ90" s="267"/>
      <c r="AIA90" s="267"/>
      <c r="AIB90" s="267"/>
      <c r="AIC90" s="267"/>
      <c r="AID90" s="267"/>
      <c r="AIE90" s="267"/>
      <c r="AIF90" s="267"/>
      <c r="AIG90" s="267"/>
      <c r="AIH90" s="267"/>
      <c r="AII90" s="267"/>
      <c r="AIJ90" s="267"/>
      <c r="AIK90" s="267"/>
      <c r="AIL90" s="267"/>
      <c r="AIM90" s="267"/>
      <c r="AIN90" s="267"/>
      <c r="AIO90" s="267"/>
      <c r="AIP90" s="267"/>
      <c r="AIQ90" s="267"/>
      <c r="AIR90" s="267"/>
      <c r="AIS90" s="267"/>
      <c r="AIT90" s="267"/>
      <c r="AIU90" s="267"/>
      <c r="AIV90" s="267"/>
      <c r="AIW90" s="267"/>
      <c r="AIX90" s="267"/>
      <c r="AIY90" s="267"/>
      <c r="AIZ90" s="267"/>
      <c r="AJA90" s="267"/>
      <c r="AJB90" s="267"/>
      <c r="AJC90" s="267"/>
      <c r="AJD90" s="267"/>
      <c r="AJE90" s="267"/>
      <c r="AJF90" s="267"/>
      <c r="AJG90" s="267"/>
      <c r="AJH90" s="267"/>
      <c r="AJI90" s="267"/>
      <c r="AJJ90" s="267"/>
      <c r="AJK90" s="267"/>
      <c r="AJL90" s="267"/>
      <c r="AJM90" s="267"/>
      <c r="AJN90" s="267"/>
      <c r="AJO90" s="267"/>
      <c r="AJP90" s="267"/>
      <c r="AJQ90" s="267"/>
      <c r="AJR90" s="267"/>
      <c r="AJS90" s="267"/>
      <c r="AJT90" s="267"/>
      <c r="AJU90" s="267"/>
      <c r="AJV90" s="267"/>
      <c r="AJW90" s="267"/>
      <c r="AJX90" s="267"/>
      <c r="AJY90" s="267"/>
      <c r="AJZ90" s="267"/>
      <c r="AKA90" s="267"/>
      <c r="AKB90" s="267"/>
      <c r="AKC90" s="267"/>
      <c r="AKD90" s="267"/>
      <c r="AKE90" s="267"/>
      <c r="AKF90" s="267"/>
      <c r="AKG90" s="267"/>
      <c r="AKH90" s="267"/>
      <c r="AKI90" s="267"/>
      <c r="AKJ90" s="267"/>
      <c r="AKK90" s="267"/>
      <c r="AKL90" s="267"/>
      <c r="AKM90" s="267"/>
      <c r="AKN90" s="267"/>
      <c r="AKO90" s="267"/>
      <c r="AKP90" s="267"/>
      <c r="AKQ90" s="267"/>
      <c r="AKR90" s="267"/>
      <c r="AKS90" s="267"/>
      <c r="AKT90" s="267"/>
      <c r="AKU90" s="267"/>
      <c r="AKV90" s="267"/>
      <c r="AKW90" s="267"/>
      <c r="AKX90" s="267"/>
      <c r="AKY90" s="267"/>
      <c r="AKZ90" s="267"/>
      <c r="ALA90" s="267"/>
      <c r="ALB90" s="267"/>
      <c r="ALC90" s="267"/>
      <c r="ALD90" s="267"/>
      <c r="ALE90" s="267"/>
      <c r="ALF90" s="267"/>
      <c r="ALG90" s="267"/>
      <c r="ALH90" s="267"/>
      <c r="ALI90" s="267"/>
      <c r="ALJ90" s="267"/>
      <c r="ALK90" s="267"/>
      <c r="ALL90" s="267"/>
      <c r="ALM90" s="267"/>
      <c r="ALN90" s="267"/>
      <c r="ALO90" s="267"/>
      <c r="ALP90" s="267"/>
      <c r="ALQ90" s="267"/>
      <c r="ALR90" s="267"/>
      <c r="ALS90" s="267"/>
      <c r="ALT90" s="267"/>
      <c r="ALU90" s="267"/>
      <c r="ALV90" s="267"/>
      <c r="ALW90" s="267"/>
      <c r="ALX90" s="267"/>
      <c r="ALY90" s="267"/>
      <c r="ALZ90" s="267"/>
      <c r="AMA90" s="267"/>
      <c r="AMB90" s="267"/>
      <c r="AMC90" s="267"/>
      <c r="AMD90" s="267"/>
      <c r="AME90" s="267"/>
      <c r="AMF90" s="267"/>
      <c r="AMG90" s="267"/>
      <c r="AMH90" s="267"/>
      <c r="AMI90" s="267"/>
      <c r="AMJ90" s="267"/>
    </row>
    <row r="91" spans="1:1024" s="268" customFormat="1" ht="11.25">
      <c r="B91" s="265"/>
      <c r="C91" s="691"/>
      <c r="D91" s="756" t="s">
        <v>3006</v>
      </c>
      <c r="E91" s="756"/>
      <c r="F91" s="757"/>
      <c r="G91" s="353"/>
      <c r="H91" s="354">
        <f>IF((H90-G90)/30&lt;0,"No Data",(H90-G90)/30)</f>
        <v>0</v>
      </c>
      <c r="I91" s="354">
        <f>IF((I90-H90)/30&lt;0,"No Data",(I90-H90)/30)</f>
        <v>0</v>
      </c>
      <c r="J91" s="354">
        <f>IF((J90-I90)/30&lt;0,"No Data",(J90-I90)/30)</f>
        <v>0</v>
      </c>
      <c r="K91" s="355">
        <f>IF((K90-J90)/30&lt;0,"No Data",(K90-J90)/30)</f>
        <v>0</v>
      </c>
      <c r="L91" s="269"/>
    </row>
    <row r="92" spans="1:1024" ht="17.25" customHeight="1">
      <c r="A92" s="268"/>
      <c r="B92" s="127"/>
      <c r="C92" s="708" t="s">
        <v>3007</v>
      </c>
      <c r="D92" s="709"/>
      <c r="E92" s="709"/>
      <c r="F92" s="709"/>
      <c r="G92" s="270">
        <f>G84-SUM(G87:G88)</f>
        <v>0</v>
      </c>
      <c r="H92" s="270">
        <f>H84-SUM(H87:H88)</f>
        <v>0</v>
      </c>
      <c r="I92" s="270">
        <f>I84-SUM(I87:I88)</f>
        <v>0</v>
      </c>
      <c r="J92" s="270">
        <f>J84-SUM(J87:J88)</f>
        <v>0</v>
      </c>
      <c r="K92" s="271">
        <f>K84-SUM(K87:K88)</f>
        <v>0</v>
      </c>
      <c r="L92" s="128"/>
    </row>
    <row r="93" spans="1:1024" ht="7.5" customHeight="1">
      <c r="B93" s="127"/>
      <c r="C93" s="671"/>
      <c r="D93" s="672"/>
      <c r="E93" s="672"/>
      <c r="F93" s="672"/>
      <c r="G93" s="672"/>
      <c r="H93" s="672"/>
      <c r="I93" s="672"/>
      <c r="J93" s="672"/>
      <c r="K93" s="673"/>
      <c r="L93" s="128"/>
    </row>
    <row r="94" spans="1:1024" ht="15" customHeight="1">
      <c r="B94" s="127"/>
      <c r="C94" s="127"/>
      <c r="D94" s="611" t="s">
        <v>3008</v>
      </c>
      <c r="E94" s="612"/>
      <c r="F94" s="613"/>
      <c r="G94" s="229"/>
      <c r="H94" s="229"/>
      <c r="I94" s="229"/>
      <c r="J94" s="229"/>
      <c r="K94" s="230"/>
      <c r="L94" s="128"/>
    </row>
    <row r="95" spans="1:1024" ht="17.25" customHeight="1">
      <c r="A95" s="268"/>
      <c r="B95" s="127"/>
      <c r="C95" s="708" t="s">
        <v>3009</v>
      </c>
      <c r="D95" s="709"/>
      <c r="E95" s="709"/>
      <c r="F95" s="709"/>
      <c r="G95" s="270">
        <f>G92+G94</f>
        <v>0</v>
      </c>
      <c r="H95" s="270">
        <f>H92+H94</f>
        <v>0</v>
      </c>
      <c r="I95" s="270">
        <f>I92+I94</f>
        <v>0</v>
      </c>
      <c r="J95" s="270">
        <f>J92+J94</f>
        <v>0</v>
      </c>
      <c r="K95" s="271">
        <f>K92+K94</f>
        <v>0</v>
      </c>
      <c r="L95" s="128"/>
    </row>
    <row r="96" spans="1:1024" ht="15">
      <c r="B96" s="127"/>
      <c r="C96" s="127"/>
      <c r="D96" s="611" t="s">
        <v>3010</v>
      </c>
      <c r="E96" s="612"/>
      <c r="F96" s="613"/>
      <c r="G96" s="229">
        <f>G97+G98</f>
        <v>0</v>
      </c>
      <c r="H96" s="229">
        <f>H97+H98</f>
        <v>0</v>
      </c>
      <c r="I96" s="229">
        <f>I97+I98</f>
        <v>0</v>
      </c>
      <c r="J96" s="229">
        <f>J97+J98</f>
        <v>0</v>
      </c>
      <c r="K96" s="230">
        <f>K97+K98</f>
        <v>0</v>
      </c>
      <c r="L96" s="128"/>
    </row>
    <row r="97" spans="1:12" s="218" customFormat="1" ht="12" outlineLevel="1">
      <c r="B97" s="219"/>
      <c r="C97" s="219"/>
      <c r="D97" s="220"/>
      <c r="E97" s="701" t="s">
        <v>3011</v>
      </c>
      <c r="F97" s="702"/>
      <c r="G97" s="223"/>
      <c r="H97" s="223"/>
      <c r="I97" s="223"/>
      <c r="J97" s="223"/>
      <c r="K97" s="224"/>
      <c r="L97" s="225"/>
    </row>
    <row r="98" spans="1:12" s="218" customFormat="1" ht="12" outlineLevel="1">
      <c r="B98" s="219"/>
      <c r="C98" s="219"/>
      <c r="E98" s="621" t="s">
        <v>3012</v>
      </c>
      <c r="F98" s="622"/>
      <c r="G98" s="227"/>
      <c r="H98" s="227"/>
      <c r="I98" s="227"/>
      <c r="J98" s="227"/>
      <c r="K98" s="228"/>
      <c r="L98" s="225"/>
    </row>
    <row r="99" spans="1:12" s="125" customFormat="1" ht="14.25">
      <c r="A99" s="124"/>
      <c r="B99" s="214"/>
      <c r="C99" s="732" t="s">
        <v>3013</v>
      </c>
      <c r="D99" s="733"/>
      <c r="E99" s="733"/>
      <c r="F99" s="734"/>
      <c r="G99" s="273">
        <f>G92-G96</f>
        <v>0</v>
      </c>
      <c r="H99" s="273">
        <f>H92-H96</f>
        <v>0</v>
      </c>
      <c r="I99" s="273">
        <f>I92-I96</f>
        <v>0</v>
      </c>
      <c r="J99" s="273">
        <f>J92-J96</f>
        <v>0</v>
      </c>
      <c r="K99" s="274">
        <f>K92-K96</f>
        <v>0</v>
      </c>
      <c r="L99" s="200"/>
    </row>
    <row r="100" spans="1:12" s="125" customFormat="1" ht="12.75">
      <c r="B100" s="214"/>
      <c r="C100" s="732" t="s">
        <v>3014</v>
      </c>
      <c r="D100" s="733"/>
      <c r="E100" s="733"/>
      <c r="F100" s="734"/>
      <c r="G100" s="273">
        <f>G92+G57+G58+G63+G49</f>
        <v>0</v>
      </c>
      <c r="H100" s="273">
        <f>H92+H57+H58+H63+H49</f>
        <v>0</v>
      </c>
      <c r="I100" s="273">
        <f>I92+I57+I58+I63+I49</f>
        <v>0</v>
      </c>
      <c r="J100" s="273">
        <f>J92+J57+J58+J63+J49</f>
        <v>0</v>
      </c>
      <c r="K100" s="274">
        <f>K92+K57+K58+K63+K49</f>
        <v>0</v>
      </c>
      <c r="L100" s="200"/>
    </row>
    <row r="101" spans="1:12" ht="14.25" customHeight="1">
      <c r="A101" s="125"/>
      <c r="B101" s="127"/>
      <c r="C101" s="272"/>
      <c r="D101" s="275"/>
      <c r="E101" s="275"/>
      <c r="F101" s="243"/>
      <c r="G101" s="276"/>
      <c r="H101" s="277"/>
      <c r="I101" s="277"/>
      <c r="J101" s="277"/>
      <c r="K101" s="278"/>
      <c r="L101" s="128"/>
    </row>
    <row r="102" spans="1:12" ht="19.5">
      <c r="B102" s="127"/>
      <c r="C102" s="720" t="s">
        <v>3015</v>
      </c>
      <c r="D102" s="721"/>
      <c r="E102" s="721"/>
      <c r="F102" s="721"/>
      <c r="G102" s="721"/>
      <c r="H102" s="721"/>
      <c r="I102" s="721"/>
      <c r="J102" s="721"/>
      <c r="K102" s="722"/>
      <c r="L102" s="128"/>
    </row>
    <row r="103" spans="1:12" ht="17.25" customHeight="1">
      <c r="B103" s="127"/>
      <c r="C103" s="623" t="s">
        <v>3016</v>
      </c>
      <c r="D103" s="624"/>
      <c r="E103" s="624"/>
      <c r="F103" s="625" t="s">
        <v>3017</v>
      </c>
      <c r="G103" s="279" t="str">
        <f>G6</f>
        <v>-</v>
      </c>
      <c r="H103" s="279" t="str">
        <f>H6</f>
        <v>-</v>
      </c>
      <c r="I103" s="279">
        <f>I6</f>
        <v>0</v>
      </c>
      <c r="J103" s="279">
        <f>J6</f>
        <v>366</v>
      </c>
      <c r="K103" s="280">
        <f>K6</f>
        <v>731</v>
      </c>
      <c r="L103" s="128"/>
    </row>
    <row r="104" spans="1:12" ht="15">
      <c r="B104" s="127"/>
      <c r="C104" s="665"/>
      <c r="D104" s="666"/>
      <c r="E104" s="666"/>
      <c r="F104" s="667"/>
      <c r="G104" s="666"/>
      <c r="H104" s="666"/>
      <c r="I104" s="666"/>
      <c r="J104" s="666"/>
      <c r="K104" s="668"/>
      <c r="L104" s="128"/>
    </row>
    <row r="105" spans="1:12" ht="18">
      <c r="B105" s="127"/>
      <c r="C105" s="654" t="s">
        <v>3018</v>
      </c>
      <c r="D105" s="655"/>
      <c r="E105" s="655"/>
      <c r="F105" s="655"/>
      <c r="G105" s="655"/>
      <c r="H105" s="655"/>
      <c r="I105" s="655"/>
      <c r="J105" s="655"/>
      <c r="K105" s="656"/>
      <c r="L105" s="128"/>
    </row>
    <row r="106" spans="1:12" ht="17.25" customHeight="1">
      <c r="B106" s="127"/>
      <c r="C106" s="689" t="s">
        <v>3019</v>
      </c>
      <c r="D106" s="690"/>
      <c r="E106" s="690"/>
      <c r="F106" s="690"/>
      <c r="G106" s="286"/>
      <c r="H106" s="287"/>
      <c r="I106" s="287"/>
      <c r="J106" s="287"/>
      <c r="K106" s="288"/>
      <c r="L106" s="128"/>
    </row>
    <row r="107" spans="1:12" ht="17.25" customHeight="1">
      <c r="B107" s="127"/>
      <c r="C107" s="284"/>
      <c r="D107" s="697" t="s">
        <v>3020</v>
      </c>
      <c r="E107" s="697"/>
      <c r="F107" s="698"/>
      <c r="G107" s="229">
        <f>SUM(G108:G112)</f>
        <v>0</v>
      </c>
      <c r="H107" s="229">
        <f>SUM(H108:H112)</f>
        <v>0</v>
      </c>
      <c r="I107" s="229">
        <f>SUM(I108:I112)</f>
        <v>0</v>
      </c>
      <c r="J107" s="229">
        <f>SUM(J108:J112)</f>
        <v>0</v>
      </c>
      <c r="K107" s="230">
        <f>SUM(K108:K112)</f>
        <v>0</v>
      </c>
      <c r="L107" s="128"/>
    </row>
    <row r="108" spans="1:12" s="218" customFormat="1" ht="12" outlineLevel="1">
      <c r="B108" s="219"/>
      <c r="C108" s="618"/>
      <c r="D108" s="220"/>
      <c r="E108" s="616" t="s">
        <v>3021</v>
      </c>
      <c r="F108" s="617"/>
      <c r="G108" s="223"/>
      <c r="H108" s="223"/>
      <c r="I108" s="356"/>
      <c r="J108" s="223"/>
      <c r="K108" s="224"/>
      <c r="L108" s="225"/>
    </row>
    <row r="109" spans="1:12" s="218" customFormat="1" ht="12" outlineLevel="1">
      <c r="B109" s="219"/>
      <c r="C109" s="618"/>
      <c r="E109" s="621" t="s">
        <v>3022</v>
      </c>
      <c r="F109" s="622"/>
      <c r="G109" s="349"/>
      <c r="H109" s="349"/>
      <c r="I109" s="349"/>
      <c r="J109" s="227"/>
      <c r="K109" s="228"/>
      <c r="L109" s="225"/>
    </row>
    <row r="110" spans="1:12" s="218" customFormat="1" ht="12" outlineLevel="1">
      <c r="B110" s="219"/>
      <c r="C110" s="618"/>
      <c r="E110" s="621" t="s">
        <v>3023</v>
      </c>
      <c r="F110" s="622"/>
      <c r="G110" s="349"/>
      <c r="H110" s="349"/>
      <c r="I110" s="349"/>
      <c r="J110" s="227"/>
      <c r="K110" s="228"/>
      <c r="L110" s="225"/>
    </row>
    <row r="111" spans="1:12" s="218" customFormat="1" ht="12" outlineLevel="1">
      <c r="B111" s="219"/>
      <c r="C111" s="618"/>
      <c r="E111" s="621" t="s">
        <v>3024</v>
      </c>
      <c r="F111" s="622"/>
      <c r="G111" s="349"/>
      <c r="H111" s="349"/>
      <c r="I111" s="349"/>
      <c r="J111" s="227"/>
      <c r="K111" s="228"/>
      <c r="L111" s="225"/>
    </row>
    <row r="112" spans="1:12" s="218" customFormat="1" ht="12" outlineLevel="1">
      <c r="B112" s="219"/>
      <c r="C112" s="618"/>
      <c r="E112" s="621" t="s">
        <v>3025</v>
      </c>
      <c r="F112" s="622"/>
      <c r="G112" s="349"/>
      <c r="H112" s="349"/>
      <c r="I112" s="349"/>
      <c r="J112" s="227"/>
      <c r="K112" s="228"/>
      <c r="L112" s="225"/>
    </row>
    <row r="113" spans="1:13" s="125" customFormat="1" ht="12.75">
      <c r="B113" s="214"/>
      <c r="C113" s="618"/>
      <c r="D113" s="611" t="s">
        <v>3026</v>
      </c>
      <c r="E113" s="612"/>
      <c r="F113" s="613"/>
      <c r="G113" s="229">
        <f>SUM(G114:G118)</f>
        <v>0</v>
      </c>
      <c r="H113" s="229">
        <f>SUM(H114:H118)</f>
        <v>0</v>
      </c>
      <c r="I113" s="229">
        <f>SUM(I114:I118)</f>
        <v>0</v>
      </c>
      <c r="J113" s="229">
        <f>SUM(J114:J118)</f>
        <v>0</v>
      </c>
      <c r="K113" s="230">
        <f>SUM(K114:K118)</f>
        <v>0</v>
      </c>
      <c r="L113" s="200"/>
    </row>
    <row r="114" spans="1:13" s="218" customFormat="1" ht="12" outlineLevel="1">
      <c r="B114" s="219"/>
      <c r="C114" s="618"/>
      <c r="D114" s="220"/>
      <c r="E114" s="701" t="s">
        <v>3027</v>
      </c>
      <c r="F114" s="702"/>
      <c r="G114" s="348"/>
      <c r="H114" s="348"/>
      <c r="I114" s="348"/>
      <c r="J114" s="223"/>
      <c r="K114" s="224"/>
      <c r="L114" s="225"/>
      <c r="M114" s="227"/>
    </row>
    <row r="115" spans="1:13" s="218" customFormat="1" ht="12" outlineLevel="1">
      <c r="B115" s="219"/>
      <c r="C115" s="618"/>
      <c r="E115" s="621" t="s">
        <v>3028</v>
      </c>
      <c r="F115" s="622"/>
      <c r="G115" s="349"/>
      <c r="H115" s="349"/>
      <c r="I115" s="349"/>
      <c r="J115" s="227"/>
      <c r="K115" s="228"/>
      <c r="L115" s="225"/>
    </row>
    <row r="116" spans="1:13" s="218" customFormat="1" ht="12" outlineLevel="1">
      <c r="B116" s="219"/>
      <c r="C116" s="618"/>
      <c r="E116" s="626" t="s">
        <v>3029</v>
      </c>
      <c r="F116" s="627"/>
      <c r="G116" s="240"/>
      <c r="H116" s="349"/>
      <c r="I116" s="349"/>
      <c r="J116" s="227"/>
      <c r="K116" s="228"/>
      <c r="L116" s="225"/>
    </row>
    <row r="117" spans="1:13" s="218" customFormat="1" ht="12" outlineLevel="1">
      <c r="B117" s="219"/>
      <c r="C117" s="618"/>
      <c r="E117" s="626" t="s">
        <v>3030</v>
      </c>
      <c r="F117" s="627"/>
      <c r="G117" s="349"/>
      <c r="H117" s="349"/>
      <c r="I117" s="349"/>
      <c r="J117" s="227"/>
      <c r="K117" s="228"/>
      <c r="L117" s="225"/>
    </row>
    <row r="118" spans="1:13" s="218" customFormat="1" ht="12" outlineLevel="1">
      <c r="B118" s="219"/>
      <c r="C118" s="686"/>
      <c r="D118" s="241"/>
      <c r="E118" s="663" t="s">
        <v>3031</v>
      </c>
      <c r="F118" s="664"/>
      <c r="G118" s="357"/>
      <c r="H118" s="231"/>
      <c r="I118" s="231"/>
      <c r="J118" s="231"/>
      <c r="K118" s="232"/>
      <c r="L118" s="225"/>
    </row>
    <row r="119" spans="1:13" ht="17.25" customHeight="1">
      <c r="A119" s="125"/>
      <c r="B119" s="127"/>
      <c r="C119" s="609" t="s">
        <v>3032</v>
      </c>
      <c r="D119" s="610"/>
      <c r="E119" s="610"/>
      <c r="F119" s="610"/>
      <c r="G119" s="233">
        <f>SUM(G107,G113)</f>
        <v>0</v>
      </c>
      <c r="H119" s="233">
        <f>SUM(H107,H113)</f>
        <v>0</v>
      </c>
      <c r="I119" s="233">
        <f>SUM(I107,I113)</f>
        <v>0</v>
      </c>
      <c r="J119" s="233">
        <f>SUM(J107,J113)</f>
        <v>0</v>
      </c>
      <c r="K119" s="234">
        <f>SUM(K107,K113)</f>
        <v>0</v>
      </c>
      <c r="L119" s="128"/>
    </row>
    <row r="120" spans="1:13" s="125" customFormat="1" ht="7.5" customHeight="1">
      <c r="A120" s="124"/>
      <c r="B120" s="214"/>
      <c r="C120" s="618"/>
      <c r="D120" s="619"/>
      <c r="E120" s="619"/>
      <c r="F120" s="619"/>
      <c r="G120" s="619"/>
      <c r="H120" s="619"/>
      <c r="I120" s="619"/>
      <c r="J120" s="619"/>
      <c r="K120" s="662"/>
      <c r="L120" s="200"/>
    </row>
    <row r="121" spans="1:13" ht="17.25" customHeight="1">
      <c r="A121" s="285"/>
      <c r="B121" s="127"/>
      <c r="C121" s="609" t="s">
        <v>3033</v>
      </c>
      <c r="D121" s="610"/>
      <c r="E121" s="610"/>
      <c r="F121" s="610" t="s">
        <v>3034</v>
      </c>
      <c r="G121" s="233">
        <f>G119-G116+G129+G149-G160-G180-G201</f>
        <v>0</v>
      </c>
      <c r="H121" s="233">
        <f>H119-H116+H129+H149-H160-H180-H201</f>
        <v>0</v>
      </c>
      <c r="I121" s="233">
        <f>I119-I116+I129+I149-I160-I180-I201</f>
        <v>0</v>
      </c>
      <c r="J121" s="233">
        <f>J119-J116+J129+J149-J160-J180-J201</f>
        <v>0</v>
      </c>
      <c r="K121" s="234">
        <f>K119-K116+K129+K149-K160-K180-K201</f>
        <v>0</v>
      </c>
      <c r="L121" s="128"/>
    </row>
    <row r="122" spans="1:13" ht="7.5" customHeight="1">
      <c r="B122" s="127"/>
      <c r="C122" s="671"/>
      <c r="D122" s="672"/>
      <c r="E122" s="672"/>
      <c r="F122" s="672"/>
      <c r="G122" s="672"/>
      <c r="H122" s="672"/>
      <c r="I122" s="672"/>
      <c r="J122" s="672"/>
      <c r="K122" s="673"/>
      <c r="L122" s="128"/>
    </row>
    <row r="123" spans="1:13" ht="17.25" customHeight="1">
      <c r="B123" s="127"/>
      <c r="C123" s="689" t="s">
        <v>3035</v>
      </c>
      <c r="D123" s="690"/>
      <c r="E123" s="690"/>
      <c r="F123" s="690"/>
      <c r="G123" s="286"/>
      <c r="H123" s="287"/>
      <c r="I123" s="287"/>
      <c r="J123" s="287"/>
      <c r="K123" s="288"/>
      <c r="L123" s="128"/>
    </row>
    <row r="124" spans="1:13" ht="17.25" customHeight="1">
      <c r="B124" s="127"/>
      <c r="C124" s="689" t="s">
        <v>3036</v>
      </c>
      <c r="D124" s="690"/>
      <c r="E124" s="690"/>
      <c r="F124" s="690"/>
      <c r="G124" s="286"/>
      <c r="H124" s="287"/>
      <c r="I124" s="287"/>
      <c r="J124" s="287"/>
      <c r="K124" s="288"/>
      <c r="L124" s="128"/>
    </row>
    <row r="125" spans="1:13" s="125" customFormat="1" ht="14.25">
      <c r="A125" s="124"/>
      <c r="B125" s="214"/>
      <c r="C125" s="252"/>
      <c r="D125" s="611" t="s">
        <v>3037</v>
      </c>
      <c r="E125" s="612"/>
      <c r="F125" s="613"/>
      <c r="G125" s="229">
        <f>SUM(G126:G132)</f>
        <v>0</v>
      </c>
      <c r="H125" s="229">
        <f>SUM(H126:H132)</f>
        <v>0</v>
      </c>
      <c r="I125" s="229">
        <f>SUM(I126:I132)</f>
        <v>0</v>
      </c>
      <c r="J125" s="229">
        <f>SUM(J126:J132)</f>
        <v>0</v>
      </c>
      <c r="K125" s="230">
        <f>SUM(K126:K132)</f>
        <v>0</v>
      </c>
      <c r="L125" s="200"/>
    </row>
    <row r="126" spans="1:13" s="218" customFormat="1" ht="14.25" customHeight="1" outlineLevel="1">
      <c r="A126" s="125"/>
      <c r="B126" s="219"/>
      <c r="C126" s="252"/>
      <c r="D126" s="220"/>
      <c r="E126" s="616" t="s">
        <v>3038</v>
      </c>
      <c r="F126" s="617"/>
      <c r="G126" s="348"/>
      <c r="H126" s="223"/>
      <c r="I126" s="223"/>
      <c r="J126" s="223"/>
      <c r="K126" s="224"/>
      <c r="L126" s="225"/>
    </row>
    <row r="127" spans="1:13" s="218" customFormat="1" ht="14.25" customHeight="1" outlineLevel="1">
      <c r="B127" s="219"/>
      <c r="C127" s="252"/>
      <c r="E127" s="626" t="s">
        <v>3039</v>
      </c>
      <c r="F127" s="627"/>
      <c r="G127" s="227"/>
      <c r="H127" s="227"/>
      <c r="I127" s="227"/>
      <c r="J127" s="227"/>
      <c r="K127" s="228"/>
      <c r="L127" s="225"/>
    </row>
    <row r="128" spans="1:13" s="218" customFormat="1" ht="14.25" customHeight="1" outlineLevel="1">
      <c r="B128" s="219"/>
      <c r="C128" s="252"/>
      <c r="E128" s="626" t="s">
        <v>3040</v>
      </c>
      <c r="F128" s="627"/>
      <c r="G128" s="227"/>
      <c r="H128" s="227"/>
      <c r="I128" s="227"/>
      <c r="J128" s="227"/>
      <c r="K128" s="228"/>
      <c r="L128" s="225"/>
    </row>
    <row r="129" spans="1:13" s="125" customFormat="1" ht="12.75" outlineLevel="1">
      <c r="B129" s="289"/>
      <c r="C129" s="214"/>
      <c r="E129" s="626" t="s">
        <v>3041</v>
      </c>
      <c r="F129" s="627"/>
      <c r="G129" s="227"/>
      <c r="H129" s="227"/>
      <c r="I129" s="227"/>
      <c r="J129" s="227"/>
      <c r="K129" s="228"/>
      <c r="L129" s="200"/>
    </row>
    <row r="130" spans="1:13" s="218" customFormat="1" ht="14.25" customHeight="1" outlineLevel="1">
      <c r="B130" s="219"/>
      <c r="C130" s="252"/>
      <c r="E130" s="626" t="s">
        <v>3042</v>
      </c>
      <c r="F130" s="627"/>
      <c r="G130" s="227"/>
      <c r="H130" s="227"/>
      <c r="I130" s="227"/>
      <c r="J130" s="227"/>
      <c r="K130" s="228"/>
      <c r="L130" s="225"/>
      <c r="M130" s="125"/>
    </row>
    <row r="131" spans="1:13" s="218" customFormat="1" ht="14.25" customHeight="1" outlineLevel="1">
      <c r="B131" s="219"/>
      <c r="C131" s="252"/>
      <c r="E131" s="626" t="s">
        <v>3043</v>
      </c>
      <c r="F131" s="627"/>
      <c r="G131" s="227"/>
      <c r="H131" s="227"/>
      <c r="I131" s="227"/>
      <c r="J131" s="227"/>
      <c r="K131" s="228"/>
      <c r="L131" s="225"/>
      <c r="M131" s="125"/>
    </row>
    <row r="132" spans="1:13" s="125" customFormat="1" ht="14.25" outlineLevel="1">
      <c r="B132" s="214"/>
      <c r="C132" s="252"/>
      <c r="E132" s="626" t="s">
        <v>3044</v>
      </c>
      <c r="F132" s="627"/>
      <c r="G132" s="227"/>
      <c r="H132" s="227"/>
      <c r="I132" s="227"/>
      <c r="J132" s="227"/>
      <c r="K132" s="228"/>
      <c r="L132" s="200"/>
    </row>
    <row r="133" spans="1:13" s="125" customFormat="1" ht="14.25">
      <c r="A133" s="218"/>
      <c r="B133" s="214"/>
      <c r="C133" s="252"/>
      <c r="D133" s="611" t="s">
        <v>3045</v>
      </c>
      <c r="E133" s="612"/>
      <c r="F133" s="613"/>
      <c r="G133" s="227"/>
      <c r="H133" s="299"/>
      <c r="I133" s="299"/>
      <c r="J133" s="212"/>
      <c r="K133" s="213"/>
      <c r="L133" s="200"/>
    </row>
    <row r="134" spans="1:13" s="125" customFormat="1" ht="14.25">
      <c r="B134" s="214"/>
      <c r="C134" s="252"/>
      <c r="D134" s="646" t="s">
        <v>3046</v>
      </c>
      <c r="E134" s="647"/>
      <c r="F134" s="648"/>
      <c r="G134" s="290">
        <f>SUM(G135:G136)</f>
        <v>0</v>
      </c>
      <c r="H134" s="290">
        <f>SUM(H135:H136)</f>
        <v>0</v>
      </c>
      <c r="I134" s="290">
        <f>SUM(I135:I136)</f>
        <v>0</v>
      </c>
      <c r="J134" s="290">
        <f>SUM(J135:J136)</f>
        <v>0</v>
      </c>
      <c r="K134" s="291">
        <f>SUM(K135:K136)</f>
        <v>0</v>
      </c>
      <c r="L134" s="200"/>
    </row>
    <row r="135" spans="1:13" s="125" customFormat="1" ht="14.25">
      <c r="B135" s="214"/>
      <c r="C135" s="252"/>
      <c r="D135" s="211"/>
      <c r="E135" s="626" t="s">
        <v>3047</v>
      </c>
      <c r="F135" s="627"/>
      <c r="G135" s="348"/>
      <c r="H135" s="223"/>
      <c r="I135" s="223"/>
      <c r="J135" s="212"/>
      <c r="K135" s="213"/>
      <c r="L135" s="200"/>
    </row>
    <row r="136" spans="1:13" s="125" customFormat="1" ht="16.5" customHeight="1">
      <c r="B136" s="214"/>
      <c r="C136" s="252"/>
      <c r="D136" s="211"/>
      <c r="E136" s="626" t="s">
        <v>3048</v>
      </c>
      <c r="F136" s="627"/>
      <c r="G136" s="227"/>
      <c r="H136" s="212"/>
      <c r="I136" s="212"/>
      <c r="J136" s="212"/>
      <c r="K136" s="213"/>
      <c r="L136" s="200"/>
    </row>
    <row r="137" spans="1:13" s="125" customFormat="1" ht="14.25">
      <c r="B137" s="214"/>
      <c r="C137" s="252"/>
      <c r="D137" s="611" t="s">
        <v>3049</v>
      </c>
      <c r="E137" s="612"/>
      <c r="F137" s="613"/>
      <c r="G137" s="212">
        <f>SUM(G138:G139)</f>
        <v>0</v>
      </c>
      <c r="H137" s="212">
        <f>SUM(H138:H139)</f>
        <v>0</v>
      </c>
      <c r="I137" s="229">
        <f>SUM(I138:I139)</f>
        <v>0</v>
      </c>
      <c r="J137" s="212">
        <f>SUM(J138:J139)</f>
        <v>0</v>
      </c>
      <c r="K137" s="213">
        <f>SUM(K138:K139)</f>
        <v>0</v>
      </c>
      <c r="L137" s="200"/>
    </row>
    <row r="138" spans="1:13" s="125" customFormat="1" ht="14.25" outlineLevel="1">
      <c r="B138" s="214"/>
      <c r="C138" s="252"/>
      <c r="D138" s="220"/>
      <c r="E138" s="616" t="s">
        <v>3050</v>
      </c>
      <c r="F138" s="617"/>
      <c r="G138" s="348"/>
      <c r="H138" s="223"/>
      <c r="I138" s="223"/>
      <c r="J138" s="223"/>
      <c r="K138" s="224"/>
      <c r="L138" s="200"/>
    </row>
    <row r="139" spans="1:13" s="218" customFormat="1" ht="14.25" customHeight="1" outlineLevel="1">
      <c r="B139" s="219"/>
      <c r="C139" s="252"/>
      <c r="E139" s="626" t="s">
        <v>3051</v>
      </c>
      <c r="F139" s="627"/>
      <c r="G139" s="227"/>
      <c r="H139" s="227"/>
      <c r="I139" s="227"/>
      <c r="J139" s="227"/>
      <c r="K139" s="228"/>
      <c r="L139" s="225"/>
    </row>
    <row r="140" spans="1:13" s="125" customFormat="1" ht="14.25">
      <c r="B140" s="214"/>
      <c r="C140" s="292"/>
      <c r="D140" s="646" t="s">
        <v>3052</v>
      </c>
      <c r="E140" s="647"/>
      <c r="F140" s="648"/>
      <c r="G140" s="290"/>
      <c r="H140" s="344"/>
      <c r="I140" s="344"/>
      <c r="J140" s="344"/>
      <c r="K140" s="345"/>
      <c r="L140" s="200"/>
    </row>
    <row r="141" spans="1:13" ht="17.25" customHeight="1">
      <c r="A141" s="125"/>
      <c r="B141" s="127"/>
      <c r="C141" s="682" t="s">
        <v>3053</v>
      </c>
      <c r="D141" s="683"/>
      <c r="E141" s="683"/>
      <c r="F141" s="683"/>
      <c r="G141" s="256">
        <f>G125+G133+G134+G137+G140</f>
        <v>0</v>
      </c>
      <c r="H141" s="256">
        <f>H125+H133+H134+H137+H140</f>
        <v>0</v>
      </c>
      <c r="I141" s="256">
        <f>I125+I133+I134+I137+I140</f>
        <v>0</v>
      </c>
      <c r="J141" s="256">
        <f>SUM(J133,J134,J137,J140,J125)</f>
        <v>0</v>
      </c>
      <c r="K141" s="259">
        <f>SUM(K133:K140,K125)</f>
        <v>0</v>
      </c>
      <c r="L141" s="128"/>
    </row>
    <row r="142" spans="1:13" ht="7.5" customHeight="1">
      <c r="B142" s="127"/>
      <c r="C142" s="671"/>
      <c r="D142" s="672"/>
      <c r="E142" s="672"/>
      <c r="F142" s="672"/>
      <c r="G142" s="672"/>
      <c r="H142" s="672"/>
      <c r="I142" s="672"/>
      <c r="J142" s="672"/>
      <c r="K142" s="673"/>
      <c r="L142" s="128"/>
    </row>
    <row r="143" spans="1:13" ht="17.25" customHeight="1">
      <c r="B143" s="127"/>
      <c r="C143" s="689" t="s">
        <v>3054</v>
      </c>
      <c r="D143" s="690"/>
      <c r="E143" s="690"/>
      <c r="F143" s="690"/>
      <c r="G143" s="286"/>
      <c r="H143" s="287"/>
      <c r="I143" s="287"/>
      <c r="J143" s="287"/>
      <c r="K143" s="288"/>
      <c r="L143" s="128"/>
    </row>
    <row r="144" spans="1:13" s="125" customFormat="1" ht="14.25">
      <c r="A144" s="124"/>
      <c r="B144" s="214"/>
      <c r="C144" s="689"/>
      <c r="D144" s="611" t="s">
        <v>3055</v>
      </c>
      <c r="E144" s="612"/>
      <c r="F144" s="613"/>
      <c r="G144" s="229">
        <f>SUM(G145:G151)</f>
        <v>0</v>
      </c>
      <c r="H144" s="229">
        <f>SUM(H145:H151)</f>
        <v>0</v>
      </c>
      <c r="I144" s="229">
        <f>SUM(I145:I151)</f>
        <v>0</v>
      </c>
      <c r="J144" s="229">
        <f>SUM(J145:J151)</f>
        <v>0</v>
      </c>
      <c r="K144" s="230">
        <f>SUM(K145:K151)</f>
        <v>0</v>
      </c>
      <c r="L144" s="200"/>
    </row>
    <row r="145" spans="1:12" s="218" customFormat="1" ht="14.25" customHeight="1" outlineLevel="1">
      <c r="B145" s="219"/>
      <c r="C145" s="689"/>
      <c r="D145" s="220"/>
      <c r="E145" s="616" t="s">
        <v>3056</v>
      </c>
      <c r="F145" s="617"/>
      <c r="G145" s="348"/>
      <c r="H145" s="223"/>
      <c r="I145" s="223"/>
      <c r="J145" s="223"/>
      <c r="K145" s="224"/>
      <c r="L145" s="225"/>
    </row>
    <row r="146" spans="1:12" s="218" customFormat="1" ht="12" outlineLevel="1">
      <c r="B146" s="249"/>
      <c r="C146" s="689"/>
      <c r="E146" s="626" t="s">
        <v>3057</v>
      </c>
      <c r="F146" s="627"/>
      <c r="G146" s="349"/>
      <c r="H146" s="349"/>
      <c r="I146" s="349"/>
      <c r="J146" s="349"/>
      <c r="K146" s="358"/>
      <c r="L146" s="225"/>
    </row>
    <row r="147" spans="1:12" s="218" customFormat="1" ht="12" outlineLevel="1">
      <c r="B147" s="249"/>
      <c r="C147" s="689"/>
      <c r="E147" s="626" t="s">
        <v>3058</v>
      </c>
      <c r="F147" s="627"/>
      <c r="G147" s="349"/>
      <c r="H147" s="349"/>
      <c r="I147" s="349"/>
      <c r="J147" s="349"/>
      <c r="K147" s="358"/>
      <c r="L147" s="225"/>
    </row>
    <row r="148" spans="1:12" s="218" customFormat="1" ht="12" outlineLevel="1">
      <c r="B148" s="249"/>
      <c r="C148" s="689"/>
      <c r="E148" s="626" t="s">
        <v>3059</v>
      </c>
      <c r="F148" s="627"/>
      <c r="G148" s="349"/>
      <c r="H148" s="349"/>
      <c r="I148" s="349"/>
      <c r="J148" s="349"/>
      <c r="K148" s="358"/>
      <c r="L148" s="225"/>
    </row>
    <row r="149" spans="1:12" s="218" customFormat="1" ht="14.25" customHeight="1" outlineLevel="1">
      <c r="B149" s="219"/>
      <c r="C149" s="689"/>
      <c r="E149" s="621" t="s">
        <v>3060</v>
      </c>
      <c r="F149" s="622"/>
      <c r="G149" s="349"/>
      <c r="H149" s="227"/>
      <c r="I149" s="227"/>
      <c r="J149" s="227"/>
      <c r="K149" s="228"/>
      <c r="L149" s="225"/>
    </row>
    <row r="150" spans="1:12" s="218" customFormat="1" ht="14.25" customHeight="1" outlineLevel="1">
      <c r="B150" s="219"/>
      <c r="C150" s="689"/>
      <c r="E150" s="626" t="s">
        <v>3061</v>
      </c>
      <c r="F150" s="627"/>
      <c r="G150" s="349"/>
      <c r="H150" s="227"/>
      <c r="I150" s="227"/>
      <c r="J150" s="227"/>
      <c r="K150" s="228"/>
      <c r="L150" s="225"/>
    </row>
    <row r="151" spans="1:12" s="218" customFormat="1" ht="14.25" customHeight="1" outlineLevel="1">
      <c r="B151" s="219"/>
      <c r="C151" s="689"/>
      <c r="E151" s="626" t="s">
        <v>3062</v>
      </c>
      <c r="F151" s="627"/>
      <c r="G151" s="349"/>
      <c r="H151" s="349"/>
      <c r="I151" s="227"/>
      <c r="J151" s="227"/>
      <c r="K151" s="228"/>
      <c r="L151" s="225"/>
    </row>
    <row r="152" spans="1:12" s="125" customFormat="1" ht="12.75">
      <c r="A152" s="218"/>
      <c r="B152" s="214"/>
      <c r="C152" s="689"/>
      <c r="D152" s="611" t="s">
        <v>3063</v>
      </c>
      <c r="E152" s="612"/>
      <c r="F152" s="613"/>
      <c r="G152" s="229">
        <f>SUM(G153:G156)</f>
        <v>0</v>
      </c>
      <c r="H152" s="229">
        <f>SUM(H153:H156)</f>
        <v>0</v>
      </c>
      <c r="I152" s="229">
        <f>SUM(I153:I156)</f>
        <v>0</v>
      </c>
      <c r="J152" s="229">
        <f>SUM(J153:J156)</f>
        <v>0</v>
      </c>
      <c r="K152" s="230">
        <f>SUM(K153:K156)</f>
        <v>0</v>
      </c>
      <c r="L152" s="200"/>
    </row>
    <row r="153" spans="1:12" s="218" customFormat="1" ht="12" outlineLevel="1">
      <c r="B153" s="219"/>
      <c r="C153" s="689"/>
      <c r="D153" s="239"/>
      <c r="E153" s="616" t="s">
        <v>3064</v>
      </c>
      <c r="F153" s="617"/>
      <c r="G153" s="348"/>
      <c r="H153" s="223"/>
      <c r="I153" s="223"/>
      <c r="J153" s="223"/>
      <c r="K153" s="224"/>
      <c r="L153" s="225"/>
    </row>
    <row r="154" spans="1:12" s="218" customFormat="1" ht="12" outlineLevel="1">
      <c r="B154" s="219"/>
      <c r="C154" s="689"/>
      <c r="E154" s="680" t="s">
        <v>3065</v>
      </c>
      <c r="F154" s="681"/>
      <c r="G154" s="227"/>
      <c r="H154" s="227"/>
      <c r="I154" s="227"/>
      <c r="J154" s="227"/>
      <c r="K154" s="228"/>
      <c r="L154" s="225"/>
    </row>
    <row r="155" spans="1:12" s="218" customFormat="1" ht="12" outlineLevel="1">
      <c r="B155" s="219"/>
      <c r="C155" s="689"/>
      <c r="E155" s="693" t="s">
        <v>3066</v>
      </c>
      <c r="F155" s="694"/>
      <c r="G155" s="227"/>
      <c r="H155" s="227"/>
      <c r="I155" s="227"/>
      <c r="J155" s="227"/>
      <c r="K155" s="228"/>
      <c r="L155" s="225"/>
    </row>
    <row r="156" spans="1:12" s="218" customFormat="1" ht="12" outlineLevel="1">
      <c r="B156" s="219"/>
      <c r="C156" s="689"/>
      <c r="E156" s="693" t="s">
        <v>3067</v>
      </c>
      <c r="F156" s="694"/>
      <c r="G156" s="227"/>
      <c r="H156" s="227"/>
      <c r="I156" s="349"/>
      <c r="J156" s="227"/>
      <c r="K156" s="228"/>
      <c r="L156" s="225"/>
    </row>
    <row r="157" spans="1:12" s="125" customFormat="1" ht="12.75">
      <c r="B157" s="214"/>
      <c r="C157" s="689"/>
      <c r="D157" s="611" t="s">
        <v>3068</v>
      </c>
      <c r="E157" s="612"/>
      <c r="F157" s="613"/>
      <c r="G157" s="212"/>
      <c r="H157" s="212"/>
      <c r="I157" s="229"/>
      <c r="J157" s="212"/>
      <c r="K157" s="213"/>
      <c r="L157" s="200"/>
    </row>
    <row r="158" spans="1:12" s="125" customFormat="1" ht="12.75">
      <c r="B158" s="214"/>
      <c r="C158" s="689"/>
      <c r="D158" s="611" t="s">
        <v>3069</v>
      </c>
      <c r="E158" s="612"/>
      <c r="F158" s="613"/>
      <c r="G158" s="229">
        <f>SUM(G159:G161)</f>
        <v>0</v>
      </c>
      <c r="H158" s="229">
        <f>SUM(H159:H161)</f>
        <v>0</v>
      </c>
      <c r="I158" s="229">
        <f>SUM(I159:I161)</f>
        <v>0</v>
      </c>
      <c r="J158" s="229">
        <f>SUM(J159:J161)</f>
        <v>0</v>
      </c>
      <c r="K158" s="230">
        <f>SUM(K159:K161)</f>
        <v>0</v>
      </c>
      <c r="L158" s="200"/>
    </row>
    <row r="159" spans="1:12" s="218" customFormat="1" ht="12" outlineLevel="1">
      <c r="B159" s="219"/>
      <c r="C159" s="689"/>
      <c r="D159" s="239"/>
      <c r="E159" s="616" t="s">
        <v>3070</v>
      </c>
      <c r="F159" s="617"/>
      <c r="G159" s="348"/>
      <c r="H159" s="223"/>
      <c r="I159" s="223"/>
      <c r="J159" s="223"/>
      <c r="K159" s="224"/>
      <c r="L159" s="225"/>
    </row>
    <row r="160" spans="1:12" s="218" customFormat="1" ht="12" outlineLevel="1">
      <c r="B160" s="219"/>
      <c r="C160" s="689"/>
      <c r="D160" s="240"/>
      <c r="E160" s="626" t="s">
        <v>3071</v>
      </c>
      <c r="F160" s="627"/>
      <c r="G160" s="349"/>
      <c r="H160" s="227"/>
      <c r="I160" s="227"/>
      <c r="J160" s="227"/>
      <c r="K160" s="228"/>
      <c r="L160" s="225"/>
    </row>
    <row r="161" spans="1:15" s="218" customFormat="1" ht="12" outlineLevel="1">
      <c r="B161" s="219"/>
      <c r="C161" s="713"/>
      <c r="D161" s="242"/>
      <c r="E161" s="716" t="s">
        <v>3072</v>
      </c>
      <c r="F161" s="717"/>
      <c r="G161" s="357"/>
      <c r="H161" s="231"/>
      <c r="I161" s="231"/>
      <c r="J161" s="231"/>
      <c r="K161" s="232"/>
      <c r="L161" s="225"/>
    </row>
    <row r="162" spans="1:15" ht="17.25" customHeight="1">
      <c r="A162" s="125"/>
      <c r="B162" s="127"/>
      <c r="C162" s="609" t="s">
        <v>3073</v>
      </c>
      <c r="D162" s="610"/>
      <c r="E162" s="610"/>
      <c r="F162" s="610" t="s">
        <v>3074</v>
      </c>
      <c r="G162" s="233">
        <f>G144+G152+G157+G158</f>
        <v>0</v>
      </c>
      <c r="H162" s="233">
        <f>H144+H152+H157+H158</f>
        <v>0</v>
      </c>
      <c r="I162" s="233">
        <f>I144+I152+I157+I158</f>
        <v>0</v>
      </c>
      <c r="J162" s="233">
        <f>SUM(J144,J152,J157,J158)</f>
        <v>0</v>
      </c>
      <c r="K162" s="234">
        <f>SUM(K144,K152,K157,K158)</f>
        <v>0</v>
      </c>
      <c r="L162" s="128"/>
    </row>
    <row r="163" spans="1:15" ht="17.25" customHeight="1">
      <c r="A163" s="125"/>
      <c r="B163" s="127"/>
      <c r="C163" s="687" t="s">
        <v>3075</v>
      </c>
      <c r="D163" s="688"/>
      <c r="E163" s="688"/>
      <c r="F163" s="688"/>
      <c r="G163" s="294">
        <f>G119+G141+G162</f>
        <v>0</v>
      </c>
      <c r="H163" s="294">
        <f>H119+H141+H162</f>
        <v>0</v>
      </c>
      <c r="I163" s="294">
        <f>I119+I141+I162</f>
        <v>0</v>
      </c>
      <c r="J163" s="294">
        <f>J119+J141+J162</f>
        <v>0</v>
      </c>
      <c r="K163" s="295">
        <f>K119+K141+K162</f>
        <v>0</v>
      </c>
      <c r="L163" s="128"/>
    </row>
    <row r="164" spans="1:15" ht="17.25" customHeight="1">
      <c r="B164" s="127"/>
      <c r="C164" s="671"/>
      <c r="D164" s="672"/>
      <c r="E164" s="672"/>
      <c r="F164" s="672"/>
      <c r="G164" s="672"/>
      <c r="H164" s="672"/>
      <c r="I164" s="672"/>
      <c r="J164" s="672"/>
      <c r="K164" s="673"/>
      <c r="L164" s="128"/>
    </row>
    <row r="165" spans="1:15" s="124" customFormat="1" ht="18">
      <c r="B165" s="127"/>
      <c r="C165" s="729" t="s">
        <v>3076</v>
      </c>
      <c r="D165" s="730"/>
      <c r="E165" s="730"/>
      <c r="F165" s="730" t="s">
        <v>3077</v>
      </c>
      <c r="G165" s="730"/>
      <c r="H165" s="730"/>
      <c r="I165" s="730"/>
      <c r="J165" s="730"/>
      <c r="K165" s="731"/>
      <c r="L165" s="128"/>
      <c r="M165" s="227"/>
      <c r="N165" s="227"/>
      <c r="O165" s="227"/>
    </row>
    <row r="166" spans="1:15" ht="17.25" customHeight="1">
      <c r="B166" s="127"/>
      <c r="C166" s="644" t="s">
        <v>3078</v>
      </c>
      <c r="D166" s="645"/>
      <c r="E166" s="645"/>
      <c r="F166" s="645"/>
      <c r="G166" s="281"/>
      <c r="H166" s="282"/>
      <c r="I166" s="282"/>
      <c r="J166" s="282"/>
      <c r="K166" s="283"/>
      <c r="L166" s="128"/>
    </row>
    <row r="167" spans="1:15" s="125" customFormat="1" ht="14.25">
      <c r="A167" s="124"/>
      <c r="B167" s="214"/>
      <c r="C167" s="689"/>
      <c r="D167" s="611" t="s">
        <v>3079</v>
      </c>
      <c r="E167" s="612"/>
      <c r="F167" s="613"/>
      <c r="G167" s="229">
        <f>G168-G172+G173-G174+G175+G176</f>
        <v>0</v>
      </c>
      <c r="H167" s="229">
        <f>H168-H172+H173-H174+H175+H176</f>
        <v>0</v>
      </c>
      <c r="I167" s="229">
        <f>I168-I172+I173-I174+I175+I176</f>
        <v>0</v>
      </c>
      <c r="J167" s="229">
        <f>J168-J172+J173-J174+J175+J176</f>
        <v>0</v>
      </c>
      <c r="K167" s="230">
        <f>K168-K172+K173-K174+K175+K176</f>
        <v>0</v>
      </c>
      <c r="L167" s="200"/>
    </row>
    <row r="168" spans="1:15" s="125" customFormat="1" ht="12.75" outlineLevel="1">
      <c r="B168" s="214"/>
      <c r="C168" s="689"/>
      <c r="D168" s="215"/>
      <c r="E168" s="741" t="s">
        <v>3080</v>
      </c>
      <c r="F168" s="742"/>
      <c r="G168" s="216">
        <f>SUM(G169:G171)</f>
        <v>0</v>
      </c>
      <c r="H168" s="216">
        <f>SUM(H169:H171)</f>
        <v>0</v>
      </c>
      <c r="I168" s="216">
        <f>SUM(I169:I171)</f>
        <v>0</v>
      </c>
      <c r="J168" s="216">
        <f>SUM(J169:J171)</f>
        <v>0</v>
      </c>
      <c r="K168" s="217">
        <f>SUM(K169:K171)</f>
        <v>0</v>
      </c>
      <c r="L168" s="200"/>
    </row>
    <row r="169" spans="1:15" s="218" customFormat="1" ht="14.25" customHeight="1" outlineLevel="1">
      <c r="B169" s="219"/>
      <c r="C169" s="689"/>
      <c r="E169" s="239"/>
      <c r="F169" s="221" t="s">
        <v>3081</v>
      </c>
      <c r="G169" s="348"/>
      <c r="H169" s="223"/>
      <c r="I169" s="356"/>
      <c r="J169" s="223"/>
      <c r="K169" s="224"/>
      <c r="L169" s="225"/>
    </row>
    <row r="170" spans="1:15" s="218" customFormat="1" ht="14.25" customHeight="1" outlineLevel="1">
      <c r="B170" s="219"/>
      <c r="C170" s="689"/>
      <c r="E170" s="240"/>
      <c r="F170" s="226" t="s">
        <v>3082</v>
      </c>
      <c r="G170" s="227"/>
      <c r="H170" s="227"/>
      <c r="I170" s="227"/>
      <c r="J170" s="227"/>
      <c r="K170" s="228"/>
      <c r="L170" s="225"/>
    </row>
    <row r="171" spans="1:15" s="218" customFormat="1" ht="14.25" customHeight="1" outlineLevel="1">
      <c r="B171" s="219"/>
      <c r="C171" s="689"/>
      <c r="E171" s="240"/>
      <c r="F171" s="226" t="s">
        <v>3083</v>
      </c>
      <c r="G171" s="227"/>
      <c r="H171" s="227"/>
      <c r="I171" s="359"/>
      <c r="J171" s="227"/>
      <c r="K171" s="228"/>
      <c r="L171" s="225"/>
    </row>
    <row r="172" spans="1:15" s="218" customFormat="1" ht="12" outlineLevel="1">
      <c r="B172" s="219"/>
      <c r="C172" s="689"/>
      <c r="E172" s="626" t="s">
        <v>3084</v>
      </c>
      <c r="F172" s="627"/>
      <c r="G172" s="349"/>
      <c r="H172" s="227"/>
      <c r="I172" s="227"/>
      <c r="J172" s="227"/>
      <c r="K172" s="228"/>
      <c r="L172" s="225"/>
      <c r="M172" s="227"/>
    </row>
    <row r="173" spans="1:15" s="218" customFormat="1" ht="14.25" customHeight="1" outlineLevel="1">
      <c r="B173" s="219"/>
      <c r="C173" s="689"/>
      <c r="E173" s="626" t="s">
        <v>3085</v>
      </c>
      <c r="F173" s="627"/>
      <c r="G173" s="227"/>
      <c r="H173" s="227"/>
      <c r="I173" s="227"/>
      <c r="J173" s="227"/>
      <c r="K173" s="228"/>
      <c r="L173" s="225"/>
    </row>
    <row r="174" spans="1:15" s="218" customFormat="1" ht="14.25" customHeight="1" outlineLevel="1">
      <c r="B174" s="219"/>
      <c r="C174" s="689"/>
      <c r="E174" s="626" t="s">
        <v>3086</v>
      </c>
      <c r="F174" s="627"/>
      <c r="G174" s="227"/>
      <c r="H174" s="227"/>
      <c r="I174" s="227"/>
      <c r="J174" s="227"/>
      <c r="K174" s="228"/>
      <c r="L174" s="225"/>
    </row>
    <row r="175" spans="1:15" s="218" customFormat="1" ht="14.25" customHeight="1" outlineLevel="1">
      <c r="B175" s="219"/>
      <c r="C175" s="689"/>
      <c r="E175" s="626" t="s">
        <v>3087</v>
      </c>
      <c r="F175" s="627"/>
      <c r="G175" s="349"/>
      <c r="H175" s="227"/>
      <c r="I175" s="227"/>
      <c r="J175" s="227"/>
      <c r="K175" s="228"/>
      <c r="L175" s="225"/>
    </row>
    <row r="176" spans="1:15" s="218" customFormat="1" ht="14.25" customHeight="1" outlineLevel="1">
      <c r="B176" s="219"/>
      <c r="C176" s="689"/>
      <c r="E176" s="626" t="s">
        <v>3088</v>
      </c>
      <c r="F176" s="627"/>
      <c r="G176" s="349"/>
      <c r="H176" s="227"/>
      <c r="I176" s="227"/>
      <c r="J176" s="227"/>
      <c r="K176" s="228"/>
      <c r="L176" s="225"/>
    </row>
    <row r="177" spans="1:12" s="125" customFormat="1" ht="12.75">
      <c r="A177" s="218"/>
      <c r="B177" s="214"/>
      <c r="C177" s="689"/>
      <c r="D177" s="611" t="s">
        <v>3089</v>
      </c>
      <c r="E177" s="612"/>
      <c r="F177" s="613"/>
      <c r="G177" s="229">
        <f>SUM(G178:G181)</f>
        <v>0</v>
      </c>
      <c r="H177" s="229">
        <f>SUM(H178:H181)</f>
        <v>0</v>
      </c>
      <c r="I177" s="229">
        <f>SUM(I178:I181)</f>
        <v>0</v>
      </c>
      <c r="J177" s="229">
        <f>SUM(J178:J181)</f>
        <v>0</v>
      </c>
      <c r="K177" s="230">
        <f>SUM(K178:K181)</f>
        <v>0</v>
      </c>
      <c r="L177" s="200"/>
    </row>
    <row r="178" spans="1:12" s="218" customFormat="1" ht="14.25" customHeight="1" outlineLevel="1">
      <c r="B178" s="219"/>
      <c r="C178" s="689"/>
      <c r="D178" s="220"/>
      <c r="E178" s="701" t="s">
        <v>3090</v>
      </c>
      <c r="F178" s="702"/>
      <c r="G178" s="223"/>
      <c r="H178" s="223"/>
      <c r="I178" s="223"/>
      <c r="J178" s="223"/>
      <c r="K178" s="224"/>
      <c r="L178" s="225"/>
    </row>
    <row r="179" spans="1:12" s="218" customFormat="1" ht="14.25" customHeight="1" outlineLevel="1">
      <c r="B179" s="219"/>
      <c r="C179" s="689"/>
      <c r="E179" s="621" t="s">
        <v>3091</v>
      </c>
      <c r="F179" s="622"/>
      <c r="G179" s="227"/>
      <c r="H179" s="227"/>
      <c r="I179" s="227"/>
      <c r="J179" s="227"/>
      <c r="K179" s="228"/>
      <c r="L179" s="225"/>
    </row>
    <row r="180" spans="1:12" s="218" customFormat="1" ht="14.25" customHeight="1" outlineLevel="1">
      <c r="B180" s="219"/>
      <c r="C180" s="689"/>
      <c r="E180" s="621" t="s">
        <v>3092</v>
      </c>
      <c r="F180" s="622"/>
      <c r="G180" s="227"/>
      <c r="H180" s="227"/>
      <c r="I180" s="227"/>
      <c r="J180" s="227"/>
      <c r="K180" s="228"/>
      <c r="L180" s="225"/>
    </row>
    <row r="181" spans="1:12" s="218" customFormat="1" ht="14.25" customHeight="1" outlineLevel="1">
      <c r="B181" s="219"/>
      <c r="C181" s="689"/>
      <c r="E181" s="621" t="s">
        <v>3093</v>
      </c>
      <c r="F181" s="622"/>
      <c r="G181" s="227"/>
      <c r="H181" s="227"/>
      <c r="I181" s="227"/>
      <c r="J181" s="227"/>
      <c r="K181" s="228"/>
      <c r="L181" s="225"/>
    </row>
    <row r="182" spans="1:12" s="125" customFormat="1" ht="12.75">
      <c r="A182" s="218"/>
      <c r="B182" s="214"/>
      <c r="C182" s="689"/>
      <c r="D182" s="611" t="s">
        <v>3094</v>
      </c>
      <c r="E182" s="612"/>
      <c r="F182" s="613"/>
      <c r="G182" s="229">
        <f>SUM(G183,G187)</f>
        <v>0</v>
      </c>
      <c r="H182" s="229">
        <f>SUM(H183,H187)</f>
        <v>0</v>
      </c>
      <c r="I182" s="229">
        <f>SUM(I183,I187)</f>
        <v>0</v>
      </c>
      <c r="J182" s="229">
        <f>SUM(J183,J187)</f>
        <v>0</v>
      </c>
      <c r="K182" s="230">
        <f>SUM(K183,K187)</f>
        <v>0</v>
      </c>
      <c r="L182" s="200"/>
    </row>
    <row r="183" spans="1:12" s="218" customFormat="1" ht="14.25" customHeight="1" outlineLevel="1">
      <c r="B183" s="219"/>
      <c r="C183" s="689"/>
      <c r="D183" s="220"/>
      <c r="E183" s="616" t="s">
        <v>3095</v>
      </c>
      <c r="F183" s="617"/>
      <c r="G183" s="296">
        <f>SUM(G184:G186)</f>
        <v>0</v>
      </c>
      <c r="H183" s="296">
        <f>SUM(H184:H186)</f>
        <v>0</v>
      </c>
      <c r="I183" s="296">
        <f>SUM(I184:I186)</f>
        <v>0</v>
      </c>
      <c r="J183" s="296">
        <f>SUM(J184:J186)</f>
        <v>0</v>
      </c>
      <c r="K183" s="297">
        <f>SUM(K184:K186)</f>
        <v>0</v>
      </c>
      <c r="L183" s="225"/>
    </row>
    <row r="184" spans="1:12" s="218" customFormat="1" ht="14.25" customHeight="1" outlineLevel="1">
      <c r="B184" s="219"/>
      <c r="C184" s="689"/>
      <c r="E184" s="239"/>
      <c r="F184" s="221" t="s">
        <v>3096</v>
      </c>
      <c r="G184" s="296"/>
      <c r="H184" s="296"/>
      <c r="I184" s="296"/>
      <c r="J184" s="296"/>
      <c r="K184" s="297"/>
      <c r="L184" s="225"/>
    </row>
    <row r="185" spans="1:12" s="218" customFormat="1" ht="14.25" customHeight="1" outlineLevel="1">
      <c r="B185" s="219"/>
      <c r="C185" s="689"/>
      <c r="E185" s="240"/>
      <c r="F185" s="226" t="s">
        <v>3097</v>
      </c>
      <c r="G185" s="360"/>
      <c r="H185" s="360"/>
      <c r="I185" s="360"/>
      <c r="J185" s="360"/>
      <c r="K185" s="361"/>
      <c r="L185" s="225"/>
    </row>
    <row r="186" spans="1:12" s="218" customFormat="1" ht="14.25" customHeight="1" outlineLevel="1">
      <c r="B186" s="219"/>
      <c r="C186" s="689"/>
      <c r="E186" s="240"/>
      <c r="F186" s="226" t="s">
        <v>3098</v>
      </c>
      <c r="G186" s="360"/>
      <c r="H186" s="360"/>
      <c r="I186" s="360"/>
      <c r="J186" s="360"/>
      <c r="K186" s="361"/>
      <c r="L186" s="225"/>
    </row>
    <row r="187" spans="1:12" s="218" customFormat="1" ht="14.25" customHeight="1" outlineLevel="1">
      <c r="B187" s="219"/>
      <c r="C187" s="689"/>
      <c r="E187" s="626" t="s">
        <v>3099</v>
      </c>
      <c r="F187" s="627"/>
      <c r="G187" s="227"/>
      <c r="H187" s="227"/>
      <c r="I187" s="227"/>
      <c r="J187" s="227"/>
      <c r="K187" s="228"/>
      <c r="L187" s="225"/>
    </row>
    <row r="188" spans="1:12" s="125" customFormat="1" ht="12.75">
      <c r="A188" s="218"/>
      <c r="B188" s="214"/>
      <c r="C188" s="689"/>
      <c r="D188" s="650" t="s">
        <v>3100</v>
      </c>
      <c r="E188" s="650"/>
      <c r="F188" s="651"/>
      <c r="G188" s="299"/>
      <c r="H188" s="299"/>
      <c r="I188" s="299"/>
      <c r="J188" s="299"/>
      <c r="K188" s="300"/>
      <c r="L188" s="200"/>
    </row>
    <row r="189" spans="1:12" s="125" customFormat="1" ht="12.75">
      <c r="A189" s="218"/>
      <c r="B189" s="214"/>
      <c r="C189" s="689"/>
      <c r="D189" s="650" t="s">
        <v>3101</v>
      </c>
      <c r="E189" s="650"/>
      <c r="F189" s="651"/>
      <c r="G189" s="299">
        <f>SUM(G190:G192)</f>
        <v>0</v>
      </c>
      <c r="H189" s="299">
        <f>SUM(H190:H192)</f>
        <v>0</v>
      </c>
      <c r="I189" s="299">
        <f>SUM(I190:I192)</f>
        <v>0</v>
      </c>
      <c r="J189" s="299">
        <f>SUM(J190:J192)</f>
        <v>0</v>
      </c>
      <c r="K189" s="300">
        <f>SUM(K190:K192)</f>
        <v>0</v>
      </c>
      <c r="L189" s="200"/>
    </row>
    <row r="190" spans="1:12" s="218" customFormat="1" ht="12" outlineLevel="1">
      <c r="B190" s="219"/>
      <c r="C190" s="689"/>
      <c r="D190" s="239"/>
      <c r="E190" s="701" t="s">
        <v>3102</v>
      </c>
      <c r="F190" s="702"/>
      <c r="G190" s="362"/>
      <c r="H190" s="362"/>
      <c r="I190" s="362"/>
      <c r="J190" s="362"/>
      <c r="K190" s="363"/>
      <c r="L190" s="225"/>
    </row>
    <row r="191" spans="1:12" s="218" customFormat="1" ht="12" outlineLevel="1">
      <c r="B191" s="219"/>
      <c r="C191" s="689"/>
      <c r="D191" s="240"/>
      <c r="E191" s="621" t="s">
        <v>3103</v>
      </c>
      <c r="F191" s="622"/>
      <c r="G191" s="364"/>
      <c r="H191" s="364"/>
      <c r="I191" s="364"/>
      <c r="J191" s="364"/>
      <c r="K191" s="365"/>
      <c r="L191" s="225"/>
    </row>
    <row r="192" spans="1:12" s="218" customFormat="1" ht="12.75" outlineLevel="1">
      <c r="B192" s="219"/>
      <c r="C192" s="713"/>
      <c r="D192" s="242"/>
      <c r="E192" s="716" t="s">
        <v>3104</v>
      </c>
      <c r="F192" s="717"/>
      <c r="G192" s="366"/>
      <c r="H192" s="315"/>
      <c r="I192" s="315"/>
      <c r="J192" s="366"/>
      <c r="K192" s="345"/>
      <c r="L192" s="225"/>
    </row>
    <row r="193" spans="1:12" ht="17.25" customHeight="1">
      <c r="A193" s="125"/>
      <c r="B193" s="127"/>
      <c r="C193" s="609" t="s">
        <v>3105</v>
      </c>
      <c r="D193" s="610"/>
      <c r="E193" s="610"/>
      <c r="F193" s="610" t="s">
        <v>3106</v>
      </c>
      <c r="G193" s="233">
        <f>SUM(G167,G177,G182,G188,G189)</f>
        <v>0</v>
      </c>
      <c r="H193" s="233">
        <f>SUM(H167,H177,H182,H188,H189)</f>
        <v>0</v>
      </c>
      <c r="I193" s="233">
        <f>SUM(I167,I177,I182,I188,I189)</f>
        <v>0</v>
      </c>
      <c r="J193" s="233">
        <f>SUM(J167,J177,J182,J188,J189)</f>
        <v>0</v>
      </c>
      <c r="K193" s="234">
        <f>SUM(K167,K177,K182,K188,K189)</f>
        <v>0</v>
      </c>
      <c r="L193" s="128"/>
    </row>
    <row r="194" spans="1:12" ht="7.5" customHeight="1">
      <c r="B194" s="127"/>
      <c r="C194" s="671"/>
      <c r="D194" s="672"/>
      <c r="E194" s="672"/>
      <c r="F194" s="672"/>
      <c r="G194" s="672"/>
      <c r="H194" s="672"/>
      <c r="I194" s="672"/>
      <c r="J194" s="672"/>
      <c r="K194" s="673"/>
      <c r="L194" s="128"/>
    </row>
    <row r="195" spans="1:12" ht="17.25" customHeight="1">
      <c r="B195" s="127"/>
      <c r="C195" s="689" t="s">
        <v>3107</v>
      </c>
      <c r="D195" s="690"/>
      <c r="E195" s="690"/>
      <c r="F195" s="690"/>
      <c r="G195" s="286"/>
      <c r="H195" s="287"/>
      <c r="I195" s="287"/>
      <c r="J195" s="287"/>
      <c r="K195" s="288"/>
      <c r="L195" s="128"/>
    </row>
    <row r="196" spans="1:12" s="125" customFormat="1" ht="14.25">
      <c r="A196" s="124"/>
      <c r="B196" s="214"/>
      <c r="C196" s="665"/>
      <c r="D196" s="611" t="s">
        <v>3108</v>
      </c>
      <c r="E196" s="612"/>
      <c r="F196" s="613"/>
      <c r="G196" s="229">
        <f>SUM(G197,G200,G201,G202)</f>
        <v>0</v>
      </c>
      <c r="H196" s="229">
        <f>SUM(H197,H200,H201,H202)</f>
        <v>0</v>
      </c>
      <c r="I196" s="229">
        <f>SUM(I197,I200,I201,I202)</f>
        <v>0</v>
      </c>
      <c r="J196" s="229">
        <f>SUM(J197,J200,J201,J202)</f>
        <v>0</v>
      </c>
      <c r="K196" s="230">
        <f>SUM(K197,K200,K201,K202)</f>
        <v>0</v>
      </c>
      <c r="L196" s="200"/>
    </row>
    <row r="197" spans="1:12" s="218" customFormat="1" ht="14.25" customHeight="1" outlineLevel="1">
      <c r="B197" s="219"/>
      <c r="C197" s="665"/>
      <c r="D197" s="220"/>
      <c r="E197" s="701" t="s">
        <v>3109</v>
      </c>
      <c r="F197" s="702"/>
      <c r="G197" s="223">
        <f>SUM(G198:G199)</f>
        <v>0</v>
      </c>
      <c r="H197" s="223">
        <f>SUM(H198:H199)</f>
        <v>0</v>
      </c>
      <c r="I197" s="223">
        <f>SUM(I198:I199)</f>
        <v>0</v>
      </c>
      <c r="J197" s="223">
        <f>SUM(J198:J199)</f>
        <v>0</v>
      </c>
      <c r="K197" s="224">
        <f>SUM(K198:K199)</f>
        <v>0</v>
      </c>
      <c r="L197" s="225"/>
    </row>
    <row r="198" spans="1:12" s="218" customFormat="1" ht="14.25" customHeight="1" outlineLevel="2">
      <c r="B198" s="219"/>
      <c r="C198" s="665"/>
      <c r="E198" s="247"/>
      <c r="F198" s="248" t="s">
        <v>3110</v>
      </c>
      <c r="G198" s="223"/>
      <c r="H198" s="223"/>
      <c r="I198" s="223"/>
      <c r="J198" s="223"/>
      <c r="K198" s="224"/>
      <c r="L198" s="225"/>
    </row>
    <row r="199" spans="1:12" s="218" customFormat="1" ht="14.25" customHeight="1" outlineLevel="2">
      <c r="B199" s="219"/>
      <c r="C199" s="665"/>
      <c r="E199" s="250"/>
      <c r="F199" s="251" t="s">
        <v>3111</v>
      </c>
      <c r="G199" s="227"/>
      <c r="H199" s="227"/>
      <c r="I199" s="227"/>
      <c r="J199" s="227"/>
      <c r="K199" s="228"/>
      <c r="L199" s="225"/>
    </row>
    <row r="200" spans="1:12" s="218" customFormat="1" ht="14.25" customHeight="1" outlineLevel="1">
      <c r="B200" s="219"/>
      <c r="C200" s="665"/>
      <c r="E200" s="621" t="s">
        <v>3112</v>
      </c>
      <c r="F200" s="622"/>
      <c r="G200" s="227"/>
      <c r="H200" s="227"/>
      <c r="I200" s="227"/>
      <c r="J200" s="227"/>
      <c r="K200" s="228"/>
      <c r="L200" s="225"/>
    </row>
    <row r="201" spans="1:12" s="218" customFormat="1" ht="14.25" customHeight="1" outlineLevel="1">
      <c r="B201" s="219"/>
      <c r="C201" s="665"/>
      <c r="E201" s="621" t="s">
        <v>3113</v>
      </c>
      <c r="F201" s="622"/>
      <c r="G201" s="227"/>
      <c r="H201" s="227"/>
      <c r="I201" s="227"/>
      <c r="J201" s="227"/>
      <c r="K201" s="228"/>
      <c r="L201" s="225"/>
    </row>
    <row r="202" spans="1:12" s="218" customFormat="1" ht="14.25" customHeight="1" outlineLevel="1">
      <c r="B202" s="219"/>
      <c r="C202" s="665"/>
      <c r="E202" s="621" t="s">
        <v>3114</v>
      </c>
      <c r="F202" s="622"/>
      <c r="G202" s="227"/>
      <c r="H202" s="227"/>
      <c r="I202" s="227"/>
      <c r="J202" s="227"/>
      <c r="K202" s="228"/>
      <c r="L202" s="225"/>
    </row>
    <row r="203" spans="1:12" s="125" customFormat="1" ht="12.75">
      <c r="A203" s="218"/>
      <c r="B203" s="214"/>
      <c r="C203" s="665"/>
      <c r="D203" s="650" t="s">
        <v>3115</v>
      </c>
      <c r="E203" s="650"/>
      <c r="F203" s="651"/>
      <c r="G203" s="299">
        <f>SUM(G204:G207)</f>
        <v>0</v>
      </c>
      <c r="H203" s="299">
        <f>SUM(H204:H207)</f>
        <v>0</v>
      </c>
      <c r="I203" s="299">
        <f>SUM(I204:I207)</f>
        <v>0</v>
      </c>
      <c r="J203" s="299">
        <f>SUM(J204:J207)</f>
        <v>0</v>
      </c>
      <c r="K203" s="300">
        <f>SUM(K204:K207)</f>
        <v>0</v>
      </c>
      <c r="L203" s="200"/>
    </row>
    <row r="204" spans="1:12" s="218" customFormat="1" ht="12" outlineLevel="1">
      <c r="B204" s="219"/>
      <c r="C204" s="665"/>
      <c r="D204" s="239"/>
      <c r="E204" s="652" t="s">
        <v>3116</v>
      </c>
      <c r="F204" s="653"/>
      <c r="G204" s="362"/>
      <c r="H204" s="362"/>
      <c r="I204" s="362"/>
      <c r="J204" s="362"/>
      <c r="K204" s="363"/>
      <c r="L204" s="225"/>
    </row>
    <row r="205" spans="1:12" s="218" customFormat="1" ht="12" outlineLevel="1">
      <c r="B205" s="219"/>
      <c r="C205" s="665"/>
      <c r="D205" s="240"/>
      <c r="E205" s="669" t="s">
        <v>3117</v>
      </c>
      <c r="F205" s="670"/>
      <c r="G205" s="364"/>
      <c r="H205" s="364"/>
      <c r="I205" s="364"/>
      <c r="J205" s="364"/>
      <c r="K205" s="365"/>
      <c r="L205" s="225"/>
    </row>
    <row r="206" spans="1:12" s="218" customFormat="1" ht="12" outlineLevel="1">
      <c r="B206" s="219"/>
      <c r="C206" s="665"/>
      <c r="D206" s="240"/>
      <c r="E206" s="669" t="s">
        <v>3118</v>
      </c>
      <c r="F206" s="670"/>
      <c r="G206" s="364"/>
      <c r="H206" s="364"/>
      <c r="I206" s="364"/>
      <c r="J206" s="364"/>
      <c r="K206" s="365"/>
      <c r="L206" s="225"/>
    </row>
    <row r="207" spans="1:12" s="218" customFormat="1" ht="12" outlineLevel="1">
      <c r="B207" s="219"/>
      <c r="C207" s="665"/>
      <c r="D207" s="240"/>
      <c r="E207" s="669" t="s">
        <v>3119</v>
      </c>
      <c r="F207" s="670"/>
      <c r="G207" s="364"/>
      <c r="H207" s="364"/>
      <c r="I207" s="364"/>
      <c r="J207" s="364"/>
      <c r="K207" s="365"/>
      <c r="L207" s="225"/>
    </row>
    <row r="208" spans="1:12" s="125" customFormat="1" ht="12.75">
      <c r="B208" s="214"/>
      <c r="C208" s="665"/>
      <c r="D208" s="611" t="s">
        <v>3120</v>
      </c>
      <c r="E208" s="612"/>
      <c r="F208" s="613"/>
      <c r="G208" s="229">
        <f>SUM(G209:G210)-G212</f>
        <v>0</v>
      </c>
      <c r="H208" s="229">
        <f>SUM(H209:H210)-H212</f>
        <v>0</v>
      </c>
      <c r="I208" s="229">
        <f>SUM(I209:I210)-I212</f>
        <v>0</v>
      </c>
      <c r="J208" s="229">
        <f>SUM(J209:J210)-J212</f>
        <v>0</v>
      </c>
      <c r="K208" s="230">
        <f>SUM(K209:K210)-K212</f>
        <v>0</v>
      </c>
      <c r="L208" s="200"/>
    </row>
    <row r="209" spans="1:12" s="218" customFormat="1" ht="14.25" customHeight="1" outlineLevel="1">
      <c r="B209" s="219"/>
      <c r="C209" s="665"/>
      <c r="D209" s="220"/>
      <c r="E209" s="616" t="s">
        <v>3121</v>
      </c>
      <c r="F209" s="617"/>
      <c r="G209" s="362"/>
      <c r="H209" s="362"/>
      <c r="I209" s="362"/>
      <c r="J209" s="362"/>
      <c r="K209" s="363"/>
      <c r="L209" s="225"/>
    </row>
    <row r="210" spans="1:12" s="218" customFormat="1" ht="14.25" customHeight="1" outlineLevel="1">
      <c r="B210" s="219"/>
      <c r="C210" s="665"/>
      <c r="E210" s="626" t="s">
        <v>3122</v>
      </c>
      <c r="F210" s="627"/>
      <c r="G210" s="364"/>
      <c r="H210" s="364"/>
      <c r="I210" s="364"/>
      <c r="J210" s="364"/>
      <c r="K210" s="365"/>
      <c r="L210" s="225"/>
    </row>
    <row r="211" spans="1:12" s="218" customFormat="1" ht="14.25" customHeight="1" outlineLevel="1">
      <c r="B211" s="219"/>
      <c r="C211" s="665"/>
      <c r="E211" s="626" t="s">
        <v>3123</v>
      </c>
      <c r="F211" s="627"/>
      <c r="G211" s="364"/>
      <c r="H211" s="364"/>
      <c r="I211" s="364"/>
      <c r="J211" s="364"/>
      <c r="K211" s="365"/>
      <c r="L211" s="225"/>
    </row>
    <row r="212" spans="1:12" s="218" customFormat="1" ht="14.25" customHeight="1" outlineLevel="1">
      <c r="B212" s="219"/>
      <c r="C212" s="665"/>
      <c r="E212" s="621" t="s">
        <v>3124</v>
      </c>
      <c r="F212" s="622"/>
      <c r="G212" s="364"/>
      <c r="H212" s="364"/>
      <c r="I212" s="364"/>
      <c r="J212" s="364"/>
      <c r="K212" s="365"/>
      <c r="L212" s="225"/>
    </row>
    <row r="213" spans="1:12" s="125" customFormat="1" ht="12.75">
      <c r="A213" s="218"/>
      <c r="B213" s="214"/>
      <c r="C213" s="665"/>
      <c r="D213" s="611" t="s">
        <v>3125</v>
      </c>
      <c r="E213" s="612"/>
      <c r="F213" s="613"/>
      <c r="G213" s="299"/>
      <c r="H213" s="299"/>
      <c r="I213" s="299"/>
      <c r="J213" s="299"/>
      <c r="K213" s="300"/>
      <c r="L213" s="200"/>
    </row>
    <row r="214" spans="1:12" s="125" customFormat="1" ht="12.75">
      <c r="B214" s="214"/>
      <c r="C214" s="665"/>
      <c r="D214" s="611" t="s">
        <v>3126</v>
      </c>
      <c r="E214" s="612"/>
      <c r="F214" s="613"/>
      <c r="G214" s="229">
        <f>SUM(G215,G219)</f>
        <v>0</v>
      </c>
      <c r="H214" s="229">
        <f>SUM(H215,H219)</f>
        <v>0</v>
      </c>
      <c r="I214" s="229">
        <f>SUM(I215,I219)</f>
        <v>0</v>
      </c>
      <c r="J214" s="229">
        <f>SUM(J215,J219)</f>
        <v>0</v>
      </c>
      <c r="K214" s="230">
        <f>SUM(K215,K219)</f>
        <v>0</v>
      </c>
      <c r="L214" s="200"/>
    </row>
    <row r="215" spans="1:12" s="218" customFormat="1" ht="14.25" customHeight="1" outlineLevel="1">
      <c r="A215" s="125"/>
      <c r="B215" s="219"/>
      <c r="C215" s="665"/>
      <c r="D215" s="220"/>
      <c r="E215" s="616" t="s">
        <v>3127</v>
      </c>
      <c r="F215" s="617"/>
      <c r="G215" s="223">
        <f>SUM(G216:G218)</f>
        <v>0</v>
      </c>
      <c r="H215" s="223">
        <f>SUM(H216:H218)</f>
        <v>0</v>
      </c>
      <c r="I215" s="223">
        <f>SUM(I216:I218)</f>
        <v>0</v>
      </c>
      <c r="J215" s="223">
        <f>SUM(J216:J218)</f>
        <v>0</v>
      </c>
      <c r="K215" s="224">
        <f>SUM(K216:K218)</f>
        <v>0</v>
      </c>
      <c r="L215" s="225"/>
    </row>
    <row r="216" spans="1:12" s="218" customFormat="1" ht="14.25" customHeight="1" outlineLevel="1">
      <c r="A216" s="125"/>
      <c r="B216" s="219"/>
      <c r="C216" s="665"/>
      <c r="E216" s="239"/>
      <c r="F216" s="221" t="s">
        <v>3128</v>
      </c>
      <c r="G216" s="223"/>
      <c r="H216" s="223"/>
      <c r="I216" s="223"/>
      <c r="J216" s="223"/>
      <c r="K216" s="224"/>
      <c r="L216" s="225"/>
    </row>
    <row r="217" spans="1:12" s="218" customFormat="1" ht="14.25" customHeight="1" outlineLevel="1">
      <c r="A217" s="125"/>
      <c r="B217" s="219"/>
      <c r="C217" s="665"/>
      <c r="E217" s="240"/>
      <c r="F217" s="226" t="s">
        <v>3129</v>
      </c>
      <c r="G217" s="227"/>
      <c r="H217" s="227"/>
      <c r="I217" s="227"/>
      <c r="J217" s="227"/>
      <c r="K217" s="228"/>
      <c r="L217" s="225"/>
    </row>
    <row r="218" spans="1:12" s="218" customFormat="1" ht="14.25" customHeight="1" outlineLevel="1">
      <c r="A218" s="125"/>
      <c r="B218" s="219"/>
      <c r="C218" s="665"/>
      <c r="E218" s="240"/>
      <c r="F218" s="226" t="s">
        <v>3130</v>
      </c>
      <c r="G218" s="227"/>
      <c r="H218" s="227"/>
      <c r="I218" s="227"/>
      <c r="J218" s="227"/>
      <c r="K218" s="228"/>
      <c r="L218" s="225"/>
    </row>
    <row r="219" spans="1:12" s="218" customFormat="1" ht="14.25" customHeight="1" outlineLevel="1">
      <c r="B219" s="219"/>
      <c r="C219" s="665"/>
      <c r="E219" s="626" t="s">
        <v>3131</v>
      </c>
      <c r="F219" s="627"/>
      <c r="G219" s="227"/>
      <c r="H219" s="227"/>
      <c r="I219" s="227"/>
      <c r="J219" s="227"/>
      <c r="K219" s="228"/>
      <c r="L219" s="225"/>
    </row>
    <row r="220" spans="1:12" s="125" customFormat="1" ht="12.75">
      <c r="A220" s="218"/>
      <c r="B220" s="214"/>
      <c r="C220" s="743"/>
      <c r="D220" s="611" t="s">
        <v>3132</v>
      </c>
      <c r="E220" s="612"/>
      <c r="F220" s="613"/>
      <c r="G220" s="315"/>
      <c r="H220" s="315"/>
      <c r="I220" s="315"/>
      <c r="J220" s="315"/>
      <c r="K220" s="316"/>
      <c r="L220" s="200"/>
    </row>
    <row r="221" spans="1:12" ht="17.25" customHeight="1">
      <c r="A221" s="125"/>
      <c r="B221" s="127"/>
      <c r="C221" s="708" t="s">
        <v>3133</v>
      </c>
      <c r="D221" s="709"/>
      <c r="E221" s="709"/>
      <c r="F221" s="710" t="s">
        <v>3134</v>
      </c>
      <c r="G221" s="233">
        <f>SUM(G196,G203,G208,G213:G214,G220)</f>
        <v>0</v>
      </c>
      <c r="H221" s="233">
        <f>SUM(H196,H203,H208,H213:H214,H220)</f>
        <v>0</v>
      </c>
      <c r="I221" s="233">
        <f>SUM(I196,I203,I208,I213:I214,I220)</f>
        <v>0</v>
      </c>
      <c r="J221" s="233">
        <f>SUM(J196,J203,J208,J213:J214,J220)</f>
        <v>0</v>
      </c>
      <c r="K221" s="234">
        <f>SUM(K196,K203,K208,K213:K214,K220)</f>
        <v>0</v>
      </c>
      <c r="L221" s="128"/>
    </row>
    <row r="222" spans="1:12" ht="17.25" customHeight="1">
      <c r="A222" s="125"/>
      <c r="B222" s="127"/>
      <c r="C222" s="687" t="s">
        <v>3135</v>
      </c>
      <c r="D222" s="688"/>
      <c r="E222" s="688"/>
      <c r="F222" s="688" t="s">
        <v>3136</v>
      </c>
      <c r="G222" s="294">
        <f>SUM(G193,G221)</f>
        <v>0</v>
      </c>
      <c r="H222" s="294">
        <f>SUM(H193,H221)</f>
        <v>0</v>
      </c>
      <c r="I222" s="294">
        <f>SUM(I193,I221)</f>
        <v>0</v>
      </c>
      <c r="J222" s="294">
        <f>SUM(J193,J221)</f>
        <v>0</v>
      </c>
      <c r="K222" s="295">
        <f>SUM(K193,K221)</f>
        <v>0</v>
      </c>
      <c r="L222" s="128"/>
    </row>
    <row r="223" spans="1:12" ht="14.25" customHeight="1">
      <c r="B223" s="127"/>
      <c r="F223" s="301"/>
      <c r="G223" s="302"/>
      <c r="H223" s="303"/>
      <c r="I223" s="303"/>
      <c r="J223" s="303"/>
      <c r="K223" s="303"/>
      <c r="L223" s="128"/>
    </row>
    <row r="224" spans="1:12" s="218" customFormat="1" ht="12">
      <c r="B224" s="219"/>
      <c r="C224" s="711" t="s">
        <v>3137</v>
      </c>
      <c r="D224" s="712"/>
      <c r="E224" s="712"/>
      <c r="F224" s="712"/>
      <c r="G224" s="304">
        <f>G163-G222</f>
        <v>0</v>
      </c>
      <c r="H224" s="304">
        <f>H163-H222</f>
        <v>0</v>
      </c>
      <c r="I224" s="304">
        <f>I163-I222</f>
        <v>0</v>
      </c>
      <c r="J224" s="304">
        <f>J163-J222</f>
        <v>0</v>
      </c>
      <c r="K224" s="305">
        <f>K163-K222</f>
        <v>0</v>
      </c>
      <c r="L224" s="225"/>
    </row>
    <row r="225" spans="1:12" s="285" customFormat="1" ht="14.25" customHeight="1">
      <c r="A225" s="125"/>
      <c r="B225" s="127"/>
      <c r="C225" s="124"/>
      <c r="D225" s="124"/>
      <c r="E225" s="124"/>
      <c r="F225" s="240"/>
      <c r="G225" s="306"/>
      <c r="H225" s="268"/>
      <c r="I225" s="268"/>
      <c r="J225" s="268"/>
      <c r="K225" s="268"/>
      <c r="L225" s="128"/>
    </row>
    <row r="226" spans="1:12" s="285" customFormat="1" ht="19.5">
      <c r="A226" s="124"/>
      <c r="B226" s="127"/>
      <c r="C226" s="720" t="s">
        <v>3138</v>
      </c>
      <c r="D226" s="721"/>
      <c r="E226" s="721"/>
      <c r="F226" s="721"/>
      <c r="G226" s="721"/>
      <c r="H226" s="721"/>
      <c r="I226" s="721"/>
      <c r="J226" s="721"/>
      <c r="K226" s="722"/>
      <c r="L226" s="128"/>
    </row>
    <row r="227" spans="1:12" s="285" customFormat="1" ht="17.25" customHeight="1">
      <c r="A227" s="124"/>
      <c r="B227" s="127"/>
      <c r="C227" s="623" t="s">
        <v>3139</v>
      </c>
      <c r="D227" s="624"/>
      <c r="E227" s="624"/>
      <c r="F227" s="625" t="s">
        <v>3140</v>
      </c>
      <c r="G227" s="279" t="str">
        <f>G6</f>
        <v>-</v>
      </c>
      <c r="H227" s="279" t="str">
        <f>H6</f>
        <v>-</v>
      </c>
      <c r="I227" s="279">
        <f>I6</f>
        <v>0</v>
      </c>
      <c r="J227" s="279">
        <f>J6</f>
        <v>366</v>
      </c>
      <c r="K227" s="280">
        <f>K6</f>
        <v>731</v>
      </c>
      <c r="L227" s="128"/>
    </row>
    <row r="228" spans="1:12" s="309" customFormat="1" ht="16.5">
      <c r="A228" s="124"/>
      <c r="B228" s="307"/>
      <c r="C228" s="703" t="s">
        <v>3141</v>
      </c>
      <c r="D228" s="704"/>
      <c r="E228" s="704"/>
      <c r="F228" s="704"/>
      <c r="G228" s="704"/>
      <c r="H228" s="704"/>
      <c r="I228" s="704"/>
      <c r="J228" s="704"/>
      <c r="K228" s="705"/>
      <c r="L228" s="308"/>
    </row>
    <row r="229" spans="1:12" s="285" customFormat="1" ht="16.5">
      <c r="A229" s="310"/>
      <c r="B229" s="214"/>
      <c r="C229" s="649" t="s">
        <v>3142</v>
      </c>
      <c r="D229" s="650"/>
      <c r="E229" s="650"/>
      <c r="F229" s="651"/>
      <c r="G229" s="311"/>
      <c r="H229" s="261" t="str">
        <f>IFERROR((H23-G23)/G23,"-")</f>
        <v>-</v>
      </c>
      <c r="I229" s="261" t="str">
        <f>IFERROR((I23-H23)/H23,"-")</f>
        <v>-</v>
      </c>
      <c r="J229" s="261" t="str">
        <f>IFERROR((J23-I23)/I23,"-")</f>
        <v>-</v>
      </c>
      <c r="K229" s="262" t="str">
        <f>IFERROR((K23-J23)/J23,"-")</f>
        <v>-</v>
      </c>
      <c r="L229" s="200"/>
    </row>
    <row r="230" spans="1:12" s="285" customFormat="1" ht="12.75">
      <c r="A230" s="125"/>
      <c r="B230" s="214"/>
      <c r="C230" s="649" t="s">
        <v>3143</v>
      </c>
      <c r="D230" s="650"/>
      <c r="E230" s="650"/>
      <c r="F230" s="651"/>
      <c r="G230" s="311"/>
      <c r="H230" s="261" t="str">
        <f>IFERROR(H55/G55-1,"-")</f>
        <v>-</v>
      </c>
      <c r="I230" s="261" t="str">
        <f>IFERROR(I55/H55-1,"-")</f>
        <v>-</v>
      </c>
      <c r="J230" s="261" t="str">
        <f>IFERROR(J55/I55-1,"-")</f>
        <v>-</v>
      </c>
      <c r="K230" s="262" t="str">
        <f>IFERROR(K55/J55-1,"-")</f>
        <v>-</v>
      </c>
      <c r="L230" s="200"/>
    </row>
    <row r="231" spans="1:12" s="285" customFormat="1" ht="12.75">
      <c r="A231" s="125"/>
      <c r="B231" s="214"/>
      <c r="C231" s="649" t="s">
        <v>3144</v>
      </c>
      <c r="D231" s="650"/>
      <c r="E231" s="650"/>
      <c r="F231" s="651"/>
      <c r="G231" s="311"/>
      <c r="H231" s="261" t="str">
        <f>IFERROR((H92-G92)/G92,"-")</f>
        <v>-</v>
      </c>
      <c r="I231" s="261" t="str">
        <f>IFERROR((I92-H92)/H92,"-")</f>
        <v>-</v>
      </c>
      <c r="J231" s="261" t="str">
        <f>IFERROR((J92-I92)/I92,"-")</f>
        <v>-</v>
      </c>
      <c r="K231" s="262" t="str">
        <f>IFERROR((K92-J92)/J92,"-")</f>
        <v>-</v>
      </c>
      <c r="L231" s="200"/>
    </row>
    <row r="232" spans="1:12" ht="7.5" customHeight="1">
      <c r="A232" s="125"/>
      <c r="B232" s="127"/>
      <c r="C232" s="665"/>
      <c r="D232" s="666"/>
      <c r="E232" s="666"/>
      <c r="F232" s="667"/>
      <c r="G232" s="666"/>
      <c r="H232" s="666"/>
      <c r="I232" s="666"/>
      <c r="J232" s="666"/>
      <c r="K232" s="668"/>
      <c r="L232" s="128"/>
    </row>
    <row r="233" spans="1:12" s="309" customFormat="1" ht="16.5">
      <c r="A233" s="124"/>
      <c r="B233" s="307"/>
      <c r="C233" s="703" t="s">
        <v>3145</v>
      </c>
      <c r="D233" s="704"/>
      <c r="E233" s="704"/>
      <c r="F233" s="704"/>
      <c r="G233" s="704"/>
      <c r="H233" s="704"/>
      <c r="I233" s="704"/>
      <c r="J233" s="704"/>
      <c r="K233" s="705"/>
      <c r="L233" s="308"/>
    </row>
    <row r="234" spans="1:12" s="285" customFormat="1" ht="16.5">
      <c r="A234" s="310"/>
      <c r="B234" s="214"/>
      <c r="C234" s="649" t="s">
        <v>3146</v>
      </c>
      <c r="D234" s="650"/>
      <c r="E234" s="650"/>
      <c r="F234" s="651"/>
      <c r="G234" s="261" t="str">
        <f>IFERROR(G55/G23,"-")</f>
        <v>-</v>
      </c>
      <c r="H234" s="261" t="str">
        <f>IFERROR(H55/H23,"-")</f>
        <v>-</v>
      </c>
      <c r="I234" s="261" t="str">
        <f>IFERROR(I55/I23,"-")</f>
        <v>-</v>
      </c>
      <c r="J234" s="261" t="str">
        <f>IFERROR(J55/J23,"-")</f>
        <v>-</v>
      </c>
      <c r="K234" s="262" t="str">
        <f>IFERROR(K55/K23,"-")</f>
        <v>-</v>
      </c>
      <c r="L234" s="200"/>
    </row>
    <row r="235" spans="1:12" s="285" customFormat="1" ht="12.75">
      <c r="A235" s="125"/>
      <c r="B235" s="214"/>
      <c r="C235" s="618" t="s">
        <v>3147</v>
      </c>
      <c r="D235" s="619"/>
      <c r="E235" s="619"/>
      <c r="F235" s="620"/>
      <c r="G235" s="261" t="str">
        <f>IFERROR((G92-G73)/G23,"-")</f>
        <v>-</v>
      </c>
      <c r="H235" s="261" t="str">
        <f>IFERROR((H92-H73)/H23,"-")</f>
        <v>-</v>
      </c>
      <c r="I235" s="261" t="str">
        <f>IFERROR((I92-I73)/I23,"-")</f>
        <v>-</v>
      </c>
      <c r="J235" s="261" t="str">
        <f>IFERROR((J92-J73)/J23,"-")</f>
        <v>-</v>
      </c>
      <c r="K235" s="262" t="str">
        <f>IFERROR((K92-K73)/K23,"-")</f>
        <v>-</v>
      </c>
      <c r="L235" s="200"/>
    </row>
    <row r="236" spans="1:12" s="285" customFormat="1" ht="12.75">
      <c r="A236" s="125"/>
      <c r="B236" s="214"/>
      <c r="C236" s="649" t="s">
        <v>3148</v>
      </c>
      <c r="D236" s="650"/>
      <c r="E236" s="650"/>
      <c r="F236" s="651"/>
      <c r="G236" s="261" t="str">
        <f>IFERROR((G100-G73)/G23,"-")</f>
        <v>-</v>
      </c>
      <c r="H236" s="261" t="str">
        <f>IFERROR((H100-H73)/H23,"-")</f>
        <v>-</v>
      </c>
      <c r="I236" s="261" t="str">
        <f>IFERROR((I100-I73)/I23,"-")</f>
        <v>-</v>
      </c>
      <c r="J236" s="261" t="str">
        <f>IFERROR((J100-J73)/J23,"-")</f>
        <v>-</v>
      </c>
      <c r="K236" s="262" t="str">
        <f>IFERROR((K100-K73)/K23,"-")</f>
        <v>-</v>
      </c>
      <c r="L236" s="200"/>
    </row>
    <row r="237" spans="1:12" s="285" customFormat="1" ht="12.75">
      <c r="A237" s="125"/>
      <c r="B237" s="214"/>
      <c r="C237" s="649" t="s">
        <v>3149</v>
      </c>
      <c r="D237" s="650"/>
      <c r="E237" s="650"/>
      <c r="F237" s="651"/>
      <c r="G237" s="261" t="str">
        <f>IFERROR(G65/(G222-G162),"-")</f>
        <v>-</v>
      </c>
      <c r="H237" s="261" t="str">
        <f>IFERROR(H65/(H222-H162),"-")</f>
        <v>-</v>
      </c>
      <c r="I237" s="261" t="str">
        <f>IFERROR(I65/(I222-I162),"-")</f>
        <v>-</v>
      </c>
      <c r="J237" s="261" t="str">
        <f>IFERROR(J65/(J222-J162),"-")</f>
        <v>-</v>
      </c>
      <c r="K237" s="262" t="str">
        <f>IFERROR(K65/(K222-K162),"-")</f>
        <v>-</v>
      </c>
      <c r="L237" s="200"/>
    </row>
    <row r="238" spans="1:12" s="285" customFormat="1" ht="12.75">
      <c r="A238" s="125"/>
      <c r="B238" s="214"/>
      <c r="C238" s="649" t="s">
        <v>3150</v>
      </c>
      <c r="D238" s="650"/>
      <c r="E238" s="650"/>
      <c r="F238" s="651"/>
      <c r="G238" s="261" t="str">
        <f>IFERROR(G92/G119,"-")</f>
        <v>-</v>
      </c>
      <c r="H238" s="261" t="str">
        <f>IFERROR(H92/H119,"-")</f>
        <v>-</v>
      </c>
      <c r="I238" s="261" t="str">
        <f>IFERROR(I92/I119,"-")</f>
        <v>-</v>
      </c>
      <c r="J238" s="261" t="str">
        <f>IFERROR(J92/J119,"-")</f>
        <v>-</v>
      </c>
      <c r="K238" s="262" t="str">
        <f>IFERROR(K92/K119,"-")</f>
        <v>-</v>
      </c>
      <c r="L238" s="200"/>
    </row>
    <row r="239" spans="1:12" s="285" customFormat="1" ht="12.75">
      <c r="A239" s="125"/>
      <c r="B239" s="214"/>
      <c r="C239" s="649" t="s">
        <v>3151</v>
      </c>
      <c r="D239" s="650"/>
      <c r="E239" s="650"/>
      <c r="F239" s="651"/>
      <c r="G239" s="261" t="str">
        <f>IFERROR(G92/G222,"-")</f>
        <v>-</v>
      </c>
      <c r="H239" s="261" t="str">
        <f>IFERROR(H92/H222,"-")</f>
        <v>-</v>
      </c>
      <c r="I239" s="261" t="str">
        <f>IFERROR(I92/I222,"-")</f>
        <v>-</v>
      </c>
      <c r="J239" s="261" t="str">
        <f>IFERROR(J92/J222,"-")</f>
        <v>-</v>
      </c>
      <c r="K239" s="262" t="str">
        <f>IFERROR(K92/K222,"-")</f>
        <v>-</v>
      </c>
      <c r="L239" s="200"/>
    </row>
    <row r="240" spans="1:12" ht="7.5" customHeight="1">
      <c r="A240" s="125"/>
      <c r="B240" s="127"/>
      <c r="C240" s="665"/>
      <c r="D240" s="666"/>
      <c r="E240" s="666"/>
      <c r="F240" s="667"/>
      <c r="G240" s="666"/>
      <c r="H240" s="666"/>
      <c r="I240" s="666"/>
      <c r="J240" s="666"/>
      <c r="K240" s="668"/>
      <c r="L240" s="128"/>
    </row>
    <row r="241" spans="1:12" s="309" customFormat="1" ht="16.5">
      <c r="A241" s="124"/>
      <c r="B241" s="307"/>
      <c r="C241" s="703" t="s">
        <v>3152</v>
      </c>
      <c r="D241" s="704"/>
      <c r="E241" s="704"/>
      <c r="F241" s="704"/>
      <c r="G241" s="704"/>
      <c r="H241" s="704"/>
      <c r="I241" s="704"/>
      <c r="J241" s="704"/>
      <c r="K241" s="705"/>
      <c r="L241" s="308"/>
    </row>
    <row r="242" spans="1:12" s="285" customFormat="1" ht="16.5">
      <c r="A242" s="310"/>
      <c r="B242" s="214"/>
      <c r="C242" s="649" t="s">
        <v>3153</v>
      </c>
      <c r="D242" s="650"/>
      <c r="E242" s="650"/>
      <c r="F242" s="651"/>
      <c r="G242" s="299" t="str">
        <f>IFERROR(G221/G162,"-")</f>
        <v>-</v>
      </c>
      <c r="H242" s="299" t="str">
        <f>IFERROR(H221/H162,"-")</f>
        <v>-</v>
      </c>
      <c r="I242" s="299" t="str">
        <f>IFERROR(I221/I162,"-")</f>
        <v>-</v>
      </c>
      <c r="J242" s="299" t="str">
        <f>IFERROR(J221/J162,"-")</f>
        <v>-</v>
      </c>
      <c r="K242" s="300" t="str">
        <f>IFERROR(K221/K162,"-")</f>
        <v>-</v>
      </c>
      <c r="L242" s="200"/>
    </row>
    <row r="243" spans="1:12" s="285" customFormat="1" ht="12.75">
      <c r="A243" s="125"/>
      <c r="B243" s="214"/>
      <c r="C243" s="649" t="s">
        <v>3154</v>
      </c>
      <c r="D243" s="650"/>
      <c r="E243" s="650"/>
      <c r="F243" s="651"/>
      <c r="G243" s="299">
        <f>G221-G162</f>
        <v>0</v>
      </c>
      <c r="H243" s="299">
        <f>H221-H162</f>
        <v>0</v>
      </c>
      <c r="I243" s="299">
        <f>I221-I162</f>
        <v>0</v>
      </c>
      <c r="J243" s="299">
        <f>J221-J162</f>
        <v>0</v>
      </c>
      <c r="K243" s="300">
        <f>K221-K162</f>
        <v>0</v>
      </c>
      <c r="L243" s="200"/>
    </row>
    <row r="244" spans="1:12" s="285" customFormat="1" ht="12.75">
      <c r="A244" s="125"/>
      <c r="B244" s="214"/>
      <c r="C244" s="649" t="s">
        <v>3155</v>
      </c>
      <c r="D244" s="650"/>
      <c r="E244" s="650"/>
      <c r="F244" s="651"/>
      <c r="G244" s="299" t="str">
        <f>IFERROR(G23/G243,"-")</f>
        <v>-</v>
      </c>
      <c r="H244" s="299" t="str">
        <f>IFERROR(H23/H243,"-")</f>
        <v>-</v>
      </c>
      <c r="I244" s="299" t="str">
        <f>IFERROR(I23/I243,"-")</f>
        <v>-</v>
      </c>
      <c r="J244" s="299" t="str">
        <f>IFERROR(J23/J243,"-")</f>
        <v>-</v>
      </c>
      <c r="K244" s="300" t="str">
        <f>IFERROR(K23/K243,"-")</f>
        <v>-</v>
      </c>
      <c r="L244" s="200"/>
    </row>
    <row r="245" spans="1:12" s="285" customFormat="1" ht="12.75">
      <c r="A245" s="125"/>
      <c r="B245" s="214"/>
      <c r="C245" s="649" t="s">
        <v>3156</v>
      </c>
      <c r="D245" s="650"/>
      <c r="E245" s="650"/>
      <c r="F245" s="651"/>
      <c r="G245" s="299" t="str">
        <f>IFERROR((G221-G220-G203)/G162,"-")</f>
        <v>-</v>
      </c>
      <c r="H245" s="299" t="str">
        <f>IFERROR((H221-H220-H203)/H162,"-")</f>
        <v>-</v>
      </c>
      <c r="I245" s="299" t="str">
        <f>IFERROR((I221-I220-I203)/I162,"-")</f>
        <v>-</v>
      </c>
      <c r="J245" s="299" t="str">
        <f>IFERROR((J221-J220-J203)/J162,"-")</f>
        <v>-</v>
      </c>
      <c r="K245" s="300" t="str">
        <f>IFERROR((K221-K220-K203)/K162,"-")</f>
        <v>-</v>
      </c>
      <c r="L245" s="200"/>
    </row>
    <row r="246" spans="1:12" ht="7.5" customHeight="1">
      <c r="A246" s="125"/>
      <c r="B246" s="127"/>
      <c r="C246" s="665"/>
      <c r="D246" s="666"/>
      <c r="E246" s="666"/>
      <c r="F246" s="667"/>
      <c r="G246" s="666"/>
      <c r="H246" s="666"/>
      <c r="I246" s="666"/>
      <c r="J246" s="666"/>
      <c r="K246" s="668"/>
      <c r="L246" s="128"/>
    </row>
    <row r="247" spans="1:12" s="309" customFormat="1" ht="16.5">
      <c r="A247" s="124"/>
      <c r="B247" s="307"/>
      <c r="C247" s="703" t="s">
        <v>3157</v>
      </c>
      <c r="D247" s="704"/>
      <c r="E247" s="704"/>
      <c r="F247" s="704"/>
      <c r="G247" s="704"/>
      <c r="H247" s="704"/>
      <c r="I247" s="704"/>
      <c r="J247" s="704"/>
      <c r="K247" s="705"/>
      <c r="L247" s="308"/>
    </row>
    <row r="248" spans="1:12" s="285" customFormat="1" ht="16.5">
      <c r="A248" s="310"/>
      <c r="B248" s="214"/>
      <c r="C248" s="649" t="s">
        <v>3158</v>
      </c>
      <c r="D248" s="650"/>
      <c r="E248" s="650"/>
      <c r="F248" s="651"/>
      <c r="G248" s="299" t="str">
        <f>IFERROR(G26/G203,"-")</f>
        <v>-</v>
      </c>
      <c r="H248" s="299" t="str">
        <f>IFERROR(H26/H203,"-")</f>
        <v>-</v>
      </c>
      <c r="I248" s="299" t="str">
        <f>IFERROR(I26/I203,"-")</f>
        <v>-</v>
      </c>
      <c r="J248" s="299" t="str">
        <f>IFERROR(J26/J203,"-")</f>
        <v>-</v>
      </c>
      <c r="K248" s="300" t="str">
        <f>IFERROR(K26/K203,"-")</f>
        <v>-</v>
      </c>
      <c r="L248" s="200"/>
    </row>
    <row r="249" spans="1:12" s="285" customFormat="1" ht="12.75">
      <c r="A249" s="125"/>
      <c r="B249" s="214"/>
      <c r="C249" s="649" t="s">
        <v>3159</v>
      </c>
      <c r="D249" s="650"/>
      <c r="E249" s="650"/>
      <c r="F249" s="651"/>
      <c r="G249" s="299" t="str">
        <f>IFERROR(365/G248,"-")</f>
        <v>-</v>
      </c>
      <c r="H249" s="299" t="str">
        <f>IFERROR(365/H248,"-")</f>
        <v>-</v>
      </c>
      <c r="I249" s="299" t="str">
        <f>IFERROR(365/I248,"-")</f>
        <v>-</v>
      </c>
      <c r="J249" s="299" t="str">
        <f>IFERROR(365/J248,"-")</f>
        <v>-</v>
      </c>
      <c r="K249" s="300" t="str">
        <f>IFERROR(365/K248,"-")</f>
        <v>-</v>
      </c>
      <c r="L249" s="200"/>
    </row>
    <row r="250" spans="1:12" s="285" customFormat="1" ht="12.75">
      <c r="A250" s="125"/>
      <c r="B250" s="214"/>
      <c r="C250" s="649" t="s">
        <v>3160</v>
      </c>
      <c r="D250" s="650"/>
      <c r="E250" s="650"/>
      <c r="F250" s="651"/>
      <c r="G250" s="299" t="str">
        <f>IFERROR(G23/G208,"-")</f>
        <v>-</v>
      </c>
      <c r="H250" s="299" t="str">
        <f>IFERROR(H23/H208,"-")</f>
        <v>-</v>
      </c>
      <c r="I250" s="299" t="str">
        <f>IFERROR(I23/I208,"-")</f>
        <v>-</v>
      </c>
      <c r="J250" s="299" t="str">
        <f>IFERROR(J23/J208,"-")</f>
        <v>-</v>
      </c>
      <c r="K250" s="300" t="str">
        <f>IFERROR(K23/K208,"-")</f>
        <v>-</v>
      </c>
      <c r="L250" s="200"/>
    </row>
    <row r="251" spans="1:12" s="285" customFormat="1" ht="12.75">
      <c r="A251" s="125"/>
      <c r="B251" s="214"/>
      <c r="C251" s="649" t="s">
        <v>3161</v>
      </c>
      <c r="D251" s="650"/>
      <c r="E251" s="650"/>
      <c r="F251" s="651"/>
      <c r="G251" s="299" t="str">
        <f>IFERROR(365/G250,"-")</f>
        <v>-</v>
      </c>
      <c r="H251" s="299" t="str">
        <f>IFERROR(365/H250,"-")</f>
        <v>-</v>
      </c>
      <c r="I251" s="299" t="str">
        <f>IFERROR(365/I250,"-")</f>
        <v>-</v>
      </c>
      <c r="J251" s="299" t="str">
        <f>IFERROR(365/J250,"-")</f>
        <v>-</v>
      </c>
      <c r="K251" s="300" t="str">
        <f>IFERROR(365/K250,"-")</f>
        <v>-</v>
      </c>
      <c r="L251" s="200"/>
    </row>
    <row r="252" spans="1:12" s="285" customFormat="1" ht="12.75">
      <c r="A252" s="125"/>
      <c r="B252" s="214"/>
      <c r="C252" s="649" t="s">
        <v>3162</v>
      </c>
      <c r="D252" s="650"/>
      <c r="E252" s="650"/>
      <c r="F252" s="651"/>
      <c r="G252" s="299" t="str">
        <f>IFERROR((G26+G38)/G152,"-")</f>
        <v>-</v>
      </c>
      <c r="H252" s="299" t="str">
        <f>IFERROR((H26+H38)/H152,"-")</f>
        <v>-</v>
      </c>
      <c r="I252" s="299" t="str">
        <f>IFERROR((I26+I38)/I152,"-")</f>
        <v>-</v>
      </c>
      <c r="J252" s="299" t="str">
        <f>IFERROR((J26+J38)/J152,"-")</f>
        <v>-</v>
      </c>
      <c r="K252" s="300" t="str">
        <f>IFERROR((K26+K38)/K152,"-")</f>
        <v>-</v>
      </c>
      <c r="L252" s="200"/>
    </row>
    <row r="253" spans="1:12" s="285" customFormat="1" ht="12.75">
      <c r="A253" s="125"/>
      <c r="B253" s="214"/>
      <c r="C253" s="649" t="s">
        <v>3163</v>
      </c>
      <c r="D253" s="650"/>
      <c r="E253" s="650"/>
      <c r="F253" s="651"/>
      <c r="G253" s="299" t="str">
        <f>IFERROR(365/G252,"-")</f>
        <v>-</v>
      </c>
      <c r="H253" s="299" t="str">
        <f>IFERROR(365/H252,"-")</f>
        <v>-</v>
      </c>
      <c r="I253" s="299" t="str">
        <f>IFERROR(365/I252,"-")</f>
        <v>-</v>
      </c>
      <c r="J253" s="299" t="str">
        <f>IFERROR(365/J252,"-")</f>
        <v>-</v>
      </c>
      <c r="K253" s="300" t="str">
        <f>IFERROR(365/K252,"-")</f>
        <v>-</v>
      </c>
      <c r="L253" s="200"/>
    </row>
    <row r="254" spans="1:12" s="285" customFormat="1" ht="12.75">
      <c r="A254" s="125"/>
      <c r="B254" s="214"/>
      <c r="C254" s="649" t="s">
        <v>3164</v>
      </c>
      <c r="D254" s="650"/>
      <c r="E254" s="650"/>
      <c r="F254" s="651"/>
      <c r="G254" s="299" t="str">
        <f>IFERROR(G249+G251-G253,"-")</f>
        <v>-</v>
      </c>
      <c r="H254" s="299" t="str">
        <f>IFERROR(H249+H251-H253,"-")</f>
        <v>-</v>
      </c>
      <c r="I254" s="299" t="str">
        <f>IFERROR(I249+I251-I253,"-")</f>
        <v>-</v>
      </c>
      <c r="J254" s="299" t="str">
        <f>IFERROR(J249+J251-J253,"-")</f>
        <v>-</v>
      </c>
      <c r="K254" s="300" t="str">
        <f>IFERROR(K249+K251-K253,"-")</f>
        <v>-</v>
      </c>
      <c r="L254" s="200"/>
    </row>
    <row r="255" spans="1:12" s="285" customFormat="1" ht="12.75">
      <c r="A255" s="125"/>
      <c r="B255" s="214"/>
      <c r="C255" s="649" t="s">
        <v>3165</v>
      </c>
      <c r="D255" s="650"/>
      <c r="E255" s="650"/>
      <c r="F255" s="651"/>
      <c r="G255" s="299" t="str">
        <f>IFERROR(G23/(G168-G172),"-")</f>
        <v>-</v>
      </c>
      <c r="H255" s="299" t="str">
        <f>IFERROR(H23/(H168-H172),"-")</f>
        <v>-</v>
      </c>
      <c r="I255" s="299" t="str">
        <f>IFERROR(I23/(I168-I172),"-")</f>
        <v>-</v>
      </c>
      <c r="J255" s="299" t="str">
        <f>IFERROR(J23/(J168-J172),"-")</f>
        <v>-</v>
      </c>
      <c r="K255" s="300" t="str">
        <f>IFERROR(K23/(K168-K172),"-")</f>
        <v>-</v>
      </c>
      <c r="L255" s="200"/>
    </row>
    <row r="256" spans="1:12" s="285" customFormat="1" ht="12.75">
      <c r="A256" s="125"/>
      <c r="B256" s="214"/>
      <c r="C256" s="649" t="s">
        <v>3166</v>
      </c>
      <c r="D256" s="650"/>
      <c r="E256" s="650"/>
      <c r="F256" s="651"/>
      <c r="G256" s="299" t="str">
        <f>IFERROR(G23/G222,"-")</f>
        <v>-</v>
      </c>
      <c r="H256" s="299" t="str">
        <f>IFERROR(H23/H222,"-")</f>
        <v>-</v>
      </c>
      <c r="I256" s="299" t="str">
        <f>IFERROR(I23/I222,"-")</f>
        <v>-</v>
      </c>
      <c r="J256" s="299" t="str">
        <f>IFERROR(J23/J222,"-")</f>
        <v>-</v>
      </c>
      <c r="K256" s="300" t="str">
        <f>IFERROR(K23/K222,"-")</f>
        <v>-</v>
      </c>
      <c r="L256" s="200"/>
    </row>
    <row r="257" spans="1:12" s="285" customFormat="1" ht="7.5" customHeight="1">
      <c r="A257" s="125"/>
      <c r="B257" s="214"/>
      <c r="C257" s="665"/>
      <c r="D257" s="666"/>
      <c r="E257" s="666"/>
      <c r="F257" s="666"/>
      <c r="G257" s="666"/>
      <c r="H257" s="666"/>
      <c r="I257" s="666"/>
      <c r="J257" s="666"/>
      <c r="K257" s="668"/>
      <c r="L257" s="200"/>
    </row>
    <row r="258" spans="1:12" s="309" customFormat="1" ht="16.5">
      <c r="A258" s="125"/>
      <c r="B258" s="307"/>
      <c r="C258" s="758" t="s">
        <v>3167</v>
      </c>
      <c r="D258" s="759"/>
      <c r="E258" s="759"/>
      <c r="F258" s="759"/>
      <c r="G258" s="759"/>
      <c r="H258" s="759"/>
      <c r="I258" s="759"/>
      <c r="J258" s="759"/>
      <c r="K258" s="760"/>
      <c r="L258" s="308"/>
    </row>
    <row r="259" spans="1:12" s="125" customFormat="1" ht="16.5">
      <c r="A259" s="310"/>
      <c r="B259" s="214"/>
      <c r="C259" s="649" t="s">
        <v>3168</v>
      </c>
      <c r="D259" s="650"/>
      <c r="E259" s="650"/>
      <c r="F259" s="651"/>
      <c r="G259" s="299" t="str">
        <f>IFERROR(G55/G67,"-")</f>
        <v>-</v>
      </c>
      <c r="H259" s="299" t="str">
        <f>IFERROR(H65/H67,"-")</f>
        <v>-</v>
      </c>
      <c r="I259" s="299" t="str">
        <f>IFERROR(I65/I67,"-")</f>
        <v>-</v>
      </c>
      <c r="J259" s="299" t="str">
        <f>IFERROR(J55/J67,"-")</f>
        <v>-</v>
      </c>
      <c r="K259" s="300" t="str">
        <f>IFERROR(K55/K67,"-")</f>
        <v>-</v>
      </c>
      <c r="L259" s="200"/>
    </row>
    <row r="260" spans="1:12" s="125" customFormat="1" ht="29.25" customHeight="1">
      <c r="B260" s="214"/>
      <c r="C260" s="649" t="s">
        <v>3169</v>
      </c>
      <c r="D260" s="650"/>
      <c r="E260" s="650"/>
      <c r="F260" s="651"/>
      <c r="G260" s="313" t="str">
        <f>IF(G144+G152=0,"-",G55/(G144+G152))</f>
        <v>-</v>
      </c>
      <c r="H260" s="313" t="str">
        <f>IF(H144+H152=0,"-",H55/(H144+H152))</f>
        <v>-</v>
      </c>
      <c r="I260" s="313" t="str">
        <f>IF(I144+I152=0,"-",I55/(I144+I152))</f>
        <v>-</v>
      </c>
      <c r="J260" s="313" t="str">
        <f>IF(J144+J152=0,"-",J55/(J144+J152))</f>
        <v>-</v>
      </c>
      <c r="K260" s="314" t="str">
        <f>IF(K144+K152=0,"-",K55/(K144+K152))</f>
        <v>-</v>
      </c>
      <c r="L260" s="200"/>
    </row>
    <row r="261" spans="1:12" s="125" customFormat="1" ht="12.75">
      <c r="B261" s="214"/>
      <c r="C261" s="649" t="s">
        <v>3170</v>
      </c>
      <c r="D261" s="650"/>
      <c r="E261" s="650"/>
      <c r="F261" s="651"/>
      <c r="G261" s="261" t="str">
        <f>IFERROR((G141+G162)/G119,"-")</f>
        <v>-</v>
      </c>
      <c r="H261" s="261" t="str">
        <f>IFERROR((H141+H162)/H119,"-")</f>
        <v>-</v>
      </c>
      <c r="I261" s="261" t="str">
        <f>IFERROR((I141+I162)/I119,"-")</f>
        <v>-</v>
      </c>
      <c r="J261" s="261" t="str">
        <f>IFERROR((J141+J162)/J119,"-")</f>
        <v>-</v>
      </c>
      <c r="K261" s="262" t="str">
        <f>IFERROR((K141+K162)/K119,"-")</f>
        <v>-</v>
      </c>
      <c r="L261" s="200"/>
    </row>
    <row r="262" spans="1:12" s="125" customFormat="1" ht="42" customHeight="1">
      <c r="B262" s="214"/>
      <c r="C262" s="649" t="s">
        <v>3171</v>
      </c>
      <c r="D262" s="650"/>
      <c r="E262" s="650"/>
      <c r="F262" s="651"/>
      <c r="G262" s="299" t="str">
        <f>IFERROR((G125+SUM(G144,G152))/(G92+G57),"-")</f>
        <v>-</v>
      </c>
      <c r="H262" s="299" t="str">
        <f>IFERROR((H125+SUM(H144,H152))/(H92+H57),"-")</f>
        <v>-</v>
      </c>
      <c r="I262" s="299" t="str">
        <f>IFERROR((I125+SUM(I144,I152))/(I92+I57),"-")</f>
        <v>-</v>
      </c>
      <c r="J262" s="299" t="str">
        <f>IFERROR((J125+SUM(J144,J152))/(J92+J57),"-")</f>
        <v>-</v>
      </c>
      <c r="K262" s="300" t="str">
        <f>IFERROR((K125+SUM(K144,K152))/(K92+K57),"-")</f>
        <v>-</v>
      </c>
      <c r="L262" s="200"/>
    </row>
    <row r="263" spans="1:12" s="125" customFormat="1" ht="12.75">
      <c r="B263" s="214"/>
      <c r="C263" s="649" t="s">
        <v>3172</v>
      </c>
      <c r="D263" s="650"/>
      <c r="E263" s="650"/>
      <c r="F263" s="651"/>
      <c r="G263" s="299" t="str">
        <f>IFERROR(SUM(G144,G152,G125)/G119,"-")</f>
        <v>-</v>
      </c>
      <c r="H263" s="299" t="str">
        <f>IFERROR(SUM(H144,H152,H125)/H119,"-")</f>
        <v>-</v>
      </c>
      <c r="I263" s="299" t="str">
        <f>IFERROR(SUM(I144,I152,I125)/I119,"-")</f>
        <v>-</v>
      </c>
      <c r="J263" s="299" t="str">
        <f>IFERROR(SUM(J144,J152,J125)/J119,"-")</f>
        <v>-</v>
      </c>
      <c r="K263" s="300" t="str">
        <f>IFERROR(SUM(K144,K152,K125)/K119,"-")</f>
        <v>-</v>
      </c>
      <c r="L263" s="200"/>
    </row>
    <row r="264" spans="1:12" s="125" customFormat="1" ht="12.75">
      <c r="B264" s="214"/>
      <c r="C264" s="726" t="s">
        <v>3173</v>
      </c>
      <c r="D264" s="727"/>
      <c r="E264" s="727"/>
      <c r="F264" s="728"/>
      <c r="G264" s="315" t="str">
        <f>IF(G125+G144+G152=0,"No Debt",(G222-(G173+G174)-G191-(G162-(G144+G152)))/(G125+G144+G152))</f>
        <v>No Debt</v>
      </c>
      <c r="H264" s="315" t="str">
        <f>IF(H125+H144+H152=0,"No Debt",(H222-(H173+H174)-H191-(H162-(H144+H152)))/(H125+H144+H152))</f>
        <v>No Debt</v>
      </c>
      <c r="I264" s="315" t="str">
        <f>IF(I125+I144+I152=0,"No Debt",(I222-(I173+I174)-I191-(I162-(I144+I152)))/(I125+I144+I152))</f>
        <v>No Debt</v>
      </c>
      <c r="J264" s="315" t="str">
        <f>IF(J125+J144+J152=0,"No Debt",(J222-(J173+J174)-J191-(J162-(J144+J152)))/(J125+J144+J152))</f>
        <v>No Debt</v>
      </c>
      <c r="K264" s="316" t="str">
        <f>IF(K125+K144+K152=0,"No Debt",(K222-(K173+K174)-K191-(K162-(K144+K152)))/(K125+K144+K152))</f>
        <v>No Debt</v>
      </c>
      <c r="L264" s="200"/>
    </row>
    <row r="265" spans="1:12" ht="13.5" customHeight="1">
      <c r="A265" s="125"/>
      <c r="B265" s="272"/>
      <c r="C265" s="275"/>
      <c r="D265" s="275"/>
      <c r="E265" s="275"/>
      <c r="F265" s="317"/>
      <c r="G265" s="275"/>
      <c r="H265" s="275"/>
      <c r="I265" s="275"/>
      <c r="J265" s="275"/>
      <c r="K265" s="275"/>
      <c r="L265" s="318"/>
    </row>
  </sheetData>
  <mergeCells count="252">
    <mergeCell ref="B2:L2"/>
    <mergeCell ref="D68:D71"/>
    <mergeCell ref="D35:D37"/>
    <mergeCell ref="E68:F68"/>
    <mergeCell ref="C250:F250"/>
    <mergeCell ref="C85:K85"/>
    <mergeCell ref="E151:F151"/>
    <mergeCell ref="E118:F118"/>
    <mergeCell ref="D52:F52"/>
    <mergeCell ref="C234:F234"/>
    <mergeCell ref="E201:F201"/>
    <mergeCell ref="E168:F168"/>
    <mergeCell ref="C102:K102"/>
    <mergeCell ref="E135:F135"/>
    <mergeCell ref="C196:C220"/>
    <mergeCell ref="D196:F196"/>
    <mergeCell ref="C163:F163"/>
    <mergeCell ref="E130:F130"/>
    <mergeCell ref="D64:F64"/>
    <mergeCell ref="E97:F97"/>
    <mergeCell ref="E31:F31"/>
    <mergeCell ref="C246:K246"/>
    <mergeCell ref="D213:F213"/>
    <mergeCell ref="E180:F180"/>
    <mergeCell ref="C264:F264"/>
    <mergeCell ref="C231:F231"/>
    <mergeCell ref="C165:K165"/>
    <mergeCell ref="C99:F99"/>
    <mergeCell ref="C66:K66"/>
    <mergeCell ref="E132:F132"/>
    <mergeCell ref="C248:F248"/>
    <mergeCell ref="E215:F215"/>
    <mergeCell ref="D182:F182"/>
    <mergeCell ref="E149:F149"/>
    <mergeCell ref="E116:F116"/>
    <mergeCell ref="D83:F83"/>
    <mergeCell ref="C232:K232"/>
    <mergeCell ref="C166:F166"/>
    <mergeCell ref="D133:F133"/>
    <mergeCell ref="C100:F100"/>
    <mergeCell ref="C67:C80"/>
    <mergeCell ref="D67:F67"/>
    <mergeCell ref="C249:F249"/>
    <mergeCell ref="E183:F183"/>
    <mergeCell ref="C84:F84"/>
    <mergeCell ref="E150:F150"/>
    <mergeCell ref="E117:F117"/>
    <mergeCell ref="C233:K233"/>
    <mergeCell ref="C263:F263"/>
    <mergeCell ref="C230:F230"/>
    <mergeCell ref="C164:K164"/>
    <mergeCell ref="E197:F197"/>
    <mergeCell ref="E131:F131"/>
    <mergeCell ref="C65:F65"/>
    <mergeCell ref="E98:F98"/>
    <mergeCell ref="D32:D33"/>
    <mergeCell ref="C247:K247"/>
    <mergeCell ref="D214:F214"/>
    <mergeCell ref="E181:F181"/>
    <mergeCell ref="C82:K82"/>
    <mergeCell ref="E148:F148"/>
    <mergeCell ref="E115:F115"/>
    <mergeCell ref="D49:F49"/>
    <mergeCell ref="E50:F50"/>
    <mergeCell ref="E34:F34"/>
    <mergeCell ref="E51:F51"/>
    <mergeCell ref="C167:C192"/>
    <mergeCell ref="D167:F167"/>
    <mergeCell ref="E200:F200"/>
    <mergeCell ref="D134:F134"/>
    <mergeCell ref="C262:F262"/>
    <mergeCell ref="C229:F229"/>
    <mergeCell ref="C261:F261"/>
    <mergeCell ref="C228:K228"/>
    <mergeCell ref="C195:F195"/>
    <mergeCell ref="C162:F162"/>
    <mergeCell ref="D96:F96"/>
    <mergeCell ref="E129:F129"/>
    <mergeCell ref="E63:F63"/>
    <mergeCell ref="C245:F245"/>
    <mergeCell ref="E212:F212"/>
    <mergeCell ref="E179:F179"/>
    <mergeCell ref="D113:F113"/>
    <mergeCell ref="E146:F146"/>
    <mergeCell ref="E80:F80"/>
    <mergeCell ref="C260:F260"/>
    <mergeCell ref="C227:F227"/>
    <mergeCell ref="C194:K194"/>
    <mergeCell ref="C95:F95"/>
    <mergeCell ref="E161:F161"/>
    <mergeCell ref="E128:F128"/>
    <mergeCell ref="C259:F259"/>
    <mergeCell ref="C226:K226"/>
    <mergeCell ref="C193:F193"/>
    <mergeCell ref="E160:F160"/>
    <mergeCell ref="D94:F94"/>
    <mergeCell ref="E127:F127"/>
    <mergeCell ref="C258:K258"/>
    <mergeCell ref="E147:F147"/>
    <mergeCell ref="C81:F81"/>
    <mergeCell ref="E114:F114"/>
    <mergeCell ref="C242:F242"/>
    <mergeCell ref="E209:F209"/>
    <mergeCell ref="C143:F143"/>
    <mergeCell ref="E176:F176"/>
    <mergeCell ref="C244:F244"/>
    <mergeCell ref="E211:F211"/>
    <mergeCell ref="E178:F178"/>
    <mergeCell ref="E145:F145"/>
    <mergeCell ref="E112:F112"/>
    <mergeCell ref="C257:K257"/>
    <mergeCell ref="C224:F224"/>
    <mergeCell ref="E191:F191"/>
    <mergeCell ref="D158:F158"/>
    <mergeCell ref="C92:F92"/>
    <mergeCell ref="D125:F125"/>
    <mergeCell ref="E59:F59"/>
    <mergeCell ref="D61:F61"/>
    <mergeCell ref="D28:D30"/>
    <mergeCell ref="C243:F243"/>
    <mergeCell ref="C144:C161"/>
    <mergeCell ref="D177:F177"/>
    <mergeCell ref="E210:F210"/>
    <mergeCell ref="D144:F144"/>
    <mergeCell ref="E111:F111"/>
    <mergeCell ref="D45:F45"/>
    <mergeCell ref="E78:F78"/>
    <mergeCell ref="C46:C54"/>
    <mergeCell ref="E46:F46"/>
    <mergeCell ref="E47:F47"/>
    <mergeCell ref="E192:F192"/>
    <mergeCell ref="C93:K93"/>
    <mergeCell ref="E159:F159"/>
    <mergeCell ref="E126:F126"/>
    <mergeCell ref="C241:K241"/>
    <mergeCell ref="D208:F208"/>
    <mergeCell ref="C142:K142"/>
    <mergeCell ref="E175:F175"/>
    <mergeCell ref="E109:F109"/>
    <mergeCell ref="C43:F43"/>
    <mergeCell ref="E76:F76"/>
    <mergeCell ref="C256:F256"/>
    <mergeCell ref="C124:F124"/>
    <mergeCell ref="D157:F157"/>
    <mergeCell ref="E190:F190"/>
    <mergeCell ref="D91:F91"/>
    <mergeCell ref="D58:F58"/>
    <mergeCell ref="C255:F255"/>
    <mergeCell ref="C254:F254"/>
    <mergeCell ref="C221:F221"/>
    <mergeCell ref="D188:F188"/>
    <mergeCell ref="C122:K122"/>
    <mergeCell ref="E155:F155"/>
    <mergeCell ref="C56:K56"/>
    <mergeCell ref="D89:F89"/>
    <mergeCell ref="C253:F253"/>
    <mergeCell ref="C44:K44"/>
    <mergeCell ref="E110:F110"/>
    <mergeCell ref="C240:K240"/>
    <mergeCell ref="E207:F207"/>
    <mergeCell ref="C141:F141"/>
    <mergeCell ref="C108:C118"/>
    <mergeCell ref="E174:F174"/>
    <mergeCell ref="E108:F108"/>
    <mergeCell ref="E75:F75"/>
    <mergeCell ref="E42:F42"/>
    <mergeCell ref="C222:F222"/>
    <mergeCell ref="D189:F189"/>
    <mergeCell ref="C123:F123"/>
    <mergeCell ref="E156:F156"/>
    <mergeCell ref="C90:C91"/>
    <mergeCell ref="D90:F90"/>
    <mergeCell ref="C57:C64"/>
    <mergeCell ref="D57:F57"/>
    <mergeCell ref="C239:F239"/>
    <mergeCell ref="E206:F206"/>
    <mergeCell ref="E173:F173"/>
    <mergeCell ref="D140:F140"/>
    <mergeCell ref="D107:F107"/>
    <mergeCell ref="D74:D80"/>
    <mergeCell ref="E74:F74"/>
    <mergeCell ref="E77:F77"/>
    <mergeCell ref="C238:F238"/>
    <mergeCell ref="E205:F205"/>
    <mergeCell ref="C106:F106"/>
    <mergeCell ref="E172:F172"/>
    <mergeCell ref="E139:F139"/>
    <mergeCell ref="D73:F73"/>
    <mergeCell ref="E40:F40"/>
    <mergeCell ref="C24:K24"/>
    <mergeCell ref="E41:F41"/>
    <mergeCell ref="D220:F220"/>
    <mergeCell ref="E187:F187"/>
    <mergeCell ref="C121:F121"/>
    <mergeCell ref="E154:F154"/>
    <mergeCell ref="C55:F55"/>
    <mergeCell ref="E88:F88"/>
    <mergeCell ref="C25:F25"/>
    <mergeCell ref="D26:F26"/>
    <mergeCell ref="C27:C42"/>
    <mergeCell ref="E60:F60"/>
    <mergeCell ref="E27:F27"/>
    <mergeCell ref="E79:F79"/>
    <mergeCell ref="E48:F48"/>
    <mergeCell ref="E62:F62"/>
    <mergeCell ref="D22:F22"/>
    <mergeCell ref="C237:F237"/>
    <mergeCell ref="E204:F204"/>
    <mergeCell ref="C105:K105"/>
    <mergeCell ref="E138:F138"/>
    <mergeCell ref="E72:F72"/>
    <mergeCell ref="E39:F39"/>
    <mergeCell ref="C12:C22"/>
    <mergeCell ref="E12:F12"/>
    <mergeCell ref="D13:D15"/>
    <mergeCell ref="E16:F16"/>
    <mergeCell ref="D17:D19"/>
    <mergeCell ref="D152:F152"/>
    <mergeCell ref="C119:F119"/>
    <mergeCell ref="D86:F86"/>
    <mergeCell ref="E53:F53"/>
    <mergeCell ref="E20:F20"/>
    <mergeCell ref="C235:F235"/>
    <mergeCell ref="E202:F202"/>
    <mergeCell ref="C103:F103"/>
    <mergeCell ref="E136:F136"/>
    <mergeCell ref="E70:F70"/>
    <mergeCell ref="C23:F23"/>
    <mergeCell ref="C4:E4"/>
    <mergeCell ref="C252:F252"/>
    <mergeCell ref="E219:F219"/>
    <mergeCell ref="C120:K120"/>
    <mergeCell ref="C87:C89"/>
    <mergeCell ref="E153:F153"/>
    <mergeCell ref="E87:F87"/>
    <mergeCell ref="E54:F54"/>
    <mergeCell ref="D21:F21"/>
    <mergeCell ref="C236:F236"/>
    <mergeCell ref="D203:F203"/>
    <mergeCell ref="D137:F137"/>
    <mergeCell ref="C104:K104"/>
    <mergeCell ref="C5:K5"/>
    <mergeCell ref="D38:F38"/>
    <mergeCell ref="E71:F71"/>
    <mergeCell ref="C6:F6"/>
    <mergeCell ref="C7:F7"/>
    <mergeCell ref="C8:F8"/>
    <mergeCell ref="C9:F9"/>
    <mergeCell ref="C10:F10"/>
    <mergeCell ref="D11:F11"/>
    <mergeCell ref="E69:F69"/>
    <mergeCell ref="C251:F251"/>
  </mergeCells>
  <conditionalFormatting sqref="G11:K140">
    <cfRule type="expression" dxfId="56" priority="2">
      <formula>G$7=""</formula>
    </cfRule>
  </conditionalFormatting>
  <conditionalFormatting sqref="G144:K161">
    <cfRule type="expression" dxfId="55" priority="3">
      <formula>G$7=""</formula>
    </cfRule>
  </conditionalFormatting>
  <conditionalFormatting sqref="G167:K192">
    <cfRule type="expression" dxfId="54" priority="4">
      <formula>G$7=""</formula>
    </cfRule>
  </conditionalFormatting>
  <conditionalFormatting sqref="G196:K220">
    <cfRule type="expression" dxfId="53" priority="5">
      <formula>G$7=""</formula>
    </cfRule>
  </conditionalFormatting>
  <conditionalFormatting sqref="G224:K224 G229:K231 G234:K239 G242:K245 G248:K256 G259:K264">
    <cfRule type="expression" dxfId="52" priority="1">
      <formula>G$7=""</formula>
    </cfRule>
  </conditionalFormatting>
  <dataValidations count="3">
    <dataValidation type="list" allowBlank="1" showErrorMessage="1" errorTitle="The value you entered is not valid." error="The value entered violates data validation rules set in cell" sqref="G9:K9" xr:uid="{00000000-0002-0000-0F00-000000000000}">
      <formula1>"Material Qualification,Unqualified,No opinion / Unknown"</formula1>
    </dataValidation>
    <dataValidation type="list" allowBlank="1" showErrorMessage="1" errorTitle="The value you entered is not valid." error="The value entered violates data validation rules set in cell" sqref="K4" xr:uid="{00000000-0002-0000-0F00-000001000000}">
      <formula1>"Actuals, Thousands, Lakhs, Millions, Crores"</formula1>
    </dataValidation>
    <dataValidation type="list" allowBlank="1" showErrorMessage="1" errorTitle="The value you entered is not valid." error="The value entered violates data validation rules set in cell" sqref="G7:K7" xr:uid="{00000000-0002-0000-0F00-000002000000}">
      <formula1>"Audited,Unaudited,Provisional,Projection"</formula1>
    </dataValidation>
  </dataValidation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7">
    <tabColor rgb="FF0F243F"/>
  </sheetPr>
  <dimension ref="A2:AMJ265"/>
  <sheetViews>
    <sheetView workbookViewId="0"/>
  </sheetViews>
  <sheetFormatPr defaultRowHeight="15.75" customHeight="1" outlineLevelRow="2"/>
  <cols>
    <col min="1" max="5" width="2.5703125" style="124"/>
    <col min="6" max="6" width="49.28515625" style="126"/>
    <col min="7" max="7" width="16.140625" style="124"/>
    <col min="8" max="8" width="19.7109375" style="124"/>
    <col min="9" max="9" width="18.42578125" style="124"/>
    <col min="10" max="11" width="16.140625" style="124"/>
    <col min="12" max="12" width="2" style="124"/>
    <col min="13" max="13" width="23.140625" style="124"/>
    <col min="14" max="15" width="13.42578125" style="124"/>
    <col min="16" max="1024" width="9.85546875" style="124"/>
    <col min="1025" max="1025" width="11.42578125"/>
  </cols>
  <sheetData>
    <row r="2" spans="2:12" ht="26.25" customHeight="1">
      <c r="B2" s="738" t="s">
        <v>3174</v>
      </c>
      <c r="C2" s="739"/>
      <c r="D2" s="739"/>
      <c r="E2" s="739"/>
      <c r="F2" s="739"/>
      <c r="G2" s="739"/>
      <c r="H2" s="739"/>
      <c r="I2" s="739"/>
      <c r="J2" s="739"/>
      <c r="K2" s="739"/>
      <c r="L2" s="740"/>
    </row>
    <row r="3" spans="2:12" ht="15">
      <c r="B3" s="189"/>
      <c r="F3" s="124"/>
      <c r="G3" s="125"/>
      <c r="L3" s="128"/>
    </row>
    <row r="4" spans="2:12" ht="15">
      <c r="B4" s="189"/>
      <c r="C4" s="755" t="s">
        <v>3175</v>
      </c>
      <c r="D4" s="755"/>
      <c r="E4" s="755"/>
      <c r="F4" s="342"/>
      <c r="G4" s="125"/>
      <c r="J4" s="191" t="s">
        <v>3176</v>
      </c>
      <c r="K4" s="192" t="s">
        <v>3177</v>
      </c>
      <c r="L4" s="128"/>
    </row>
    <row r="5" spans="2:12" ht="19.5">
      <c r="B5" s="127"/>
      <c r="C5" s="630" t="s">
        <v>3178</v>
      </c>
      <c r="D5" s="631"/>
      <c r="E5" s="631"/>
      <c r="F5" s="631"/>
      <c r="G5" s="631"/>
      <c r="H5" s="631"/>
      <c r="I5" s="631"/>
      <c r="J5" s="631"/>
      <c r="K5" s="632"/>
      <c r="L5" s="128"/>
    </row>
    <row r="6" spans="2:12" s="193" customFormat="1" ht="19.5" customHeight="1">
      <c r="B6" s="194"/>
      <c r="C6" s="633" t="s">
        <v>3179</v>
      </c>
      <c r="D6" s="634"/>
      <c r="E6" s="634"/>
      <c r="F6" s="634"/>
      <c r="G6" s="195">
        <f>IFERROR(EDATE(H6,-12),"-")</f>
        <v>43921</v>
      </c>
      <c r="H6" s="195">
        <f>IFERROR(EDATE(I6,-12),"-")</f>
        <v>44286</v>
      </c>
      <c r="I6" s="195">
        <v>44651</v>
      </c>
      <c r="J6" s="195">
        <f>IFERROR(EDATE(I6,12),"-")</f>
        <v>45016</v>
      </c>
      <c r="K6" s="196">
        <f>IFERROR(EDATE(J6,12),"-")</f>
        <v>45382</v>
      </c>
      <c r="L6" s="197"/>
    </row>
    <row r="7" spans="2:12" s="125" customFormat="1" ht="16.5" customHeight="1">
      <c r="B7" s="189"/>
      <c r="C7" s="635" t="s">
        <v>3180</v>
      </c>
      <c r="D7" s="636"/>
      <c r="E7" s="636"/>
      <c r="F7" s="637"/>
      <c r="G7" s="199"/>
      <c r="H7" s="199"/>
      <c r="I7" s="199"/>
      <c r="J7" s="199"/>
      <c r="K7" s="367"/>
      <c r="L7" s="200"/>
    </row>
    <row r="8" spans="2:12" s="201" customFormat="1" ht="12.75">
      <c r="B8" s="202"/>
      <c r="C8" s="638" t="s">
        <v>3181</v>
      </c>
      <c r="D8" s="639"/>
      <c r="E8" s="639"/>
      <c r="F8" s="640"/>
      <c r="G8" s="203"/>
      <c r="H8" s="203"/>
      <c r="I8" s="203"/>
      <c r="J8" s="203"/>
      <c r="K8" s="204"/>
      <c r="L8" s="205"/>
    </row>
    <row r="9" spans="2:12" s="201" customFormat="1" ht="12.75">
      <c r="B9" s="202"/>
      <c r="C9" s="641" t="s">
        <v>3182</v>
      </c>
      <c r="D9" s="642"/>
      <c r="E9" s="642"/>
      <c r="F9" s="643"/>
      <c r="G9" s="206"/>
      <c r="H9" s="206"/>
      <c r="I9" s="206"/>
      <c r="J9" s="206"/>
      <c r="K9" s="207"/>
      <c r="L9" s="205"/>
    </row>
    <row r="10" spans="2:12" ht="17.25" customHeight="1">
      <c r="B10" s="127"/>
      <c r="C10" s="644" t="s">
        <v>3183</v>
      </c>
      <c r="D10" s="645"/>
      <c r="E10" s="645"/>
      <c r="F10" s="645"/>
      <c r="G10" s="208"/>
      <c r="H10" s="208"/>
      <c r="I10" s="208"/>
      <c r="J10" s="208"/>
      <c r="K10" s="209"/>
      <c r="L10" s="128"/>
    </row>
    <row r="11" spans="2:12" ht="17.25" customHeight="1">
      <c r="B11" s="127"/>
      <c r="C11" s="210"/>
      <c r="D11" s="611" t="s">
        <v>3184</v>
      </c>
      <c r="E11" s="612"/>
      <c r="F11" s="613"/>
      <c r="G11" s="212">
        <f>SUM(G12,G16,G20)</f>
        <v>0</v>
      </c>
      <c r="H11" s="212">
        <f>SUM(H12,H16,H20)</f>
        <v>0</v>
      </c>
      <c r="I11" s="212">
        <f>SUM(I12,I16,I20)</f>
        <v>0</v>
      </c>
      <c r="J11" s="212">
        <f>SUM(J12,J16,J20)</f>
        <v>0</v>
      </c>
      <c r="K11" s="213">
        <f>SUM(K12,K16,K20)</f>
        <v>0</v>
      </c>
      <c r="L11" s="128"/>
    </row>
    <row r="12" spans="2:12" s="125" customFormat="1" ht="12.75" outlineLevel="1">
      <c r="B12" s="214"/>
      <c r="C12" s="657"/>
      <c r="D12" s="215"/>
      <c r="E12" s="659" t="s">
        <v>3185</v>
      </c>
      <c r="F12" s="660"/>
      <c r="G12" s="216">
        <f>SUM(G13:G15)</f>
        <v>0</v>
      </c>
      <c r="H12" s="216">
        <f>SUM(H13:H15)</f>
        <v>0</v>
      </c>
      <c r="I12" s="216">
        <f>SUM(I13:I15)</f>
        <v>0</v>
      </c>
      <c r="J12" s="216">
        <f>SUM(J13:J15)</f>
        <v>0</v>
      </c>
      <c r="K12" s="217">
        <f>SUM(K13:K15)</f>
        <v>0</v>
      </c>
      <c r="L12" s="200"/>
    </row>
    <row r="13" spans="2:12" s="218" customFormat="1" ht="14.25" customHeight="1" outlineLevel="2">
      <c r="B13" s="219"/>
      <c r="C13" s="657"/>
      <c r="D13" s="661"/>
      <c r="E13" s="220"/>
      <c r="F13" s="221" t="s">
        <v>3186</v>
      </c>
      <c r="G13" s="223"/>
      <c r="H13" s="223"/>
      <c r="I13" s="223"/>
      <c r="J13" s="223"/>
      <c r="K13" s="224"/>
      <c r="L13" s="225"/>
    </row>
    <row r="14" spans="2:12" s="218" customFormat="1" ht="14.25" customHeight="1" outlineLevel="2">
      <c r="B14" s="219"/>
      <c r="C14" s="657"/>
      <c r="D14" s="661"/>
      <c r="F14" s="226" t="s">
        <v>3187</v>
      </c>
      <c r="G14" s="227"/>
      <c r="H14" s="227"/>
      <c r="I14" s="227"/>
      <c r="J14" s="227"/>
      <c r="K14" s="228"/>
      <c r="L14" s="225"/>
    </row>
    <row r="15" spans="2:12" s="218" customFormat="1" ht="14.25" customHeight="1" outlineLevel="2">
      <c r="B15" s="219"/>
      <c r="C15" s="657"/>
      <c r="D15" s="661"/>
      <c r="F15" s="226" t="s">
        <v>3188</v>
      </c>
      <c r="G15" s="227"/>
      <c r="H15" s="227"/>
      <c r="I15" s="227"/>
      <c r="J15" s="227"/>
      <c r="K15" s="228"/>
      <c r="L15" s="225"/>
    </row>
    <row r="16" spans="2:12" s="125" customFormat="1" ht="12.75" outlineLevel="1">
      <c r="B16" s="214"/>
      <c r="C16" s="657"/>
      <c r="E16" s="611" t="s">
        <v>3189</v>
      </c>
      <c r="F16" s="613"/>
      <c r="G16" s="229">
        <f>SUM(G17:G19)</f>
        <v>0</v>
      </c>
      <c r="H16" s="229">
        <f>SUM(H17:H19)</f>
        <v>0</v>
      </c>
      <c r="I16" s="229">
        <f>SUM(I17:I19)</f>
        <v>0</v>
      </c>
      <c r="J16" s="229">
        <f>SUM(J17:J19)</f>
        <v>0</v>
      </c>
      <c r="K16" s="230">
        <f>SUM(K17:K19)</f>
        <v>0</v>
      </c>
      <c r="L16" s="200"/>
    </row>
    <row r="17" spans="2:12" s="218" customFormat="1" ht="14.25" customHeight="1" outlineLevel="2">
      <c r="B17" s="219"/>
      <c r="C17" s="657"/>
      <c r="D17" s="661"/>
      <c r="E17" s="220"/>
      <c r="F17" s="221" t="s">
        <v>3190</v>
      </c>
      <c r="G17" s="223"/>
      <c r="H17" s="223"/>
      <c r="I17" s="223"/>
      <c r="J17" s="223"/>
      <c r="K17" s="224"/>
      <c r="L17" s="225"/>
    </row>
    <row r="18" spans="2:12" s="218" customFormat="1" ht="14.25" customHeight="1" outlineLevel="2">
      <c r="B18" s="219"/>
      <c r="C18" s="657"/>
      <c r="D18" s="661"/>
      <c r="F18" s="226" t="s">
        <v>3191</v>
      </c>
      <c r="G18" s="227"/>
      <c r="H18" s="227"/>
      <c r="I18" s="227"/>
      <c r="J18" s="227"/>
      <c r="K18" s="228"/>
      <c r="L18" s="225"/>
    </row>
    <row r="19" spans="2:12" s="218" customFormat="1" ht="14.25" customHeight="1" outlineLevel="2">
      <c r="B19" s="219"/>
      <c r="C19" s="657"/>
      <c r="D19" s="661"/>
      <c r="F19" s="226" t="s">
        <v>3192</v>
      </c>
      <c r="G19" s="227"/>
      <c r="H19" s="227"/>
      <c r="I19" s="227"/>
      <c r="J19" s="227"/>
      <c r="K19" s="228"/>
      <c r="L19" s="225"/>
    </row>
    <row r="20" spans="2:12" s="218" customFormat="1" ht="14.25" customHeight="1" outlineLevel="1">
      <c r="B20" s="219"/>
      <c r="C20" s="657"/>
      <c r="E20" s="611" t="s">
        <v>3193</v>
      </c>
      <c r="F20" s="613"/>
      <c r="G20" s="227"/>
      <c r="H20" s="227"/>
      <c r="I20" s="227"/>
      <c r="J20" s="227"/>
      <c r="K20" s="228"/>
      <c r="L20" s="225"/>
    </row>
    <row r="21" spans="2:12" s="125" customFormat="1" ht="12.75">
      <c r="B21" s="214"/>
      <c r="C21" s="657"/>
      <c r="D21" s="611" t="s">
        <v>3194</v>
      </c>
      <c r="E21" s="612"/>
      <c r="F21" s="613"/>
      <c r="G21" s="212"/>
      <c r="H21" s="212"/>
      <c r="I21" s="212"/>
      <c r="J21" s="212"/>
      <c r="K21" s="213"/>
      <c r="L21" s="200"/>
    </row>
    <row r="22" spans="2:12" s="125" customFormat="1" ht="12.75">
      <c r="B22" s="214"/>
      <c r="C22" s="658"/>
      <c r="D22" s="646" t="s">
        <v>3195</v>
      </c>
      <c r="E22" s="647"/>
      <c r="F22" s="648"/>
      <c r="G22" s="344"/>
      <c r="H22" s="344"/>
      <c r="I22" s="344"/>
      <c r="J22" s="344"/>
      <c r="K22" s="345"/>
      <c r="L22" s="200"/>
    </row>
    <row r="23" spans="2:12" ht="17.25" customHeight="1">
      <c r="B23" s="127"/>
      <c r="C23" s="609" t="s">
        <v>3196</v>
      </c>
      <c r="D23" s="610"/>
      <c r="E23" s="610"/>
      <c r="F23" s="610"/>
      <c r="G23" s="233">
        <f>SUM(G11+G21)-G22</f>
        <v>0</v>
      </c>
      <c r="H23" s="233">
        <f>SUM(H11+H21)-H22</f>
        <v>0</v>
      </c>
      <c r="I23" s="233">
        <f>SUM(I11+I21)-I22</f>
        <v>0</v>
      </c>
      <c r="J23" s="233">
        <f>SUM(J11+J22)</f>
        <v>0</v>
      </c>
      <c r="K23" s="234">
        <f>SUM(K11+K22)</f>
        <v>0</v>
      </c>
      <c r="L23" s="128"/>
    </row>
    <row r="24" spans="2:12" ht="7.5" customHeight="1">
      <c r="B24" s="127"/>
      <c r="C24" s="671"/>
      <c r="D24" s="672"/>
      <c r="E24" s="672"/>
      <c r="F24" s="672"/>
      <c r="G24" s="672"/>
      <c r="H24" s="672"/>
      <c r="I24" s="672"/>
      <c r="J24" s="672"/>
      <c r="K24" s="673"/>
      <c r="L24" s="128"/>
    </row>
    <row r="25" spans="2:12" ht="17.25" customHeight="1">
      <c r="B25" s="127"/>
      <c r="C25" s="684" t="s">
        <v>3197</v>
      </c>
      <c r="D25" s="685"/>
      <c r="E25" s="685"/>
      <c r="F25" s="685"/>
      <c r="G25" s="218"/>
      <c r="H25" s="218"/>
      <c r="I25" s="218"/>
      <c r="J25" s="218"/>
      <c r="K25" s="225"/>
      <c r="L25" s="225"/>
    </row>
    <row r="26" spans="2:12" ht="17.25" customHeight="1">
      <c r="B26" s="127"/>
      <c r="C26" s="236"/>
      <c r="D26" s="611" t="s">
        <v>3198</v>
      </c>
      <c r="E26" s="612"/>
      <c r="F26" s="613"/>
      <c r="G26" s="229">
        <f>G27+G31+G34</f>
        <v>0</v>
      </c>
      <c r="H26" s="229">
        <f>H27+H31+H34</f>
        <v>0</v>
      </c>
      <c r="I26" s="229">
        <f>I27+I31+I34</f>
        <v>0</v>
      </c>
      <c r="J26" s="229">
        <f>J27+J31+J34</f>
        <v>0</v>
      </c>
      <c r="K26" s="230">
        <f>K27+K31+K34</f>
        <v>0</v>
      </c>
      <c r="L26" s="225"/>
    </row>
    <row r="27" spans="2:12" s="125" customFormat="1" ht="12.75" outlineLevel="1">
      <c r="B27" s="214"/>
      <c r="C27" s="657"/>
      <c r="D27" s="215"/>
      <c r="E27" s="718" t="s">
        <v>3199</v>
      </c>
      <c r="F27" s="719"/>
      <c r="G27" s="216">
        <f>G29+G28-G30</f>
        <v>0</v>
      </c>
      <c r="H27" s="216">
        <f>H29+H28-H30</f>
        <v>0</v>
      </c>
      <c r="I27" s="216">
        <f>I29+I28-I30</f>
        <v>0</v>
      </c>
      <c r="J27" s="216">
        <f>J29+J28-J30</f>
        <v>0</v>
      </c>
      <c r="K27" s="217">
        <f>K29+K28-K30</f>
        <v>0</v>
      </c>
      <c r="L27" s="200"/>
    </row>
    <row r="28" spans="2:12" s="218" customFormat="1" ht="14.25" customHeight="1" outlineLevel="2">
      <c r="B28" s="219"/>
      <c r="C28" s="657"/>
      <c r="D28" s="661"/>
      <c r="E28" s="220"/>
      <c r="F28" s="221" t="s">
        <v>3200</v>
      </c>
      <c r="G28" s="223"/>
      <c r="H28" s="223"/>
      <c r="I28" s="223"/>
      <c r="J28" s="346"/>
      <c r="K28" s="224"/>
      <c r="L28" s="225"/>
    </row>
    <row r="29" spans="2:12" s="218" customFormat="1" ht="17.25" customHeight="1" outlineLevel="2">
      <c r="B29" s="219"/>
      <c r="C29" s="657"/>
      <c r="D29" s="661"/>
      <c r="F29" s="226" t="s">
        <v>3201</v>
      </c>
      <c r="G29" s="227"/>
      <c r="H29" s="227"/>
      <c r="I29" s="227"/>
      <c r="J29" s="227"/>
      <c r="K29" s="228"/>
      <c r="L29" s="225"/>
    </row>
    <row r="30" spans="2:12" s="218" customFormat="1" ht="17.25" customHeight="1" outlineLevel="2">
      <c r="B30" s="219"/>
      <c r="C30" s="657"/>
      <c r="D30" s="661"/>
      <c r="F30" s="226" t="s">
        <v>3202</v>
      </c>
      <c r="G30" s="227"/>
      <c r="H30" s="227"/>
      <c r="I30" s="227"/>
      <c r="J30" s="227"/>
      <c r="K30" s="228"/>
      <c r="L30" s="225"/>
    </row>
    <row r="31" spans="2:12" s="125" customFormat="1" ht="17.25" customHeight="1" outlineLevel="1">
      <c r="B31" s="214"/>
      <c r="C31" s="657"/>
      <c r="E31" s="724" t="s">
        <v>3203</v>
      </c>
      <c r="F31" s="725"/>
      <c r="G31" s="229">
        <f>G32-G33</f>
        <v>0</v>
      </c>
      <c r="H31" s="229">
        <f>H32-H33</f>
        <v>0</v>
      </c>
      <c r="I31" s="229">
        <f>I32-I33</f>
        <v>0</v>
      </c>
      <c r="J31" s="229">
        <f>J32-J33</f>
        <v>0</v>
      </c>
      <c r="K31" s="230">
        <f>K32-K33</f>
        <v>0</v>
      </c>
      <c r="L31" s="200"/>
    </row>
    <row r="32" spans="2:12" s="218" customFormat="1" ht="14.25" customHeight="1" outlineLevel="2">
      <c r="B32" s="219"/>
      <c r="C32" s="657"/>
      <c r="D32" s="661"/>
      <c r="E32" s="220"/>
      <c r="F32" s="221" t="s">
        <v>3204</v>
      </c>
      <c r="G32" s="223"/>
      <c r="H32" s="223"/>
      <c r="I32" s="223"/>
      <c r="J32" s="223"/>
      <c r="K32" s="224"/>
      <c r="L32" s="225"/>
    </row>
    <row r="33" spans="2:12" s="218" customFormat="1" ht="14.25" customHeight="1" outlineLevel="2">
      <c r="B33" s="219"/>
      <c r="C33" s="657"/>
      <c r="D33" s="661"/>
      <c r="F33" s="226" t="s">
        <v>3205</v>
      </c>
      <c r="G33" s="227"/>
      <c r="H33" s="227"/>
      <c r="I33" s="227"/>
      <c r="J33" s="227"/>
      <c r="K33" s="228"/>
      <c r="L33" s="225"/>
    </row>
    <row r="34" spans="2:12" s="125" customFormat="1" ht="12.75" outlineLevel="1">
      <c r="B34" s="214"/>
      <c r="C34" s="657"/>
      <c r="E34" s="724" t="s">
        <v>3206</v>
      </c>
      <c r="F34" s="725"/>
      <c r="G34" s="229">
        <f>G36+G35-G37</f>
        <v>0</v>
      </c>
      <c r="H34" s="229">
        <f>H36+H35-H37</f>
        <v>0</v>
      </c>
      <c r="I34" s="229">
        <f>I36+I35-I37</f>
        <v>0</v>
      </c>
      <c r="J34" s="229"/>
      <c r="K34" s="230">
        <f>K36+K35-K37</f>
        <v>0</v>
      </c>
      <c r="L34" s="200"/>
    </row>
    <row r="35" spans="2:12" s="218" customFormat="1" ht="14.25" customHeight="1" outlineLevel="1">
      <c r="B35" s="219"/>
      <c r="C35" s="657"/>
      <c r="D35" s="661"/>
      <c r="E35" s="220"/>
      <c r="F35" s="221" t="s">
        <v>3207</v>
      </c>
      <c r="G35" s="223"/>
      <c r="H35" s="223"/>
      <c r="I35" s="223"/>
      <c r="J35" s="223"/>
      <c r="K35" s="224"/>
      <c r="L35" s="225"/>
    </row>
    <row r="36" spans="2:12" s="218" customFormat="1" ht="14.25" customHeight="1" outlineLevel="1">
      <c r="B36" s="219"/>
      <c r="C36" s="657"/>
      <c r="D36" s="661"/>
      <c r="F36" s="226" t="s">
        <v>3208</v>
      </c>
      <c r="G36" s="227"/>
      <c r="H36" s="227"/>
      <c r="I36" s="227"/>
      <c r="J36" s="227"/>
      <c r="K36" s="228"/>
      <c r="L36" s="225"/>
    </row>
    <row r="37" spans="2:12" s="218" customFormat="1" ht="14.25" customHeight="1" outlineLevel="1">
      <c r="B37" s="219"/>
      <c r="C37" s="657"/>
      <c r="D37" s="661"/>
      <c r="F37" s="226" t="s">
        <v>3209</v>
      </c>
      <c r="G37" s="227"/>
      <c r="H37" s="227"/>
      <c r="I37" s="227"/>
      <c r="J37" s="227"/>
      <c r="K37" s="228"/>
      <c r="L37" s="225"/>
    </row>
    <row r="38" spans="2:12" s="218" customFormat="1" ht="14.25" customHeight="1">
      <c r="B38" s="219"/>
      <c r="C38" s="657"/>
      <c r="D38" s="611" t="s">
        <v>3210</v>
      </c>
      <c r="E38" s="612"/>
      <c r="F38" s="613"/>
      <c r="G38" s="227">
        <f>SUM(G39:G42)</f>
        <v>0</v>
      </c>
      <c r="H38" s="227">
        <f>SUM(H39:H42)</f>
        <v>0</v>
      </c>
      <c r="I38" s="227">
        <f>SUM(I39:I42)</f>
        <v>0</v>
      </c>
      <c r="J38" s="227">
        <f>SUM(J39:J42)</f>
        <v>0</v>
      </c>
      <c r="K38" s="228">
        <f>SUM(K39:K42)</f>
        <v>0</v>
      </c>
      <c r="L38" s="225"/>
    </row>
    <row r="39" spans="2:12" s="218" customFormat="1" ht="12" outlineLevel="1">
      <c r="B39" s="219"/>
      <c r="C39" s="657"/>
      <c r="D39" s="220"/>
      <c r="E39" s="616" t="s">
        <v>3211</v>
      </c>
      <c r="F39" s="617"/>
      <c r="G39" s="223"/>
      <c r="H39" s="223"/>
      <c r="I39" s="223"/>
      <c r="J39" s="223"/>
      <c r="K39" s="224"/>
      <c r="L39" s="225"/>
    </row>
    <row r="40" spans="2:12" s="218" customFormat="1" ht="12" outlineLevel="1">
      <c r="B40" s="219"/>
      <c r="C40" s="657"/>
      <c r="E40" s="626" t="s">
        <v>3212</v>
      </c>
      <c r="F40" s="627"/>
      <c r="G40" s="227"/>
      <c r="H40" s="227"/>
      <c r="I40" s="227"/>
      <c r="J40" s="227"/>
      <c r="K40" s="228"/>
      <c r="L40" s="225"/>
    </row>
    <row r="41" spans="2:12" s="218" customFormat="1" ht="12" outlineLevel="1">
      <c r="B41" s="219"/>
      <c r="C41" s="657"/>
      <c r="E41" s="626" t="s">
        <v>3213</v>
      </c>
      <c r="F41" s="627"/>
      <c r="G41" s="227"/>
      <c r="H41" s="227"/>
      <c r="I41" s="227"/>
      <c r="J41" s="227"/>
      <c r="K41" s="228"/>
      <c r="L41" s="225"/>
    </row>
    <row r="42" spans="2:12" s="218" customFormat="1" ht="12" outlineLevel="1">
      <c r="B42" s="219"/>
      <c r="C42" s="658"/>
      <c r="D42" s="241"/>
      <c r="E42" s="663" t="s">
        <v>3214</v>
      </c>
      <c r="F42" s="664"/>
      <c r="G42" s="227"/>
      <c r="H42" s="227"/>
      <c r="I42" s="227"/>
      <c r="J42" s="227"/>
      <c r="K42" s="228"/>
      <c r="L42" s="225"/>
    </row>
    <row r="43" spans="2:12" ht="17.25" customHeight="1">
      <c r="B43" s="127"/>
      <c r="C43" s="609" t="s">
        <v>3215</v>
      </c>
      <c r="D43" s="610"/>
      <c r="E43" s="610"/>
      <c r="F43" s="610" t="s">
        <v>3216</v>
      </c>
      <c r="G43" s="233">
        <f>G23-SUM(G26,G38)</f>
        <v>0</v>
      </c>
      <c r="H43" s="233">
        <f>H23-SUM(H26,H38)</f>
        <v>0</v>
      </c>
      <c r="I43" s="233">
        <f>I23-SUM(I26,I38)</f>
        <v>0</v>
      </c>
      <c r="J43" s="233">
        <f>J23-SUM(J26,J38)</f>
        <v>0</v>
      </c>
      <c r="K43" s="234">
        <f>K23-SUM(K26,K38)</f>
        <v>0</v>
      </c>
      <c r="L43" s="128"/>
    </row>
    <row r="44" spans="2:12" ht="7.5" customHeight="1">
      <c r="B44" s="127"/>
      <c r="C44" s="671"/>
      <c r="D44" s="672"/>
      <c r="E44" s="672"/>
      <c r="F44" s="672"/>
      <c r="G44" s="672"/>
      <c r="H44" s="672"/>
      <c r="I44" s="672"/>
      <c r="J44" s="672"/>
      <c r="K44" s="673"/>
      <c r="L44" s="128"/>
    </row>
    <row r="45" spans="2:12" s="125" customFormat="1" ht="12.75">
      <c r="B45" s="214"/>
      <c r="C45" s="214"/>
      <c r="D45" s="611" t="s">
        <v>3217</v>
      </c>
      <c r="E45" s="612"/>
      <c r="F45" s="613"/>
      <c r="G45" s="212">
        <f>SUM(G46,G47,G48)</f>
        <v>0</v>
      </c>
      <c r="H45" s="212">
        <f>SUM(H46,H47,H48)</f>
        <v>0</v>
      </c>
      <c r="I45" s="212">
        <f>SUM(I46,I47,I48)</f>
        <v>0</v>
      </c>
      <c r="J45" s="212">
        <f>SUM(J46,J47,J48)</f>
        <v>0</v>
      </c>
      <c r="K45" s="213">
        <f>SUM(K46,K47,K48)</f>
        <v>0</v>
      </c>
      <c r="L45" s="200"/>
    </row>
    <row r="46" spans="2:12" s="218" customFormat="1" ht="12" outlineLevel="1">
      <c r="B46" s="219"/>
      <c r="C46" s="618"/>
      <c r="D46" s="220"/>
      <c r="E46" s="701" t="s">
        <v>3218</v>
      </c>
      <c r="F46" s="702"/>
      <c r="G46" s="346"/>
      <c r="H46" s="223"/>
      <c r="I46" s="223"/>
      <c r="J46" s="223"/>
      <c r="K46" s="224"/>
      <c r="L46" s="225"/>
    </row>
    <row r="47" spans="2:12" s="218" customFormat="1" ht="12" outlineLevel="1">
      <c r="B47" s="219"/>
      <c r="C47" s="618"/>
      <c r="D47" s="240"/>
      <c r="E47" s="626" t="s">
        <v>3219</v>
      </c>
      <c r="F47" s="627"/>
      <c r="G47" s="227"/>
      <c r="H47" s="227"/>
      <c r="I47" s="227"/>
      <c r="J47" s="227"/>
      <c r="K47" s="228"/>
      <c r="L47" s="225"/>
    </row>
    <row r="48" spans="2:12" s="218" customFormat="1" ht="12" outlineLevel="1">
      <c r="B48" s="219"/>
      <c r="C48" s="618"/>
      <c r="D48" s="240"/>
      <c r="E48" s="621" t="s">
        <v>3220</v>
      </c>
      <c r="F48" s="622"/>
      <c r="G48" s="347"/>
      <c r="H48" s="347"/>
      <c r="I48" s="227"/>
      <c r="J48" s="227"/>
      <c r="K48" s="228"/>
      <c r="L48" s="225"/>
    </row>
    <row r="49" spans="1:12" s="125" customFormat="1" ht="12.75">
      <c r="B49" s="214"/>
      <c r="C49" s="618"/>
      <c r="D49" s="611" t="s">
        <v>3221</v>
      </c>
      <c r="E49" s="612"/>
      <c r="F49" s="613"/>
      <c r="G49" s="229">
        <f>SUM(G50:G51)</f>
        <v>0</v>
      </c>
      <c r="H49" s="229">
        <f>SUM(H50:H51)</f>
        <v>0</v>
      </c>
      <c r="I49" s="229">
        <f>SUM(I50:I51)</f>
        <v>0</v>
      </c>
      <c r="J49" s="229">
        <f>SUM(J50:J51)</f>
        <v>0</v>
      </c>
      <c r="K49" s="230">
        <f>SUM(K50:K51)</f>
        <v>0</v>
      </c>
      <c r="L49" s="200"/>
    </row>
    <row r="50" spans="1:12" s="218" customFormat="1" ht="14.25" customHeight="1" outlineLevel="1">
      <c r="B50" s="219"/>
      <c r="C50" s="618"/>
      <c r="D50" s="220"/>
      <c r="E50" s="616" t="s">
        <v>3222</v>
      </c>
      <c r="F50" s="617"/>
      <c r="G50" s="223"/>
      <c r="H50" s="223"/>
      <c r="I50" s="223"/>
      <c r="J50" s="223"/>
      <c r="K50" s="224"/>
      <c r="L50" s="225"/>
    </row>
    <row r="51" spans="1:12" s="218" customFormat="1" ht="14.25" customHeight="1" outlineLevel="1">
      <c r="B51" s="219"/>
      <c r="C51" s="618"/>
      <c r="E51" s="626" t="s">
        <v>3223</v>
      </c>
      <c r="F51" s="627"/>
      <c r="G51" s="227"/>
      <c r="H51" s="227"/>
      <c r="I51" s="227"/>
      <c r="J51" s="227"/>
      <c r="K51" s="228"/>
      <c r="L51" s="225"/>
    </row>
    <row r="52" spans="1:12" s="125" customFormat="1" ht="12.75">
      <c r="A52" s="218"/>
      <c r="B52" s="214"/>
      <c r="C52" s="618"/>
      <c r="D52" s="611" t="s">
        <v>3224</v>
      </c>
      <c r="E52" s="612"/>
      <c r="F52" s="613"/>
      <c r="G52" s="229">
        <f>SUM(G53:G54)</f>
        <v>0</v>
      </c>
      <c r="H52" s="229">
        <f>SUM(H53:H54)</f>
        <v>0</v>
      </c>
      <c r="I52" s="229">
        <f>SUM(I53:I54)</f>
        <v>0</v>
      </c>
      <c r="J52" s="229">
        <f>SUM(J53:J54)</f>
        <v>0</v>
      </c>
      <c r="K52" s="230">
        <f>SUM(K53:K54)</f>
        <v>0</v>
      </c>
      <c r="L52" s="200"/>
    </row>
    <row r="53" spans="1:12" s="218" customFormat="1" ht="14.25" customHeight="1" outlineLevel="1">
      <c r="B53" s="219"/>
      <c r="C53" s="618"/>
      <c r="D53" s="220"/>
      <c r="E53" s="616" t="s">
        <v>3225</v>
      </c>
      <c r="F53" s="617"/>
      <c r="G53" s="223"/>
      <c r="H53" s="223"/>
      <c r="I53" s="223"/>
      <c r="J53" s="223"/>
      <c r="K53" s="224"/>
      <c r="L53" s="225"/>
    </row>
    <row r="54" spans="1:12" s="218" customFormat="1" ht="14.25" customHeight="1" outlineLevel="1">
      <c r="B54" s="219"/>
      <c r="C54" s="686"/>
      <c r="D54" s="241"/>
      <c r="E54" s="663" t="s">
        <v>3226</v>
      </c>
      <c r="F54" s="664"/>
      <c r="G54" s="231"/>
      <c r="H54" s="231"/>
      <c r="I54" s="231"/>
      <c r="J54" s="227"/>
      <c r="K54" s="232"/>
      <c r="L54" s="225"/>
    </row>
    <row r="55" spans="1:12" ht="17.25" customHeight="1">
      <c r="A55" s="218"/>
      <c r="B55" s="127"/>
      <c r="C55" s="682" t="s">
        <v>3227</v>
      </c>
      <c r="D55" s="683"/>
      <c r="E55" s="683"/>
      <c r="F55" s="683"/>
      <c r="G55" s="256">
        <f>G43-SUM(G45,G49,G52)</f>
        <v>0</v>
      </c>
      <c r="H55" s="256">
        <f>H43-SUM(H45,H49,H52)</f>
        <v>0</v>
      </c>
      <c r="I55" s="256">
        <f>I43-SUM(I45,I49,I52)</f>
        <v>0</v>
      </c>
      <c r="J55" s="256">
        <f>J43-SUM(J45,J49,J52)</f>
        <v>0</v>
      </c>
      <c r="K55" s="259">
        <f>K43-SUM(K45,K49,K52)</f>
        <v>0</v>
      </c>
      <c r="L55" s="128"/>
    </row>
    <row r="56" spans="1:12" ht="7.5" customHeight="1">
      <c r="B56" s="127"/>
      <c r="C56" s="671"/>
      <c r="D56" s="672"/>
      <c r="E56" s="672"/>
      <c r="F56" s="672"/>
      <c r="G56" s="672"/>
      <c r="H56" s="672"/>
      <c r="I56" s="672"/>
      <c r="J56" s="672"/>
      <c r="K56" s="673"/>
      <c r="L56" s="128"/>
    </row>
    <row r="57" spans="1:12" s="125" customFormat="1" ht="14.25">
      <c r="A57" s="124"/>
      <c r="B57" s="214"/>
      <c r="C57" s="618"/>
      <c r="D57" s="611" t="s">
        <v>3228</v>
      </c>
      <c r="E57" s="612"/>
      <c r="F57" s="613"/>
      <c r="G57" s="212"/>
      <c r="H57" s="212"/>
      <c r="I57" s="212"/>
      <c r="J57" s="212"/>
      <c r="K57" s="213"/>
      <c r="L57" s="200"/>
    </row>
    <row r="58" spans="1:12" s="125" customFormat="1" ht="12.75">
      <c r="B58" s="214"/>
      <c r="C58" s="618"/>
      <c r="D58" s="611" t="s">
        <v>3229</v>
      </c>
      <c r="E58" s="612"/>
      <c r="F58" s="613"/>
      <c r="G58" s="212">
        <f>SUM(G60:G60)</f>
        <v>0</v>
      </c>
      <c r="H58" s="212">
        <f>SUM(H59:H60)</f>
        <v>0</v>
      </c>
      <c r="I58" s="212">
        <f>SUM(I59:I60)</f>
        <v>0</v>
      </c>
      <c r="J58" s="212">
        <f>SUM(J59:J60)</f>
        <v>0</v>
      </c>
      <c r="K58" s="213">
        <f>SUM(K60:K60)</f>
        <v>0</v>
      </c>
      <c r="L58" s="200"/>
    </row>
    <row r="59" spans="1:12" s="218" customFormat="1" ht="12" outlineLevel="1">
      <c r="B59" s="219"/>
      <c r="C59" s="618"/>
      <c r="D59" s="220"/>
      <c r="E59" s="616" t="s">
        <v>3230</v>
      </c>
      <c r="F59" s="617"/>
      <c r="G59" s="223"/>
      <c r="H59" s="223"/>
      <c r="I59" s="223"/>
      <c r="J59" s="223"/>
      <c r="K59" s="224"/>
      <c r="L59" s="225"/>
    </row>
    <row r="60" spans="1:12" s="218" customFormat="1" ht="12" outlineLevel="1">
      <c r="B60" s="219"/>
      <c r="C60" s="618"/>
      <c r="E60" s="626" t="s">
        <v>3231</v>
      </c>
      <c r="F60" s="627"/>
      <c r="G60" s="227"/>
      <c r="H60" s="227"/>
      <c r="I60" s="227"/>
      <c r="J60" s="227"/>
      <c r="K60" s="228"/>
      <c r="L60" s="225"/>
    </row>
    <row r="61" spans="1:12" s="125" customFormat="1" ht="12.75">
      <c r="B61" s="214"/>
      <c r="C61" s="618"/>
      <c r="D61" s="611" t="s">
        <v>3232</v>
      </c>
      <c r="E61" s="612"/>
      <c r="F61" s="613"/>
      <c r="G61" s="212">
        <f>SUM(G62:G63)</f>
        <v>0</v>
      </c>
      <c r="H61" s="212">
        <f>SUM(H62:H63)</f>
        <v>0</v>
      </c>
      <c r="I61" s="212">
        <f>SUM(I62:I63)</f>
        <v>0</v>
      </c>
      <c r="J61" s="212">
        <f>SUM(J62:J63)</f>
        <v>0</v>
      </c>
      <c r="K61" s="213">
        <f>SUM(K62:K63)</f>
        <v>0</v>
      </c>
      <c r="L61" s="200"/>
    </row>
    <row r="62" spans="1:12" s="218" customFormat="1" ht="12" outlineLevel="1">
      <c r="B62" s="219"/>
      <c r="C62" s="618"/>
      <c r="D62" s="239"/>
      <c r="E62" s="701" t="s">
        <v>3233</v>
      </c>
      <c r="F62" s="702"/>
      <c r="G62" s="223"/>
      <c r="H62" s="223"/>
      <c r="I62" s="223"/>
      <c r="J62" s="223"/>
      <c r="K62" s="224"/>
      <c r="L62" s="225"/>
    </row>
    <row r="63" spans="1:12" s="218" customFormat="1" ht="12" outlineLevel="1">
      <c r="B63" s="219"/>
      <c r="C63" s="618"/>
      <c r="D63" s="240"/>
      <c r="E63" s="626" t="s">
        <v>3234</v>
      </c>
      <c r="F63" s="627"/>
      <c r="G63" s="227"/>
      <c r="H63" s="227"/>
      <c r="I63" s="227"/>
      <c r="J63" s="227"/>
      <c r="K63" s="228"/>
      <c r="L63" s="225"/>
    </row>
    <row r="64" spans="1:12" s="125" customFormat="1" ht="12.75">
      <c r="B64" s="214"/>
      <c r="C64" s="686"/>
      <c r="D64" s="646" t="s">
        <v>3235</v>
      </c>
      <c r="E64" s="647"/>
      <c r="F64" s="648"/>
      <c r="G64" s="344"/>
      <c r="H64" s="227"/>
      <c r="I64" s="227"/>
      <c r="J64" s="344"/>
      <c r="K64" s="345"/>
      <c r="L64" s="200"/>
    </row>
    <row r="65" spans="1:12" ht="17.25" customHeight="1">
      <c r="A65" s="125"/>
      <c r="B65" s="127"/>
      <c r="C65" s="609" t="s">
        <v>3236</v>
      </c>
      <c r="D65" s="610"/>
      <c r="E65" s="610"/>
      <c r="F65" s="610"/>
      <c r="G65" s="233">
        <f>G55-SUM(G57,G58,G61,G64)</f>
        <v>0</v>
      </c>
      <c r="H65" s="233">
        <f>H55-SUM(H57,H58,H61,H64)</f>
        <v>0</v>
      </c>
      <c r="I65" s="233">
        <f>I55-SUM(I57,I58,I61,I64)</f>
        <v>0</v>
      </c>
      <c r="J65" s="233">
        <f>J55-SUM(J57,J58,J61,J64)</f>
        <v>0</v>
      </c>
      <c r="K65" s="234">
        <f>K55-SUM(K57,K58,K61,K64)</f>
        <v>0</v>
      </c>
      <c r="L65" s="128"/>
    </row>
    <row r="66" spans="1:12" ht="7.5" customHeight="1">
      <c r="B66" s="127"/>
      <c r="C66" s="671"/>
      <c r="D66" s="672"/>
      <c r="E66" s="672"/>
      <c r="F66" s="672"/>
      <c r="G66" s="672"/>
      <c r="H66" s="672"/>
      <c r="I66" s="672"/>
      <c r="J66" s="672"/>
      <c r="K66" s="673"/>
      <c r="L66" s="128"/>
    </row>
    <row r="67" spans="1:12" s="125" customFormat="1" ht="14.25">
      <c r="A67" s="124"/>
      <c r="B67" s="214"/>
      <c r="C67" s="618"/>
      <c r="D67" s="611" t="s">
        <v>3237</v>
      </c>
      <c r="E67" s="612"/>
      <c r="F67" s="613"/>
      <c r="G67" s="258">
        <f>SUM(G68:G72)</f>
        <v>0</v>
      </c>
      <c r="H67" s="229">
        <f>SUM(H68:H72)</f>
        <v>0</v>
      </c>
      <c r="I67" s="229">
        <f>SUM(I68:I72)</f>
        <v>0</v>
      </c>
      <c r="J67" s="229">
        <f>SUM(J68:J72)</f>
        <v>0</v>
      </c>
      <c r="K67" s="230">
        <f>SUM(K68:K72)</f>
        <v>0</v>
      </c>
      <c r="L67" s="200"/>
    </row>
    <row r="68" spans="1:12" s="218" customFormat="1" ht="14.25" customHeight="1" outlineLevel="1">
      <c r="A68" s="125"/>
      <c r="B68" s="219"/>
      <c r="C68" s="618"/>
      <c r="D68" s="699"/>
      <c r="E68" s="616" t="s">
        <v>3238</v>
      </c>
      <c r="F68" s="617"/>
      <c r="G68" s="348"/>
      <c r="H68" s="223"/>
      <c r="I68" s="223"/>
      <c r="J68" s="223"/>
      <c r="K68" s="224"/>
      <c r="L68" s="225"/>
    </row>
    <row r="69" spans="1:12" s="218" customFormat="1" ht="14.25" customHeight="1" outlineLevel="1">
      <c r="B69" s="219"/>
      <c r="C69" s="618"/>
      <c r="D69" s="680"/>
      <c r="E69" s="626" t="s">
        <v>3239</v>
      </c>
      <c r="F69" s="627"/>
      <c r="G69" s="349"/>
      <c r="H69" s="227"/>
      <c r="I69" s="227"/>
      <c r="J69" s="227"/>
      <c r="K69" s="228"/>
      <c r="L69" s="225"/>
    </row>
    <row r="70" spans="1:12" s="218" customFormat="1" ht="14.25" customHeight="1" outlineLevel="1">
      <c r="B70" s="219"/>
      <c r="C70" s="618"/>
      <c r="D70" s="680"/>
      <c r="E70" s="626" t="s">
        <v>3240</v>
      </c>
      <c r="F70" s="627"/>
      <c r="G70" s="349"/>
      <c r="H70" s="227"/>
      <c r="I70" s="227"/>
      <c r="J70" s="227"/>
      <c r="K70" s="228"/>
      <c r="L70" s="225"/>
    </row>
    <row r="71" spans="1:12" s="218" customFormat="1" ht="14.25" customHeight="1" outlineLevel="1">
      <c r="B71" s="219"/>
      <c r="C71" s="618"/>
      <c r="D71" s="680"/>
      <c r="E71" s="626" t="s">
        <v>3241</v>
      </c>
      <c r="F71" s="627"/>
      <c r="G71" s="349"/>
      <c r="H71" s="227"/>
      <c r="I71" s="227"/>
      <c r="J71" s="227"/>
      <c r="K71" s="228"/>
      <c r="L71" s="225"/>
    </row>
    <row r="72" spans="1:12" s="218" customFormat="1" ht="14.25" customHeight="1" outlineLevel="1">
      <c r="B72" s="219"/>
      <c r="C72" s="618"/>
      <c r="E72" s="626" t="s">
        <v>3242</v>
      </c>
      <c r="F72" s="627"/>
      <c r="G72" s="349"/>
      <c r="H72" s="227"/>
      <c r="I72" s="227"/>
      <c r="J72" s="227"/>
      <c r="K72" s="228"/>
      <c r="L72" s="225"/>
    </row>
    <row r="73" spans="1:12" s="125" customFormat="1" ht="12.75">
      <c r="A73" s="218"/>
      <c r="B73" s="214"/>
      <c r="C73" s="618"/>
      <c r="D73" s="611" t="s">
        <v>3243</v>
      </c>
      <c r="E73" s="612"/>
      <c r="F73" s="613"/>
      <c r="G73" s="229">
        <f>SUM(G74:G80)</f>
        <v>0</v>
      </c>
      <c r="H73" s="229">
        <f>SUM(H74:H80)</f>
        <v>0</v>
      </c>
      <c r="I73" s="229">
        <f>SUM(I74:I80)</f>
        <v>0</v>
      </c>
      <c r="J73" s="229">
        <f>SUM(J74:J80)</f>
        <v>0</v>
      </c>
      <c r="K73" s="230"/>
      <c r="L73" s="200"/>
    </row>
    <row r="74" spans="1:12" s="218" customFormat="1" ht="14.25" customHeight="1" outlineLevel="1">
      <c r="A74" s="125"/>
      <c r="B74" s="219"/>
      <c r="C74" s="618"/>
      <c r="D74" s="699"/>
      <c r="E74" s="701" t="s">
        <v>3244</v>
      </c>
      <c r="F74" s="702"/>
      <c r="G74" s="223"/>
      <c r="H74" s="223"/>
      <c r="I74" s="223"/>
      <c r="J74" s="223"/>
      <c r="K74" s="224"/>
      <c r="L74" s="225"/>
    </row>
    <row r="75" spans="1:12" s="218" customFormat="1" ht="14.25" customHeight="1" outlineLevel="1">
      <c r="B75" s="219"/>
      <c r="C75" s="618"/>
      <c r="D75" s="680"/>
      <c r="E75" s="621" t="s">
        <v>3245</v>
      </c>
      <c r="F75" s="622"/>
      <c r="G75" s="227"/>
      <c r="H75" s="227"/>
      <c r="I75" s="227"/>
      <c r="J75" s="227"/>
      <c r="K75" s="228"/>
      <c r="L75" s="225"/>
    </row>
    <row r="76" spans="1:12" s="218" customFormat="1" ht="14.25" customHeight="1" outlineLevel="1">
      <c r="B76" s="219"/>
      <c r="C76" s="618"/>
      <c r="D76" s="680"/>
      <c r="E76" s="621" t="s">
        <v>3246</v>
      </c>
      <c r="F76" s="622"/>
      <c r="G76" s="227"/>
      <c r="H76" s="227"/>
      <c r="I76" s="227"/>
      <c r="J76" s="227"/>
      <c r="K76" s="228"/>
      <c r="L76" s="225"/>
    </row>
    <row r="77" spans="1:12" s="218" customFormat="1" ht="14.25" customHeight="1" outlineLevel="1">
      <c r="B77" s="219"/>
      <c r="C77" s="618"/>
      <c r="D77" s="680"/>
      <c r="E77" s="621" t="s">
        <v>3247</v>
      </c>
      <c r="F77" s="622"/>
      <c r="G77" s="227"/>
      <c r="H77" s="227"/>
      <c r="I77" s="227"/>
      <c r="J77" s="227"/>
      <c r="K77" s="228"/>
      <c r="L77" s="225"/>
    </row>
    <row r="78" spans="1:12" s="218" customFormat="1" ht="14.25" customHeight="1" outlineLevel="1">
      <c r="B78" s="219"/>
      <c r="C78" s="618"/>
      <c r="D78" s="680"/>
      <c r="E78" s="621" t="s">
        <v>3248</v>
      </c>
      <c r="F78" s="622"/>
      <c r="G78" s="227"/>
      <c r="H78" s="227"/>
      <c r="I78" s="227"/>
      <c r="J78" s="227"/>
      <c r="K78" s="228"/>
      <c r="L78" s="225"/>
    </row>
    <row r="79" spans="1:12" s="218" customFormat="1" ht="14.25" customHeight="1" outlineLevel="1">
      <c r="B79" s="219"/>
      <c r="C79" s="618"/>
      <c r="D79" s="680"/>
      <c r="E79" s="621" t="s">
        <v>3249</v>
      </c>
      <c r="F79" s="622"/>
      <c r="G79" s="227"/>
      <c r="H79" s="227"/>
      <c r="I79" s="227"/>
      <c r="J79" s="227"/>
      <c r="K79" s="228"/>
      <c r="L79" s="225"/>
    </row>
    <row r="80" spans="1:12" s="218" customFormat="1" ht="14.25" customHeight="1" outlineLevel="1">
      <c r="B80" s="219"/>
      <c r="C80" s="618"/>
      <c r="D80" s="700"/>
      <c r="E80" s="716" t="s">
        <v>3250</v>
      </c>
      <c r="F80" s="717"/>
      <c r="G80" s="227"/>
      <c r="H80" s="227"/>
      <c r="I80" s="227"/>
      <c r="J80" s="227"/>
      <c r="K80" s="228"/>
      <c r="L80" s="225"/>
    </row>
    <row r="81" spans="1:1024" ht="17.25" customHeight="1">
      <c r="A81" s="218"/>
      <c r="B81" s="127"/>
      <c r="C81" s="682" t="s">
        <v>3251</v>
      </c>
      <c r="D81" s="683"/>
      <c r="E81" s="683"/>
      <c r="F81" s="683"/>
      <c r="G81" s="256">
        <f>G65-G67+G73</f>
        <v>0</v>
      </c>
      <c r="H81" s="256">
        <f>H65-H67+H73</f>
        <v>0</v>
      </c>
      <c r="I81" s="256">
        <f>I65-I67+I73</f>
        <v>0</v>
      </c>
      <c r="J81" s="256">
        <f>J65-J67+J73</f>
        <v>0</v>
      </c>
      <c r="K81" s="259">
        <f>K65-K67+K73</f>
        <v>0</v>
      </c>
      <c r="L81" s="128"/>
    </row>
    <row r="82" spans="1:1024" ht="7.5" customHeight="1">
      <c r="B82" s="127"/>
      <c r="C82" s="671"/>
      <c r="D82" s="672"/>
      <c r="E82" s="672"/>
      <c r="F82" s="672"/>
      <c r="G82" s="672"/>
      <c r="H82" s="672"/>
      <c r="I82" s="672"/>
      <c r="J82" s="672"/>
      <c r="K82" s="673"/>
      <c r="L82" s="128"/>
    </row>
    <row r="83" spans="1:1024" s="125" customFormat="1" ht="14.25">
      <c r="A83" s="124"/>
      <c r="B83" s="214"/>
      <c r="C83" s="214"/>
      <c r="D83" s="735" t="s">
        <v>3252</v>
      </c>
      <c r="E83" s="736"/>
      <c r="F83" s="737"/>
      <c r="G83" s="350"/>
      <c r="H83" s="212"/>
      <c r="I83" s="212"/>
      <c r="J83" s="212"/>
      <c r="K83" s="213"/>
      <c r="L83" s="260"/>
    </row>
    <row r="84" spans="1:1024" ht="17.25" customHeight="1">
      <c r="A84" s="125"/>
      <c r="B84" s="127"/>
      <c r="C84" s="609" t="s">
        <v>3253</v>
      </c>
      <c r="D84" s="610"/>
      <c r="E84" s="610"/>
      <c r="F84" s="610"/>
      <c r="G84" s="233">
        <f>G81+G83</f>
        <v>0</v>
      </c>
      <c r="H84" s="233">
        <f>H81+H83</f>
        <v>0</v>
      </c>
      <c r="I84" s="233">
        <f>I81+I83</f>
        <v>0</v>
      </c>
      <c r="J84" s="233">
        <f>J81+J83</f>
        <v>0</v>
      </c>
      <c r="K84" s="234">
        <f>K81+K83</f>
        <v>0</v>
      </c>
      <c r="L84" s="128"/>
    </row>
    <row r="85" spans="1:1024" ht="7.5" customHeight="1">
      <c r="B85" s="127"/>
      <c r="C85" s="665"/>
      <c r="D85" s="666"/>
      <c r="E85" s="666"/>
      <c r="F85" s="667"/>
      <c r="G85" s="666"/>
      <c r="H85" s="666"/>
      <c r="I85" s="666"/>
      <c r="J85" s="666"/>
      <c r="K85" s="668"/>
      <c r="L85" s="128"/>
    </row>
    <row r="86" spans="1:1024" s="125" customFormat="1" ht="12.75">
      <c r="B86" s="214"/>
      <c r="C86" s="214"/>
      <c r="D86" s="614" t="s">
        <v>3254</v>
      </c>
      <c r="E86" s="614"/>
      <c r="F86" s="615"/>
      <c r="G86" s="212">
        <f>SUM(G87,G88)</f>
        <v>0</v>
      </c>
      <c r="H86" s="212">
        <f>SUM(H87,H88)</f>
        <v>0</v>
      </c>
      <c r="I86" s="212">
        <f>SUM(I87,I88)</f>
        <v>0</v>
      </c>
      <c r="J86" s="212">
        <f>SUM(J87,J88)</f>
        <v>0</v>
      </c>
      <c r="K86" s="213">
        <f>SUM(K87,K88)</f>
        <v>0</v>
      </c>
      <c r="L86" s="200"/>
    </row>
    <row r="87" spans="1:1024" s="218" customFormat="1" ht="12" outlineLevel="1">
      <c r="B87" s="219"/>
      <c r="C87" s="618"/>
      <c r="D87" s="220"/>
      <c r="E87" s="616" t="s">
        <v>3255</v>
      </c>
      <c r="F87" s="617"/>
      <c r="G87" s="223"/>
      <c r="H87" s="223"/>
      <c r="I87" s="223"/>
      <c r="J87" s="223"/>
      <c r="K87" s="224"/>
      <c r="L87" s="225"/>
    </row>
    <row r="88" spans="1:1024" s="218" customFormat="1" ht="12" outlineLevel="1">
      <c r="B88" s="219"/>
      <c r="C88" s="618"/>
      <c r="E88" s="626" t="s">
        <v>3256</v>
      </c>
      <c r="F88" s="627"/>
      <c r="G88" s="227"/>
      <c r="H88" s="227"/>
      <c r="I88" s="227"/>
      <c r="J88" s="227"/>
      <c r="K88" s="228"/>
      <c r="L88" s="225"/>
    </row>
    <row r="89" spans="1:1024" s="125" customFormat="1" ht="12.75">
      <c r="B89" s="214"/>
      <c r="C89" s="618"/>
      <c r="D89" s="611" t="s">
        <v>3257</v>
      </c>
      <c r="E89" s="612"/>
      <c r="F89" s="613"/>
      <c r="G89" s="261" t="str">
        <f>IFERROR(G87/G84,"-")</f>
        <v>-</v>
      </c>
      <c r="H89" s="261" t="str">
        <f>IFERROR(H87/H84,"-")</f>
        <v>-</v>
      </c>
      <c r="I89" s="261" t="str">
        <f>IFERROR(I87/I84,"-")</f>
        <v>-</v>
      </c>
      <c r="J89" s="261" t="str">
        <f>IFERROR(J87/J84,"-")</f>
        <v>-</v>
      </c>
      <c r="K89" s="262" t="str">
        <f>IFERROR(K87/K84,"-")</f>
        <v>-</v>
      </c>
      <c r="L89" s="200"/>
    </row>
    <row r="90" spans="1:1024" ht="15">
      <c r="A90" s="263"/>
      <c r="B90" s="264"/>
      <c r="C90" s="691"/>
      <c r="D90" s="695" t="s">
        <v>3258</v>
      </c>
      <c r="E90" s="695"/>
      <c r="F90" s="696"/>
      <c r="G90" s="351"/>
      <c r="H90" s="351"/>
      <c r="I90" s="351"/>
      <c r="J90" s="351"/>
      <c r="K90" s="352"/>
      <c r="L90" s="266"/>
      <c r="M90" s="267"/>
      <c r="N90" s="267"/>
      <c r="O90" s="267"/>
      <c r="P90" s="267"/>
      <c r="Q90" s="267"/>
      <c r="R90" s="267"/>
      <c r="S90" s="267"/>
      <c r="T90" s="267"/>
      <c r="U90" s="267"/>
      <c r="V90" s="267"/>
      <c r="W90" s="267"/>
      <c r="X90" s="267"/>
      <c r="Y90" s="267"/>
      <c r="Z90" s="267"/>
      <c r="AA90" s="267"/>
      <c r="AB90" s="267"/>
      <c r="AC90" s="267"/>
      <c r="AD90" s="267"/>
      <c r="AE90" s="267"/>
      <c r="AF90" s="267"/>
      <c r="AG90" s="267"/>
      <c r="AH90" s="267"/>
      <c r="AI90" s="267"/>
      <c r="AJ90" s="267"/>
      <c r="AK90" s="267"/>
      <c r="AL90" s="267"/>
      <c r="AM90" s="267"/>
      <c r="AN90" s="267"/>
      <c r="AO90" s="267"/>
      <c r="AP90" s="267"/>
      <c r="AQ90" s="267"/>
      <c r="AR90" s="267"/>
      <c r="AS90" s="267"/>
      <c r="AT90" s="267"/>
      <c r="AU90" s="267"/>
      <c r="AV90" s="267"/>
      <c r="AW90" s="267"/>
      <c r="AX90" s="267"/>
      <c r="AY90" s="267"/>
      <c r="AZ90" s="267"/>
      <c r="BA90" s="267"/>
      <c r="BB90" s="267"/>
      <c r="BC90" s="267"/>
      <c r="BD90" s="267"/>
      <c r="BE90" s="267"/>
      <c r="BF90" s="267"/>
      <c r="BG90" s="267"/>
      <c r="BH90" s="267"/>
      <c r="BI90" s="267"/>
      <c r="BJ90" s="267"/>
      <c r="BK90" s="267"/>
      <c r="BL90" s="267"/>
      <c r="BM90" s="267"/>
      <c r="BN90" s="267"/>
      <c r="BO90" s="267"/>
      <c r="BP90" s="267"/>
      <c r="BQ90" s="267"/>
      <c r="BR90" s="267"/>
      <c r="BS90" s="267"/>
      <c r="BT90" s="267"/>
      <c r="BU90" s="267"/>
      <c r="BV90" s="267"/>
      <c r="BW90" s="267"/>
      <c r="BX90" s="267"/>
      <c r="BY90" s="267"/>
      <c r="BZ90" s="267"/>
      <c r="CA90" s="267"/>
      <c r="CB90" s="267"/>
      <c r="CC90" s="267"/>
      <c r="CD90" s="267"/>
      <c r="CE90" s="267"/>
      <c r="CF90" s="267"/>
      <c r="CG90" s="267"/>
      <c r="CH90" s="267"/>
      <c r="CI90" s="267"/>
      <c r="CJ90" s="267"/>
      <c r="CK90" s="267"/>
      <c r="CL90" s="267"/>
      <c r="CM90" s="267"/>
      <c r="CN90" s="267"/>
      <c r="CO90" s="267"/>
      <c r="CP90" s="267"/>
      <c r="CQ90" s="267"/>
      <c r="CR90" s="267"/>
      <c r="CS90" s="267"/>
      <c r="CT90" s="267"/>
      <c r="CU90" s="267"/>
      <c r="CV90" s="267"/>
      <c r="CW90" s="267"/>
      <c r="CX90" s="267"/>
      <c r="CY90" s="267"/>
      <c r="CZ90" s="267"/>
      <c r="DA90" s="267"/>
      <c r="DB90" s="267"/>
      <c r="DC90" s="267"/>
      <c r="DD90" s="267"/>
      <c r="DE90" s="267"/>
      <c r="DF90" s="267"/>
      <c r="DG90" s="267"/>
      <c r="DH90" s="267"/>
      <c r="DI90" s="267"/>
      <c r="DJ90" s="267"/>
      <c r="DK90" s="267"/>
      <c r="DL90" s="267"/>
      <c r="DM90" s="267"/>
      <c r="DN90" s="267"/>
      <c r="DO90" s="267"/>
      <c r="DP90" s="267"/>
      <c r="DQ90" s="267"/>
      <c r="DR90" s="267"/>
      <c r="DS90" s="267"/>
      <c r="DT90" s="267"/>
      <c r="DU90" s="267"/>
      <c r="DV90" s="267"/>
      <c r="DW90" s="267"/>
      <c r="DX90" s="267"/>
      <c r="DY90" s="267"/>
      <c r="DZ90" s="267"/>
      <c r="EA90" s="267"/>
      <c r="EB90" s="267"/>
      <c r="EC90" s="267"/>
      <c r="ED90" s="267"/>
      <c r="EE90" s="267"/>
      <c r="EF90" s="267"/>
      <c r="EG90" s="267"/>
      <c r="EH90" s="267"/>
      <c r="EI90" s="267"/>
      <c r="EJ90" s="267"/>
      <c r="EK90" s="267"/>
      <c r="EL90" s="267"/>
      <c r="EM90" s="267"/>
      <c r="EN90" s="267"/>
      <c r="EO90" s="267"/>
      <c r="EP90" s="267"/>
      <c r="EQ90" s="267"/>
      <c r="ER90" s="267"/>
      <c r="ES90" s="267"/>
      <c r="ET90" s="267"/>
      <c r="EU90" s="267"/>
      <c r="EV90" s="267"/>
      <c r="EW90" s="267"/>
      <c r="EX90" s="267"/>
      <c r="EY90" s="267"/>
      <c r="EZ90" s="267"/>
      <c r="FA90" s="267"/>
      <c r="FB90" s="267"/>
      <c r="FC90" s="267"/>
      <c r="FD90" s="267"/>
      <c r="FE90" s="267"/>
      <c r="FF90" s="267"/>
      <c r="FG90" s="267"/>
      <c r="FH90" s="267"/>
      <c r="FI90" s="267"/>
      <c r="FJ90" s="267"/>
      <c r="FK90" s="267"/>
      <c r="FL90" s="267"/>
      <c r="FM90" s="267"/>
      <c r="FN90" s="267"/>
      <c r="FO90" s="267"/>
      <c r="FP90" s="267"/>
      <c r="FQ90" s="267"/>
      <c r="FR90" s="267"/>
      <c r="FS90" s="267"/>
      <c r="FT90" s="267"/>
      <c r="FU90" s="267"/>
      <c r="FV90" s="267"/>
      <c r="FW90" s="267"/>
      <c r="FX90" s="267"/>
      <c r="FY90" s="267"/>
      <c r="FZ90" s="267"/>
      <c r="GA90" s="267"/>
      <c r="GB90" s="267"/>
      <c r="GC90" s="267"/>
      <c r="GD90" s="267"/>
      <c r="GE90" s="267"/>
      <c r="GF90" s="267"/>
      <c r="GG90" s="267"/>
      <c r="GH90" s="267"/>
      <c r="GI90" s="267"/>
      <c r="GJ90" s="267"/>
      <c r="GK90" s="267"/>
      <c r="GL90" s="267"/>
      <c r="GM90" s="267"/>
      <c r="GN90" s="267"/>
      <c r="GO90" s="267"/>
      <c r="GP90" s="267"/>
      <c r="GQ90" s="267"/>
      <c r="GR90" s="267"/>
      <c r="GS90" s="267"/>
      <c r="GT90" s="267"/>
      <c r="GU90" s="267"/>
      <c r="GV90" s="267"/>
      <c r="GW90" s="267"/>
      <c r="GX90" s="267"/>
      <c r="GY90" s="267"/>
      <c r="GZ90" s="267"/>
      <c r="HA90" s="267"/>
      <c r="HB90" s="267"/>
      <c r="HC90" s="267"/>
      <c r="HD90" s="267"/>
      <c r="HE90" s="267"/>
      <c r="HF90" s="267"/>
      <c r="HG90" s="267"/>
      <c r="HH90" s="267"/>
      <c r="HI90" s="267"/>
      <c r="HJ90" s="267"/>
      <c r="HK90" s="267"/>
      <c r="HL90" s="267"/>
      <c r="HM90" s="267"/>
      <c r="HN90" s="267"/>
      <c r="HO90" s="267"/>
      <c r="HP90" s="267"/>
      <c r="HQ90" s="267"/>
      <c r="HR90" s="267"/>
      <c r="HS90" s="267"/>
      <c r="HT90" s="267"/>
      <c r="HU90" s="267"/>
      <c r="HV90" s="267"/>
      <c r="HW90" s="267"/>
      <c r="HX90" s="267"/>
      <c r="HY90" s="267"/>
      <c r="HZ90" s="267"/>
      <c r="IA90" s="267"/>
      <c r="IB90" s="267"/>
      <c r="IC90" s="267"/>
      <c r="ID90" s="267"/>
      <c r="IE90" s="267"/>
      <c r="IF90" s="267"/>
      <c r="IG90" s="267"/>
      <c r="IH90" s="267"/>
      <c r="II90" s="267"/>
      <c r="IJ90" s="267"/>
      <c r="IK90" s="267"/>
      <c r="IL90" s="267"/>
      <c r="IM90" s="267"/>
      <c r="IN90" s="267"/>
      <c r="IO90" s="267"/>
      <c r="IP90" s="267"/>
      <c r="IQ90" s="267"/>
      <c r="IR90" s="267"/>
      <c r="IS90" s="267"/>
      <c r="IT90" s="267"/>
      <c r="IU90" s="267"/>
      <c r="IV90" s="267"/>
      <c r="IW90" s="267"/>
      <c r="IX90" s="267"/>
      <c r="IY90" s="267"/>
      <c r="IZ90" s="267"/>
      <c r="JA90" s="267"/>
      <c r="JB90" s="267"/>
      <c r="JC90" s="267"/>
      <c r="JD90" s="267"/>
      <c r="JE90" s="267"/>
      <c r="JF90" s="267"/>
      <c r="JG90" s="267"/>
      <c r="JH90" s="267"/>
      <c r="JI90" s="267"/>
      <c r="JJ90" s="267"/>
      <c r="JK90" s="267"/>
      <c r="JL90" s="267"/>
      <c r="JM90" s="267"/>
      <c r="JN90" s="267"/>
      <c r="JO90" s="267"/>
      <c r="JP90" s="267"/>
      <c r="JQ90" s="267"/>
      <c r="JR90" s="267"/>
      <c r="JS90" s="267"/>
      <c r="JT90" s="267"/>
      <c r="JU90" s="267"/>
      <c r="JV90" s="267"/>
      <c r="JW90" s="267"/>
      <c r="JX90" s="267"/>
      <c r="JY90" s="267"/>
      <c r="JZ90" s="267"/>
      <c r="KA90" s="267"/>
      <c r="KB90" s="267"/>
      <c r="KC90" s="267"/>
      <c r="KD90" s="267"/>
      <c r="KE90" s="267"/>
      <c r="KF90" s="267"/>
      <c r="KG90" s="267"/>
      <c r="KH90" s="267"/>
      <c r="KI90" s="267"/>
      <c r="KJ90" s="267"/>
      <c r="KK90" s="267"/>
      <c r="KL90" s="267"/>
      <c r="KM90" s="267"/>
      <c r="KN90" s="267"/>
      <c r="KO90" s="267"/>
      <c r="KP90" s="267"/>
      <c r="KQ90" s="267"/>
      <c r="KR90" s="267"/>
      <c r="KS90" s="267"/>
      <c r="KT90" s="267"/>
      <c r="KU90" s="267"/>
      <c r="KV90" s="267"/>
      <c r="KW90" s="267"/>
      <c r="KX90" s="267"/>
      <c r="KY90" s="267"/>
      <c r="KZ90" s="267"/>
      <c r="LA90" s="267"/>
      <c r="LB90" s="267"/>
      <c r="LC90" s="267"/>
      <c r="LD90" s="267"/>
      <c r="LE90" s="267"/>
      <c r="LF90" s="267"/>
      <c r="LG90" s="267"/>
      <c r="LH90" s="267"/>
      <c r="LI90" s="267"/>
      <c r="LJ90" s="267"/>
      <c r="LK90" s="267"/>
      <c r="LL90" s="267"/>
      <c r="LM90" s="267"/>
      <c r="LN90" s="267"/>
      <c r="LO90" s="267"/>
      <c r="LP90" s="267"/>
      <c r="LQ90" s="267"/>
      <c r="LR90" s="267"/>
      <c r="LS90" s="267"/>
      <c r="LT90" s="267"/>
      <c r="LU90" s="267"/>
      <c r="LV90" s="267"/>
      <c r="LW90" s="267"/>
      <c r="LX90" s="267"/>
      <c r="LY90" s="267"/>
      <c r="LZ90" s="267"/>
      <c r="MA90" s="267"/>
      <c r="MB90" s="267"/>
      <c r="MC90" s="267"/>
      <c r="MD90" s="267"/>
      <c r="ME90" s="267"/>
      <c r="MF90" s="267"/>
      <c r="MG90" s="267"/>
      <c r="MH90" s="267"/>
      <c r="MI90" s="267"/>
      <c r="MJ90" s="267"/>
      <c r="MK90" s="267"/>
      <c r="ML90" s="267"/>
      <c r="MM90" s="267"/>
      <c r="MN90" s="267"/>
      <c r="MO90" s="267"/>
      <c r="MP90" s="267"/>
      <c r="MQ90" s="267"/>
      <c r="MR90" s="267"/>
      <c r="MS90" s="267"/>
      <c r="MT90" s="267"/>
      <c r="MU90" s="267"/>
      <c r="MV90" s="267"/>
      <c r="MW90" s="267"/>
      <c r="MX90" s="267"/>
      <c r="MY90" s="267"/>
      <c r="MZ90" s="267"/>
      <c r="NA90" s="267"/>
      <c r="NB90" s="267"/>
      <c r="NC90" s="267"/>
      <c r="ND90" s="267"/>
      <c r="NE90" s="267"/>
      <c r="NF90" s="267"/>
      <c r="NG90" s="267"/>
      <c r="NH90" s="267"/>
      <c r="NI90" s="267"/>
      <c r="NJ90" s="267"/>
      <c r="NK90" s="267"/>
      <c r="NL90" s="267"/>
      <c r="NM90" s="267"/>
      <c r="NN90" s="267"/>
      <c r="NO90" s="267"/>
      <c r="NP90" s="267"/>
      <c r="NQ90" s="267"/>
      <c r="NR90" s="267"/>
      <c r="NS90" s="267"/>
      <c r="NT90" s="267"/>
      <c r="NU90" s="267"/>
      <c r="NV90" s="267"/>
      <c r="NW90" s="267"/>
      <c r="NX90" s="267"/>
      <c r="NY90" s="267"/>
      <c r="NZ90" s="267"/>
      <c r="OA90" s="267"/>
      <c r="OB90" s="267"/>
      <c r="OC90" s="267"/>
      <c r="OD90" s="267"/>
      <c r="OE90" s="267"/>
      <c r="OF90" s="267"/>
      <c r="OG90" s="267"/>
      <c r="OH90" s="267"/>
      <c r="OI90" s="267"/>
      <c r="OJ90" s="267"/>
      <c r="OK90" s="267"/>
      <c r="OL90" s="267"/>
      <c r="OM90" s="267"/>
      <c r="ON90" s="267"/>
      <c r="OO90" s="267"/>
      <c r="OP90" s="267"/>
      <c r="OQ90" s="267"/>
      <c r="OR90" s="267"/>
      <c r="OS90" s="267"/>
      <c r="OT90" s="267"/>
      <c r="OU90" s="267"/>
      <c r="OV90" s="267"/>
      <c r="OW90" s="267"/>
      <c r="OX90" s="267"/>
      <c r="OY90" s="267"/>
      <c r="OZ90" s="267"/>
      <c r="PA90" s="267"/>
      <c r="PB90" s="267"/>
      <c r="PC90" s="267"/>
      <c r="PD90" s="267"/>
      <c r="PE90" s="267"/>
      <c r="PF90" s="267"/>
      <c r="PG90" s="267"/>
      <c r="PH90" s="267"/>
      <c r="PI90" s="267"/>
      <c r="PJ90" s="267"/>
      <c r="PK90" s="267"/>
      <c r="PL90" s="267"/>
      <c r="PM90" s="267"/>
      <c r="PN90" s="267"/>
      <c r="PO90" s="267"/>
      <c r="PP90" s="267"/>
      <c r="PQ90" s="267"/>
      <c r="PR90" s="267"/>
      <c r="PS90" s="267"/>
      <c r="PT90" s="267"/>
      <c r="PU90" s="267"/>
      <c r="PV90" s="267"/>
      <c r="PW90" s="267"/>
      <c r="PX90" s="267"/>
      <c r="PY90" s="267"/>
      <c r="PZ90" s="267"/>
      <c r="QA90" s="267"/>
      <c r="QB90" s="267"/>
      <c r="QC90" s="267"/>
      <c r="QD90" s="267"/>
      <c r="QE90" s="267"/>
      <c r="QF90" s="267"/>
      <c r="QG90" s="267"/>
      <c r="QH90" s="267"/>
      <c r="QI90" s="267"/>
      <c r="QJ90" s="267"/>
      <c r="QK90" s="267"/>
      <c r="QL90" s="267"/>
      <c r="QM90" s="267"/>
      <c r="QN90" s="267"/>
      <c r="QO90" s="267"/>
      <c r="QP90" s="267"/>
      <c r="QQ90" s="267"/>
      <c r="QR90" s="267"/>
      <c r="QS90" s="267"/>
      <c r="QT90" s="267"/>
      <c r="QU90" s="267"/>
      <c r="QV90" s="267"/>
      <c r="QW90" s="267"/>
      <c r="QX90" s="267"/>
      <c r="QY90" s="267"/>
      <c r="QZ90" s="267"/>
      <c r="RA90" s="267"/>
      <c r="RB90" s="267"/>
      <c r="RC90" s="267"/>
      <c r="RD90" s="267"/>
      <c r="RE90" s="267"/>
      <c r="RF90" s="267"/>
      <c r="RG90" s="267"/>
      <c r="RH90" s="267"/>
      <c r="RI90" s="267"/>
      <c r="RJ90" s="267"/>
      <c r="RK90" s="267"/>
      <c r="RL90" s="267"/>
      <c r="RM90" s="267"/>
      <c r="RN90" s="267"/>
      <c r="RO90" s="267"/>
      <c r="RP90" s="267"/>
      <c r="RQ90" s="267"/>
      <c r="RR90" s="267"/>
      <c r="RS90" s="267"/>
      <c r="RT90" s="267"/>
      <c r="RU90" s="267"/>
      <c r="RV90" s="267"/>
      <c r="RW90" s="267"/>
      <c r="RX90" s="267"/>
      <c r="RY90" s="267"/>
      <c r="RZ90" s="267"/>
      <c r="SA90" s="267"/>
      <c r="SB90" s="267"/>
      <c r="SC90" s="267"/>
      <c r="SD90" s="267"/>
      <c r="SE90" s="267"/>
      <c r="SF90" s="267"/>
      <c r="SG90" s="267"/>
      <c r="SH90" s="267"/>
      <c r="SI90" s="267"/>
      <c r="SJ90" s="267"/>
      <c r="SK90" s="267"/>
      <c r="SL90" s="267"/>
      <c r="SM90" s="267"/>
      <c r="SN90" s="267"/>
      <c r="SO90" s="267"/>
      <c r="SP90" s="267"/>
      <c r="SQ90" s="267"/>
      <c r="SR90" s="267"/>
      <c r="SS90" s="267"/>
      <c r="ST90" s="267"/>
      <c r="SU90" s="267"/>
      <c r="SV90" s="267"/>
      <c r="SW90" s="267"/>
      <c r="SX90" s="267"/>
      <c r="SY90" s="267"/>
      <c r="SZ90" s="267"/>
      <c r="TA90" s="267"/>
      <c r="TB90" s="267"/>
      <c r="TC90" s="267"/>
      <c r="TD90" s="267"/>
      <c r="TE90" s="267"/>
      <c r="TF90" s="267"/>
      <c r="TG90" s="267"/>
      <c r="TH90" s="267"/>
      <c r="TI90" s="267"/>
      <c r="TJ90" s="267"/>
      <c r="TK90" s="267"/>
      <c r="TL90" s="267"/>
      <c r="TM90" s="267"/>
      <c r="TN90" s="267"/>
      <c r="TO90" s="267"/>
      <c r="TP90" s="267"/>
      <c r="TQ90" s="267"/>
      <c r="TR90" s="267"/>
      <c r="TS90" s="267"/>
      <c r="TT90" s="267"/>
      <c r="TU90" s="267"/>
      <c r="TV90" s="267"/>
      <c r="TW90" s="267"/>
      <c r="TX90" s="267"/>
      <c r="TY90" s="267"/>
      <c r="TZ90" s="267"/>
      <c r="UA90" s="267"/>
      <c r="UB90" s="267"/>
      <c r="UC90" s="267"/>
      <c r="UD90" s="267"/>
      <c r="UE90" s="267"/>
      <c r="UF90" s="267"/>
      <c r="UG90" s="267"/>
      <c r="UH90" s="267"/>
      <c r="UI90" s="267"/>
      <c r="UJ90" s="267"/>
      <c r="UK90" s="267"/>
      <c r="UL90" s="267"/>
      <c r="UM90" s="267"/>
      <c r="UN90" s="267"/>
      <c r="UO90" s="267"/>
      <c r="UP90" s="267"/>
      <c r="UQ90" s="267"/>
      <c r="UR90" s="267"/>
      <c r="US90" s="267"/>
      <c r="UT90" s="267"/>
      <c r="UU90" s="267"/>
      <c r="UV90" s="267"/>
      <c r="UW90" s="267"/>
      <c r="UX90" s="267"/>
      <c r="UY90" s="267"/>
      <c r="UZ90" s="267"/>
      <c r="VA90" s="267"/>
      <c r="VB90" s="267"/>
      <c r="VC90" s="267"/>
      <c r="VD90" s="267"/>
      <c r="VE90" s="267"/>
      <c r="VF90" s="267"/>
      <c r="VG90" s="267"/>
      <c r="VH90" s="267"/>
      <c r="VI90" s="267"/>
      <c r="VJ90" s="267"/>
      <c r="VK90" s="267"/>
      <c r="VL90" s="267"/>
      <c r="VM90" s="267"/>
      <c r="VN90" s="267"/>
      <c r="VO90" s="267"/>
      <c r="VP90" s="267"/>
      <c r="VQ90" s="267"/>
      <c r="VR90" s="267"/>
      <c r="VS90" s="267"/>
      <c r="VT90" s="267"/>
      <c r="VU90" s="267"/>
      <c r="VV90" s="267"/>
      <c r="VW90" s="267"/>
      <c r="VX90" s="267"/>
      <c r="VY90" s="267"/>
      <c r="VZ90" s="267"/>
      <c r="WA90" s="267"/>
      <c r="WB90" s="267"/>
      <c r="WC90" s="267"/>
      <c r="WD90" s="267"/>
      <c r="WE90" s="267"/>
      <c r="WF90" s="267"/>
      <c r="WG90" s="267"/>
      <c r="WH90" s="267"/>
      <c r="WI90" s="267"/>
      <c r="WJ90" s="267"/>
      <c r="WK90" s="267"/>
      <c r="WL90" s="267"/>
      <c r="WM90" s="267"/>
      <c r="WN90" s="267"/>
      <c r="WO90" s="267"/>
      <c r="WP90" s="267"/>
      <c r="WQ90" s="267"/>
      <c r="WR90" s="267"/>
      <c r="WS90" s="267"/>
      <c r="WT90" s="267"/>
      <c r="WU90" s="267"/>
      <c r="WV90" s="267"/>
      <c r="WW90" s="267"/>
      <c r="WX90" s="267"/>
      <c r="WY90" s="267"/>
      <c r="WZ90" s="267"/>
      <c r="XA90" s="267"/>
      <c r="XB90" s="267"/>
      <c r="XC90" s="267"/>
      <c r="XD90" s="267"/>
      <c r="XE90" s="267"/>
      <c r="XF90" s="267"/>
      <c r="XG90" s="267"/>
      <c r="XH90" s="267"/>
      <c r="XI90" s="267"/>
      <c r="XJ90" s="267"/>
      <c r="XK90" s="267"/>
      <c r="XL90" s="267"/>
      <c r="XM90" s="267"/>
      <c r="XN90" s="267"/>
      <c r="XO90" s="267"/>
      <c r="XP90" s="267"/>
      <c r="XQ90" s="267"/>
      <c r="XR90" s="267"/>
      <c r="XS90" s="267"/>
      <c r="XT90" s="267"/>
      <c r="XU90" s="267"/>
      <c r="XV90" s="267"/>
      <c r="XW90" s="267"/>
      <c r="XX90" s="267"/>
      <c r="XY90" s="267"/>
      <c r="XZ90" s="267"/>
      <c r="YA90" s="267"/>
      <c r="YB90" s="267"/>
      <c r="YC90" s="267"/>
      <c r="YD90" s="267"/>
      <c r="YE90" s="267"/>
      <c r="YF90" s="267"/>
      <c r="YG90" s="267"/>
      <c r="YH90" s="267"/>
      <c r="YI90" s="267"/>
      <c r="YJ90" s="267"/>
      <c r="YK90" s="267"/>
      <c r="YL90" s="267"/>
      <c r="YM90" s="267"/>
      <c r="YN90" s="267"/>
      <c r="YO90" s="267"/>
      <c r="YP90" s="267"/>
      <c r="YQ90" s="267"/>
      <c r="YR90" s="267"/>
      <c r="YS90" s="267"/>
      <c r="YT90" s="267"/>
      <c r="YU90" s="267"/>
      <c r="YV90" s="267"/>
      <c r="YW90" s="267"/>
      <c r="YX90" s="267"/>
      <c r="YY90" s="267"/>
      <c r="YZ90" s="267"/>
      <c r="ZA90" s="267"/>
      <c r="ZB90" s="267"/>
      <c r="ZC90" s="267"/>
      <c r="ZD90" s="267"/>
      <c r="ZE90" s="267"/>
      <c r="ZF90" s="267"/>
      <c r="ZG90" s="267"/>
      <c r="ZH90" s="267"/>
      <c r="ZI90" s="267"/>
      <c r="ZJ90" s="267"/>
      <c r="ZK90" s="267"/>
      <c r="ZL90" s="267"/>
      <c r="ZM90" s="267"/>
      <c r="ZN90" s="267"/>
      <c r="ZO90" s="267"/>
      <c r="ZP90" s="267"/>
      <c r="ZQ90" s="267"/>
      <c r="ZR90" s="267"/>
      <c r="ZS90" s="267"/>
      <c r="ZT90" s="267"/>
      <c r="ZU90" s="267"/>
      <c r="ZV90" s="267"/>
      <c r="ZW90" s="267"/>
      <c r="ZX90" s="267"/>
      <c r="ZY90" s="267"/>
      <c r="ZZ90" s="267"/>
      <c r="AAA90" s="267"/>
      <c r="AAB90" s="267"/>
      <c r="AAC90" s="267"/>
      <c r="AAD90" s="267"/>
      <c r="AAE90" s="267"/>
      <c r="AAF90" s="267"/>
      <c r="AAG90" s="267"/>
      <c r="AAH90" s="267"/>
      <c r="AAI90" s="267"/>
      <c r="AAJ90" s="267"/>
      <c r="AAK90" s="267"/>
      <c r="AAL90" s="267"/>
      <c r="AAM90" s="267"/>
      <c r="AAN90" s="267"/>
      <c r="AAO90" s="267"/>
      <c r="AAP90" s="267"/>
      <c r="AAQ90" s="267"/>
      <c r="AAR90" s="267"/>
      <c r="AAS90" s="267"/>
      <c r="AAT90" s="267"/>
      <c r="AAU90" s="267"/>
      <c r="AAV90" s="267"/>
      <c r="AAW90" s="267"/>
      <c r="AAX90" s="267"/>
      <c r="AAY90" s="267"/>
      <c r="AAZ90" s="267"/>
      <c r="ABA90" s="267"/>
      <c r="ABB90" s="267"/>
      <c r="ABC90" s="267"/>
      <c r="ABD90" s="267"/>
      <c r="ABE90" s="267"/>
      <c r="ABF90" s="267"/>
      <c r="ABG90" s="267"/>
      <c r="ABH90" s="267"/>
      <c r="ABI90" s="267"/>
      <c r="ABJ90" s="267"/>
      <c r="ABK90" s="267"/>
      <c r="ABL90" s="267"/>
      <c r="ABM90" s="267"/>
      <c r="ABN90" s="267"/>
      <c r="ABO90" s="267"/>
      <c r="ABP90" s="267"/>
      <c r="ABQ90" s="267"/>
      <c r="ABR90" s="267"/>
      <c r="ABS90" s="267"/>
      <c r="ABT90" s="267"/>
      <c r="ABU90" s="267"/>
      <c r="ABV90" s="267"/>
      <c r="ABW90" s="267"/>
      <c r="ABX90" s="267"/>
      <c r="ABY90" s="267"/>
      <c r="ABZ90" s="267"/>
      <c r="ACA90" s="267"/>
      <c r="ACB90" s="267"/>
      <c r="ACC90" s="267"/>
      <c r="ACD90" s="267"/>
      <c r="ACE90" s="267"/>
      <c r="ACF90" s="267"/>
      <c r="ACG90" s="267"/>
      <c r="ACH90" s="267"/>
      <c r="ACI90" s="267"/>
      <c r="ACJ90" s="267"/>
      <c r="ACK90" s="267"/>
      <c r="ACL90" s="267"/>
      <c r="ACM90" s="267"/>
      <c r="ACN90" s="267"/>
      <c r="ACO90" s="267"/>
      <c r="ACP90" s="267"/>
      <c r="ACQ90" s="267"/>
      <c r="ACR90" s="267"/>
      <c r="ACS90" s="267"/>
      <c r="ACT90" s="267"/>
      <c r="ACU90" s="267"/>
      <c r="ACV90" s="267"/>
      <c r="ACW90" s="267"/>
      <c r="ACX90" s="267"/>
      <c r="ACY90" s="267"/>
      <c r="ACZ90" s="267"/>
      <c r="ADA90" s="267"/>
      <c r="ADB90" s="267"/>
      <c r="ADC90" s="267"/>
      <c r="ADD90" s="267"/>
      <c r="ADE90" s="267"/>
      <c r="ADF90" s="267"/>
      <c r="ADG90" s="267"/>
      <c r="ADH90" s="267"/>
      <c r="ADI90" s="267"/>
      <c r="ADJ90" s="267"/>
      <c r="ADK90" s="267"/>
      <c r="ADL90" s="267"/>
      <c r="ADM90" s="267"/>
      <c r="ADN90" s="267"/>
      <c r="ADO90" s="267"/>
      <c r="ADP90" s="267"/>
      <c r="ADQ90" s="267"/>
      <c r="ADR90" s="267"/>
      <c r="ADS90" s="267"/>
      <c r="ADT90" s="267"/>
      <c r="ADU90" s="267"/>
      <c r="ADV90" s="267"/>
      <c r="ADW90" s="267"/>
      <c r="ADX90" s="267"/>
      <c r="ADY90" s="267"/>
      <c r="ADZ90" s="267"/>
      <c r="AEA90" s="267"/>
      <c r="AEB90" s="267"/>
      <c r="AEC90" s="267"/>
      <c r="AED90" s="267"/>
      <c r="AEE90" s="267"/>
      <c r="AEF90" s="267"/>
      <c r="AEG90" s="267"/>
      <c r="AEH90" s="267"/>
      <c r="AEI90" s="267"/>
      <c r="AEJ90" s="267"/>
      <c r="AEK90" s="267"/>
      <c r="AEL90" s="267"/>
      <c r="AEM90" s="267"/>
      <c r="AEN90" s="267"/>
      <c r="AEO90" s="267"/>
      <c r="AEP90" s="267"/>
      <c r="AEQ90" s="267"/>
      <c r="AER90" s="267"/>
      <c r="AES90" s="267"/>
      <c r="AET90" s="267"/>
      <c r="AEU90" s="267"/>
      <c r="AEV90" s="267"/>
      <c r="AEW90" s="267"/>
      <c r="AEX90" s="267"/>
      <c r="AEY90" s="267"/>
      <c r="AEZ90" s="267"/>
      <c r="AFA90" s="267"/>
      <c r="AFB90" s="267"/>
      <c r="AFC90" s="267"/>
      <c r="AFD90" s="267"/>
      <c r="AFE90" s="267"/>
      <c r="AFF90" s="267"/>
      <c r="AFG90" s="267"/>
      <c r="AFH90" s="267"/>
      <c r="AFI90" s="267"/>
      <c r="AFJ90" s="267"/>
      <c r="AFK90" s="267"/>
      <c r="AFL90" s="267"/>
      <c r="AFM90" s="267"/>
      <c r="AFN90" s="267"/>
      <c r="AFO90" s="267"/>
      <c r="AFP90" s="267"/>
      <c r="AFQ90" s="267"/>
      <c r="AFR90" s="267"/>
      <c r="AFS90" s="267"/>
      <c r="AFT90" s="267"/>
      <c r="AFU90" s="267"/>
      <c r="AFV90" s="267"/>
      <c r="AFW90" s="267"/>
      <c r="AFX90" s="267"/>
      <c r="AFY90" s="267"/>
      <c r="AFZ90" s="267"/>
      <c r="AGA90" s="267"/>
      <c r="AGB90" s="267"/>
      <c r="AGC90" s="267"/>
      <c r="AGD90" s="267"/>
      <c r="AGE90" s="267"/>
      <c r="AGF90" s="267"/>
      <c r="AGG90" s="267"/>
      <c r="AGH90" s="267"/>
      <c r="AGI90" s="267"/>
      <c r="AGJ90" s="267"/>
      <c r="AGK90" s="267"/>
      <c r="AGL90" s="267"/>
      <c r="AGM90" s="267"/>
      <c r="AGN90" s="267"/>
      <c r="AGO90" s="267"/>
      <c r="AGP90" s="267"/>
      <c r="AGQ90" s="267"/>
      <c r="AGR90" s="267"/>
      <c r="AGS90" s="267"/>
      <c r="AGT90" s="267"/>
      <c r="AGU90" s="267"/>
      <c r="AGV90" s="267"/>
      <c r="AGW90" s="267"/>
      <c r="AGX90" s="267"/>
      <c r="AGY90" s="267"/>
      <c r="AGZ90" s="267"/>
      <c r="AHA90" s="267"/>
      <c r="AHB90" s="267"/>
      <c r="AHC90" s="267"/>
      <c r="AHD90" s="267"/>
      <c r="AHE90" s="267"/>
      <c r="AHF90" s="267"/>
      <c r="AHG90" s="267"/>
      <c r="AHH90" s="267"/>
      <c r="AHI90" s="267"/>
      <c r="AHJ90" s="267"/>
      <c r="AHK90" s="267"/>
      <c r="AHL90" s="267"/>
      <c r="AHM90" s="267"/>
      <c r="AHN90" s="267"/>
      <c r="AHO90" s="267"/>
      <c r="AHP90" s="267"/>
      <c r="AHQ90" s="267"/>
      <c r="AHR90" s="267"/>
      <c r="AHS90" s="267"/>
      <c r="AHT90" s="267"/>
      <c r="AHU90" s="267"/>
      <c r="AHV90" s="267"/>
      <c r="AHW90" s="267"/>
      <c r="AHX90" s="267"/>
      <c r="AHY90" s="267"/>
      <c r="AHZ90" s="267"/>
      <c r="AIA90" s="267"/>
      <c r="AIB90" s="267"/>
      <c r="AIC90" s="267"/>
      <c r="AID90" s="267"/>
      <c r="AIE90" s="267"/>
      <c r="AIF90" s="267"/>
      <c r="AIG90" s="267"/>
      <c r="AIH90" s="267"/>
      <c r="AII90" s="267"/>
      <c r="AIJ90" s="267"/>
      <c r="AIK90" s="267"/>
      <c r="AIL90" s="267"/>
      <c r="AIM90" s="267"/>
      <c r="AIN90" s="267"/>
      <c r="AIO90" s="267"/>
      <c r="AIP90" s="267"/>
      <c r="AIQ90" s="267"/>
      <c r="AIR90" s="267"/>
      <c r="AIS90" s="267"/>
      <c r="AIT90" s="267"/>
      <c r="AIU90" s="267"/>
      <c r="AIV90" s="267"/>
      <c r="AIW90" s="267"/>
      <c r="AIX90" s="267"/>
      <c r="AIY90" s="267"/>
      <c r="AIZ90" s="267"/>
      <c r="AJA90" s="267"/>
      <c r="AJB90" s="267"/>
      <c r="AJC90" s="267"/>
      <c r="AJD90" s="267"/>
      <c r="AJE90" s="267"/>
      <c r="AJF90" s="267"/>
      <c r="AJG90" s="267"/>
      <c r="AJH90" s="267"/>
      <c r="AJI90" s="267"/>
      <c r="AJJ90" s="267"/>
      <c r="AJK90" s="267"/>
      <c r="AJL90" s="267"/>
      <c r="AJM90" s="267"/>
      <c r="AJN90" s="267"/>
      <c r="AJO90" s="267"/>
      <c r="AJP90" s="267"/>
      <c r="AJQ90" s="267"/>
      <c r="AJR90" s="267"/>
      <c r="AJS90" s="267"/>
      <c r="AJT90" s="267"/>
      <c r="AJU90" s="267"/>
      <c r="AJV90" s="267"/>
      <c r="AJW90" s="267"/>
      <c r="AJX90" s="267"/>
      <c r="AJY90" s="267"/>
      <c r="AJZ90" s="267"/>
      <c r="AKA90" s="267"/>
      <c r="AKB90" s="267"/>
      <c r="AKC90" s="267"/>
      <c r="AKD90" s="267"/>
      <c r="AKE90" s="267"/>
      <c r="AKF90" s="267"/>
      <c r="AKG90" s="267"/>
      <c r="AKH90" s="267"/>
      <c r="AKI90" s="267"/>
      <c r="AKJ90" s="267"/>
      <c r="AKK90" s="267"/>
      <c r="AKL90" s="267"/>
      <c r="AKM90" s="267"/>
      <c r="AKN90" s="267"/>
      <c r="AKO90" s="267"/>
      <c r="AKP90" s="267"/>
      <c r="AKQ90" s="267"/>
      <c r="AKR90" s="267"/>
      <c r="AKS90" s="267"/>
      <c r="AKT90" s="267"/>
      <c r="AKU90" s="267"/>
      <c r="AKV90" s="267"/>
      <c r="AKW90" s="267"/>
      <c r="AKX90" s="267"/>
      <c r="AKY90" s="267"/>
      <c r="AKZ90" s="267"/>
      <c r="ALA90" s="267"/>
      <c r="ALB90" s="267"/>
      <c r="ALC90" s="267"/>
      <c r="ALD90" s="267"/>
      <c r="ALE90" s="267"/>
      <c r="ALF90" s="267"/>
      <c r="ALG90" s="267"/>
      <c r="ALH90" s="267"/>
      <c r="ALI90" s="267"/>
      <c r="ALJ90" s="267"/>
      <c r="ALK90" s="267"/>
      <c r="ALL90" s="267"/>
      <c r="ALM90" s="267"/>
      <c r="ALN90" s="267"/>
      <c r="ALO90" s="267"/>
      <c r="ALP90" s="267"/>
      <c r="ALQ90" s="267"/>
      <c r="ALR90" s="267"/>
      <c r="ALS90" s="267"/>
      <c r="ALT90" s="267"/>
      <c r="ALU90" s="267"/>
      <c r="ALV90" s="267"/>
      <c r="ALW90" s="267"/>
      <c r="ALX90" s="267"/>
      <c r="ALY90" s="267"/>
      <c r="ALZ90" s="267"/>
      <c r="AMA90" s="267"/>
      <c r="AMB90" s="267"/>
      <c r="AMC90" s="267"/>
      <c r="AMD90" s="267"/>
      <c r="AME90" s="267"/>
      <c r="AMF90" s="267"/>
      <c r="AMG90" s="267"/>
      <c r="AMH90" s="267"/>
      <c r="AMI90" s="267"/>
      <c r="AMJ90" s="267"/>
    </row>
    <row r="91" spans="1:1024" s="268" customFormat="1" ht="11.25">
      <c r="B91" s="265"/>
      <c r="C91" s="691"/>
      <c r="D91" s="756" t="s">
        <v>3259</v>
      </c>
      <c r="E91" s="756"/>
      <c r="F91" s="757"/>
      <c r="G91" s="353"/>
      <c r="H91" s="354">
        <f>IF((H90-G90)/30&lt;0,"No Data",(H90-G90)/30)</f>
        <v>0</v>
      </c>
      <c r="I91" s="354">
        <f>IF((I90-H90)/30&lt;0,"No Data",(I90-H90)/30)</f>
        <v>0</v>
      </c>
      <c r="J91" s="354">
        <f>IF((J90-I90)/30&lt;0,"No Data",(J90-I90)/30)</f>
        <v>0</v>
      </c>
      <c r="K91" s="355">
        <f>IF((K90-J90)/30&lt;0,"No Data",(K90-J90)/30)</f>
        <v>0</v>
      </c>
      <c r="L91" s="269"/>
    </row>
    <row r="92" spans="1:1024" ht="17.25" customHeight="1">
      <c r="A92" s="268"/>
      <c r="B92" s="127"/>
      <c r="C92" s="708" t="s">
        <v>3260</v>
      </c>
      <c r="D92" s="709"/>
      <c r="E92" s="709"/>
      <c r="F92" s="709"/>
      <c r="G92" s="270">
        <f>G84-SUM(G87:G88)</f>
        <v>0</v>
      </c>
      <c r="H92" s="270">
        <f>H84-SUM(H87:H88)</f>
        <v>0</v>
      </c>
      <c r="I92" s="270">
        <f>I84-SUM(I87:I88)</f>
        <v>0</v>
      </c>
      <c r="J92" s="270">
        <f>J84-SUM(J87:J88)</f>
        <v>0</v>
      </c>
      <c r="K92" s="271">
        <f>K84-SUM(K87:K88)</f>
        <v>0</v>
      </c>
      <c r="L92" s="128"/>
    </row>
    <row r="93" spans="1:1024" ht="7.5" customHeight="1">
      <c r="B93" s="127"/>
      <c r="C93" s="671"/>
      <c r="D93" s="672"/>
      <c r="E93" s="672"/>
      <c r="F93" s="672"/>
      <c r="G93" s="672"/>
      <c r="H93" s="672"/>
      <c r="I93" s="672"/>
      <c r="J93" s="672"/>
      <c r="K93" s="673"/>
      <c r="L93" s="128"/>
    </row>
    <row r="94" spans="1:1024" ht="15" customHeight="1">
      <c r="B94" s="127"/>
      <c r="C94" s="127"/>
      <c r="D94" s="611" t="s">
        <v>3261</v>
      </c>
      <c r="E94" s="612"/>
      <c r="F94" s="613"/>
      <c r="G94" s="229"/>
      <c r="H94" s="229"/>
      <c r="I94" s="229"/>
      <c r="J94" s="229"/>
      <c r="K94" s="230"/>
      <c r="L94" s="128"/>
    </row>
    <row r="95" spans="1:1024" ht="17.25" customHeight="1">
      <c r="A95" s="268"/>
      <c r="B95" s="127"/>
      <c r="C95" s="708" t="s">
        <v>3262</v>
      </c>
      <c r="D95" s="709"/>
      <c r="E95" s="709"/>
      <c r="F95" s="709"/>
      <c r="G95" s="270">
        <f>G92+G94</f>
        <v>0</v>
      </c>
      <c r="H95" s="270">
        <f>H92+H94</f>
        <v>0</v>
      </c>
      <c r="I95" s="270">
        <f>I92+I94</f>
        <v>0</v>
      </c>
      <c r="J95" s="270">
        <f>J92+J94</f>
        <v>0</v>
      </c>
      <c r="K95" s="271">
        <f>K92+K94</f>
        <v>0</v>
      </c>
      <c r="L95" s="128"/>
    </row>
    <row r="96" spans="1:1024" ht="15">
      <c r="B96" s="127"/>
      <c r="C96" s="127"/>
      <c r="D96" s="611" t="s">
        <v>3263</v>
      </c>
      <c r="E96" s="612"/>
      <c r="F96" s="613"/>
      <c r="G96" s="229">
        <f>G97+G98</f>
        <v>0</v>
      </c>
      <c r="H96" s="229">
        <f>H97+H98</f>
        <v>0</v>
      </c>
      <c r="I96" s="229">
        <f>I97+I98</f>
        <v>0</v>
      </c>
      <c r="J96" s="229">
        <f>J97+J98</f>
        <v>0</v>
      </c>
      <c r="K96" s="230">
        <f>K97+K98</f>
        <v>0</v>
      </c>
      <c r="L96" s="128"/>
    </row>
    <row r="97" spans="1:12" s="218" customFormat="1" ht="12" outlineLevel="1">
      <c r="B97" s="219"/>
      <c r="C97" s="219"/>
      <c r="D97" s="220"/>
      <c r="E97" s="701" t="s">
        <v>3264</v>
      </c>
      <c r="F97" s="702"/>
      <c r="G97" s="223"/>
      <c r="H97" s="223"/>
      <c r="I97" s="223"/>
      <c r="J97" s="223"/>
      <c r="K97" s="224"/>
      <c r="L97" s="225"/>
    </row>
    <row r="98" spans="1:12" s="218" customFormat="1" ht="12" outlineLevel="1">
      <c r="B98" s="219"/>
      <c r="C98" s="219"/>
      <c r="E98" s="621" t="s">
        <v>3265</v>
      </c>
      <c r="F98" s="622"/>
      <c r="G98" s="227"/>
      <c r="H98" s="227"/>
      <c r="I98" s="227"/>
      <c r="J98" s="227"/>
      <c r="K98" s="228"/>
      <c r="L98" s="225"/>
    </row>
    <row r="99" spans="1:12" s="125" customFormat="1" ht="14.25">
      <c r="A99" s="124"/>
      <c r="B99" s="214"/>
      <c r="C99" s="732" t="s">
        <v>3266</v>
      </c>
      <c r="D99" s="733"/>
      <c r="E99" s="733"/>
      <c r="F99" s="734"/>
      <c r="G99" s="273">
        <f>G92-G96</f>
        <v>0</v>
      </c>
      <c r="H99" s="273">
        <f>H92-H96</f>
        <v>0</v>
      </c>
      <c r="I99" s="273">
        <f>I92-I96</f>
        <v>0</v>
      </c>
      <c r="J99" s="273">
        <f>J92-J96</f>
        <v>0</v>
      </c>
      <c r="K99" s="274">
        <f>K92-K96</f>
        <v>0</v>
      </c>
      <c r="L99" s="200"/>
    </row>
    <row r="100" spans="1:12" s="125" customFormat="1" ht="12.75">
      <c r="B100" s="214"/>
      <c r="C100" s="732" t="s">
        <v>3267</v>
      </c>
      <c r="D100" s="733"/>
      <c r="E100" s="733"/>
      <c r="F100" s="734"/>
      <c r="G100" s="273">
        <f>G92+G57+G58+G63+G49</f>
        <v>0</v>
      </c>
      <c r="H100" s="273">
        <f>H92+H57+H58+H63+H49</f>
        <v>0</v>
      </c>
      <c r="I100" s="273">
        <f>I92+I57+I58+I63+I49</f>
        <v>0</v>
      </c>
      <c r="J100" s="273">
        <f>J92+J57+J58+J63+J49</f>
        <v>0</v>
      </c>
      <c r="K100" s="274">
        <f>K92+K57+K58+K63+K49</f>
        <v>0</v>
      </c>
      <c r="L100" s="200"/>
    </row>
    <row r="101" spans="1:12" ht="14.25" customHeight="1">
      <c r="A101" s="125"/>
      <c r="B101" s="127"/>
      <c r="C101" s="272"/>
      <c r="D101" s="275"/>
      <c r="E101" s="275"/>
      <c r="F101" s="243"/>
      <c r="G101" s="276"/>
      <c r="H101" s="277"/>
      <c r="I101" s="277"/>
      <c r="J101" s="277"/>
      <c r="K101" s="278"/>
      <c r="L101" s="128"/>
    </row>
    <row r="102" spans="1:12" ht="19.5">
      <c r="B102" s="127"/>
      <c r="C102" s="720" t="s">
        <v>3268</v>
      </c>
      <c r="D102" s="721"/>
      <c r="E102" s="721"/>
      <c r="F102" s="721"/>
      <c r="G102" s="721"/>
      <c r="H102" s="721"/>
      <c r="I102" s="721"/>
      <c r="J102" s="721"/>
      <c r="K102" s="722"/>
      <c r="L102" s="128"/>
    </row>
    <row r="103" spans="1:12" ht="17.25" customHeight="1">
      <c r="B103" s="127"/>
      <c r="C103" s="623" t="s">
        <v>3269</v>
      </c>
      <c r="D103" s="624"/>
      <c r="E103" s="624"/>
      <c r="F103" s="625" t="s">
        <v>3270</v>
      </c>
      <c r="G103" s="279">
        <f>G6</f>
        <v>43921</v>
      </c>
      <c r="H103" s="279">
        <f>H6</f>
        <v>44286</v>
      </c>
      <c r="I103" s="279">
        <f>I6</f>
        <v>44651</v>
      </c>
      <c r="J103" s="279">
        <f>J6</f>
        <v>45016</v>
      </c>
      <c r="K103" s="280">
        <f>K6</f>
        <v>45382</v>
      </c>
      <c r="L103" s="128"/>
    </row>
    <row r="104" spans="1:12" ht="15">
      <c r="B104" s="127"/>
      <c r="C104" s="665"/>
      <c r="D104" s="666"/>
      <c r="E104" s="666"/>
      <c r="F104" s="667"/>
      <c r="G104" s="666"/>
      <c r="H104" s="666"/>
      <c r="I104" s="666"/>
      <c r="J104" s="666"/>
      <c r="K104" s="668"/>
      <c r="L104" s="128"/>
    </row>
    <row r="105" spans="1:12" ht="18">
      <c r="B105" s="127"/>
      <c r="C105" s="654" t="s">
        <v>3271</v>
      </c>
      <c r="D105" s="655"/>
      <c r="E105" s="655"/>
      <c r="F105" s="655"/>
      <c r="G105" s="655"/>
      <c r="H105" s="655"/>
      <c r="I105" s="655"/>
      <c r="J105" s="655"/>
      <c r="K105" s="656"/>
      <c r="L105" s="128"/>
    </row>
    <row r="106" spans="1:12" ht="17.25" customHeight="1">
      <c r="B106" s="127"/>
      <c r="C106" s="689" t="s">
        <v>3272</v>
      </c>
      <c r="D106" s="690"/>
      <c r="E106" s="690"/>
      <c r="F106" s="690"/>
      <c r="G106" s="286"/>
      <c r="H106" s="287"/>
      <c r="I106" s="287"/>
      <c r="J106" s="287"/>
      <c r="K106" s="288"/>
      <c r="L106" s="128"/>
    </row>
    <row r="107" spans="1:12" ht="17.25" customHeight="1">
      <c r="B107" s="127"/>
      <c r="C107" s="284"/>
      <c r="D107" s="697" t="s">
        <v>3273</v>
      </c>
      <c r="E107" s="697"/>
      <c r="F107" s="698"/>
      <c r="G107" s="229">
        <f>SUM(G108:G112)</f>
        <v>0</v>
      </c>
      <c r="H107" s="229">
        <f>SUM(H108:H112)</f>
        <v>0</v>
      </c>
      <c r="I107" s="229">
        <f>SUM(I108:I112)</f>
        <v>0</v>
      </c>
      <c r="J107" s="229">
        <f>SUM(J108:J112)</f>
        <v>0</v>
      </c>
      <c r="K107" s="230">
        <f>SUM(K108:K112)</f>
        <v>0</v>
      </c>
      <c r="L107" s="128"/>
    </row>
    <row r="108" spans="1:12" s="218" customFormat="1" ht="12" outlineLevel="1">
      <c r="B108" s="219"/>
      <c r="C108" s="618"/>
      <c r="D108" s="220"/>
      <c r="E108" s="616" t="s">
        <v>3274</v>
      </c>
      <c r="F108" s="617"/>
      <c r="G108" s="223"/>
      <c r="H108" s="223"/>
      <c r="I108" s="356"/>
      <c r="J108" s="223"/>
      <c r="K108" s="224"/>
      <c r="L108" s="225"/>
    </row>
    <row r="109" spans="1:12" s="218" customFormat="1" ht="12" outlineLevel="1">
      <c r="B109" s="219"/>
      <c r="C109" s="618"/>
      <c r="E109" s="621" t="s">
        <v>3275</v>
      </c>
      <c r="F109" s="622"/>
      <c r="G109" s="349"/>
      <c r="H109" s="349"/>
      <c r="I109" s="349"/>
      <c r="J109" s="227"/>
      <c r="K109" s="228"/>
      <c r="L109" s="225"/>
    </row>
    <row r="110" spans="1:12" s="218" customFormat="1" ht="12" outlineLevel="1">
      <c r="B110" s="219"/>
      <c r="C110" s="618"/>
      <c r="E110" s="621" t="s">
        <v>3276</v>
      </c>
      <c r="F110" s="622"/>
      <c r="G110" s="349"/>
      <c r="H110" s="349"/>
      <c r="I110" s="349"/>
      <c r="J110" s="227"/>
      <c r="K110" s="228"/>
      <c r="L110" s="225"/>
    </row>
    <row r="111" spans="1:12" s="218" customFormat="1" ht="12" outlineLevel="1">
      <c r="B111" s="219"/>
      <c r="C111" s="618"/>
      <c r="E111" s="621" t="s">
        <v>3277</v>
      </c>
      <c r="F111" s="622"/>
      <c r="G111" s="349"/>
      <c r="H111" s="349"/>
      <c r="I111" s="349"/>
      <c r="J111" s="227"/>
      <c r="K111" s="228"/>
      <c r="L111" s="225"/>
    </row>
    <row r="112" spans="1:12" s="218" customFormat="1" ht="12" outlineLevel="1">
      <c r="B112" s="219"/>
      <c r="C112" s="618"/>
      <c r="E112" s="621" t="s">
        <v>3278</v>
      </c>
      <c r="F112" s="622"/>
      <c r="G112" s="349"/>
      <c r="H112" s="349"/>
      <c r="I112" s="349"/>
      <c r="J112" s="227"/>
      <c r="K112" s="228"/>
      <c r="L112" s="225"/>
    </row>
    <row r="113" spans="1:13" s="125" customFormat="1" ht="12.75">
      <c r="B113" s="214"/>
      <c r="C113" s="618"/>
      <c r="D113" s="611" t="s">
        <v>3279</v>
      </c>
      <c r="E113" s="612"/>
      <c r="F113" s="613"/>
      <c r="G113" s="229">
        <f>SUM(G114:G118)</f>
        <v>0</v>
      </c>
      <c r="H113" s="229">
        <f>SUM(H114:H118)</f>
        <v>0</v>
      </c>
      <c r="I113" s="229">
        <f>SUM(I114:I118)</f>
        <v>0</v>
      </c>
      <c r="J113" s="229">
        <f>SUM(J114:J118)</f>
        <v>0</v>
      </c>
      <c r="K113" s="230">
        <f>SUM(K114:K118)</f>
        <v>0</v>
      </c>
      <c r="L113" s="200"/>
    </row>
    <row r="114" spans="1:13" s="218" customFormat="1" ht="12" outlineLevel="1">
      <c r="B114" s="219"/>
      <c r="C114" s="618"/>
      <c r="D114" s="220"/>
      <c r="E114" s="701" t="s">
        <v>3280</v>
      </c>
      <c r="F114" s="702"/>
      <c r="G114" s="348"/>
      <c r="H114" s="348"/>
      <c r="I114" s="348"/>
      <c r="J114" s="223"/>
      <c r="K114" s="224"/>
      <c r="L114" s="225"/>
      <c r="M114" s="227"/>
    </row>
    <row r="115" spans="1:13" s="218" customFormat="1" ht="12" outlineLevel="1">
      <c r="B115" s="219"/>
      <c r="C115" s="618"/>
      <c r="E115" s="621" t="s">
        <v>3281</v>
      </c>
      <c r="F115" s="622"/>
      <c r="G115" s="349"/>
      <c r="H115" s="349"/>
      <c r="I115" s="349"/>
      <c r="J115" s="227"/>
      <c r="K115" s="228"/>
      <c r="L115" s="225"/>
    </row>
    <row r="116" spans="1:13" s="218" customFormat="1" ht="12" outlineLevel="1">
      <c r="B116" s="219"/>
      <c r="C116" s="618"/>
      <c r="E116" s="626" t="s">
        <v>3282</v>
      </c>
      <c r="F116" s="627"/>
      <c r="G116" s="240"/>
      <c r="H116" s="349"/>
      <c r="I116" s="349"/>
      <c r="J116" s="227"/>
      <c r="K116" s="228"/>
      <c r="L116" s="225"/>
    </row>
    <row r="117" spans="1:13" s="218" customFormat="1" ht="12" outlineLevel="1">
      <c r="B117" s="219"/>
      <c r="C117" s="618"/>
      <c r="E117" s="626" t="s">
        <v>3283</v>
      </c>
      <c r="F117" s="627"/>
      <c r="G117" s="349"/>
      <c r="H117" s="349"/>
      <c r="I117" s="349"/>
      <c r="J117" s="227"/>
      <c r="K117" s="228"/>
      <c r="L117" s="225"/>
    </row>
    <row r="118" spans="1:13" s="218" customFormat="1" ht="12" outlineLevel="1">
      <c r="B118" s="219"/>
      <c r="C118" s="686"/>
      <c r="D118" s="241"/>
      <c r="E118" s="663" t="s">
        <v>3284</v>
      </c>
      <c r="F118" s="664"/>
      <c r="G118" s="357"/>
      <c r="H118" s="231"/>
      <c r="I118" s="231"/>
      <c r="J118" s="231"/>
      <c r="K118" s="232"/>
      <c r="L118" s="225"/>
    </row>
    <row r="119" spans="1:13" ht="17.25" customHeight="1">
      <c r="A119" s="125"/>
      <c r="B119" s="127"/>
      <c r="C119" s="609" t="s">
        <v>3285</v>
      </c>
      <c r="D119" s="610"/>
      <c r="E119" s="610"/>
      <c r="F119" s="610"/>
      <c r="G119" s="233">
        <f>SUM(G107,G113)</f>
        <v>0</v>
      </c>
      <c r="H119" s="233">
        <f>SUM(H107,H113)</f>
        <v>0</v>
      </c>
      <c r="I119" s="233">
        <f>SUM(I107,I113)</f>
        <v>0</v>
      </c>
      <c r="J119" s="233">
        <f>SUM(J107,J113)</f>
        <v>0</v>
      </c>
      <c r="K119" s="234">
        <f>SUM(K107,K113)</f>
        <v>0</v>
      </c>
      <c r="L119" s="128"/>
    </row>
    <row r="120" spans="1:13" s="125" customFormat="1" ht="7.5" customHeight="1">
      <c r="A120" s="124"/>
      <c r="B120" s="214"/>
      <c r="C120" s="618"/>
      <c r="D120" s="619"/>
      <c r="E120" s="619"/>
      <c r="F120" s="619"/>
      <c r="G120" s="619"/>
      <c r="H120" s="619"/>
      <c r="I120" s="619"/>
      <c r="J120" s="619"/>
      <c r="K120" s="662"/>
      <c r="L120" s="200"/>
    </row>
    <row r="121" spans="1:13" ht="17.25" customHeight="1">
      <c r="A121" s="285"/>
      <c r="B121" s="127"/>
      <c r="C121" s="609" t="s">
        <v>3286</v>
      </c>
      <c r="D121" s="610"/>
      <c r="E121" s="610"/>
      <c r="F121" s="610" t="s">
        <v>3287</v>
      </c>
      <c r="G121" s="233">
        <f>G119-G116+G129+G149-G160-G180-G201</f>
        <v>0</v>
      </c>
      <c r="H121" s="233">
        <f>H119-H116+H129+H149-H160-H180-H201</f>
        <v>0</v>
      </c>
      <c r="I121" s="233">
        <f>I119-I116+I129+I149-I160-I180-I201</f>
        <v>0</v>
      </c>
      <c r="J121" s="233">
        <f>J119-J116+J129+J149-J160-J180-J201</f>
        <v>0</v>
      </c>
      <c r="K121" s="234">
        <f>K119-K116+K129+K149-K160-K180-K201</f>
        <v>0</v>
      </c>
      <c r="L121" s="128"/>
    </row>
    <row r="122" spans="1:13" ht="7.5" customHeight="1">
      <c r="B122" s="127"/>
      <c r="C122" s="671"/>
      <c r="D122" s="672"/>
      <c r="E122" s="672"/>
      <c r="F122" s="672"/>
      <c r="G122" s="672"/>
      <c r="H122" s="672"/>
      <c r="I122" s="672"/>
      <c r="J122" s="672"/>
      <c r="K122" s="673"/>
      <c r="L122" s="128"/>
    </row>
    <row r="123" spans="1:13" ht="17.25" customHeight="1">
      <c r="B123" s="127"/>
      <c r="C123" s="689" t="s">
        <v>3288</v>
      </c>
      <c r="D123" s="690"/>
      <c r="E123" s="690"/>
      <c r="F123" s="690"/>
      <c r="G123" s="286"/>
      <c r="H123" s="287"/>
      <c r="I123" s="287"/>
      <c r="J123" s="287"/>
      <c r="K123" s="288"/>
      <c r="L123" s="128"/>
    </row>
    <row r="124" spans="1:13" ht="17.25" customHeight="1">
      <c r="B124" s="127"/>
      <c r="C124" s="689" t="s">
        <v>3289</v>
      </c>
      <c r="D124" s="690"/>
      <c r="E124" s="690"/>
      <c r="F124" s="690"/>
      <c r="G124" s="286"/>
      <c r="H124" s="287"/>
      <c r="I124" s="287"/>
      <c r="J124" s="287"/>
      <c r="K124" s="288"/>
      <c r="L124" s="128"/>
    </row>
    <row r="125" spans="1:13" s="125" customFormat="1" ht="14.25">
      <c r="A125" s="124"/>
      <c r="B125" s="214"/>
      <c r="C125" s="252"/>
      <c r="D125" s="611" t="s">
        <v>3290</v>
      </c>
      <c r="E125" s="612"/>
      <c r="F125" s="613"/>
      <c r="G125" s="229">
        <f>SUM(G126:G132)</f>
        <v>0</v>
      </c>
      <c r="H125" s="229">
        <f>SUM(H126:H132)</f>
        <v>0</v>
      </c>
      <c r="I125" s="229">
        <f>SUM(I126:I132)</f>
        <v>0</v>
      </c>
      <c r="J125" s="229">
        <f>SUM(J126:J132)</f>
        <v>0</v>
      </c>
      <c r="K125" s="230">
        <f>SUM(K126:K132)</f>
        <v>0</v>
      </c>
      <c r="L125" s="200"/>
    </row>
    <row r="126" spans="1:13" s="218" customFormat="1" ht="14.25" customHeight="1" outlineLevel="1">
      <c r="A126" s="125"/>
      <c r="B126" s="219"/>
      <c r="C126" s="252"/>
      <c r="D126" s="220"/>
      <c r="E126" s="616" t="s">
        <v>3291</v>
      </c>
      <c r="F126" s="617"/>
      <c r="G126" s="348"/>
      <c r="H126" s="223"/>
      <c r="I126" s="223"/>
      <c r="J126" s="223"/>
      <c r="K126" s="224"/>
      <c r="L126" s="225"/>
    </row>
    <row r="127" spans="1:13" s="218" customFormat="1" ht="14.25" customHeight="1" outlineLevel="1">
      <c r="B127" s="219"/>
      <c r="C127" s="252"/>
      <c r="E127" s="626" t="s">
        <v>3292</v>
      </c>
      <c r="F127" s="627"/>
      <c r="G127" s="227"/>
      <c r="H127" s="227"/>
      <c r="I127" s="227"/>
      <c r="J127" s="227"/>
      <c r="K127" s="228"/>
      <c r="L127" s="225"/>
    </row>
    <row r="128" spans="1:13" s="218" customFormat="1" ht="14.25" customHeight="1" outlineLevel="1">
      <c r="B128" s="219"/>
      <c r="C128" s="252"/>
      <c r="E128" s="626" t="s">
        <v>3293</v>
      </c>
      <c r="F128" s="627"/>
      <c r="G128" s="227"/>
      <c r="H128" s="227"/>
      <c r="I128" s="227"/>
      <c r="J128" s="227"/>
      <c r="K128" s="228"/>
      <c r="L128" s="225"/>
    </row>
    <row r="129" spans="1:13" s="125" customFormat="1" ht="12.75" outlineLevel="1">
      <c r="B129" s="289"/>
      <c r="C129" s="214"/>
      <c r="E129" s="626" t="s">
        <v>3294</v>
      </c>
      <c r="F129" s="627"/>
      <c r="G129" s="227"/>
      <c r="H129" s="227"/>
      <c r="I129" s="227"/>
      <c r="J129" s="227"/>
      <c r="K129" s="228"/>
      <c r="L129" s="200"/>
    </row>
    <row r="130" spans="1:13" s="218" customFormat="1" ht="14.25" customHeight="1" outlineLevel="1">
      <c r="B130" s="219"/>
      <c r="C130" s="252"/>
      <c r="E130" s="626" t="s">
        <v>3295</v>
      </c>
      <c r="F130" s="627"/>
      <c r="G130" s="227"/>
      <c r="H130" s="227"/>
      <c r="I130" s="227"/>
      <c r="J130" s="227"/>
      <c r="K130" s="228"/>
      <c r="L130" s="225"/>
      <c r="M130" s="125"/>
    </row>
    <row r="131" spans="1:13" s="218" customFormat="1" ht="14.25" customHeight="1" outlineLevel="1">
      <c r="B131" s="219"/>
      <c r="C131" s="252"/>
      <c r="E131" s="626" t="s">
        <v>3296</v>
      </c>
      <c r="F131" s="627"/>
      <c r="G131" s="227"/>
      <c r="H131" s="227"/>
      <c r="I131" s="227"/>
      <c r="J131" s="227"/>
      <c r="K131" s="228"/>
      <c r="L131" s="225"/>
      <c r="M131" s="125"/>
    </row>
    <row r="132" spans="1:13" s="125" customFormat="1" ht="14.25" outlineLevel="1">
      <c r="B132" s="214"/>
      <c r="C132" s="252"/>
      <c r="E132" s="626" t="s">
        <v>3297</v>
      </c>
      <c r="F132" s="627"/>
      <c r="G132" s="227"/>
      <c r="H132" s="227"/>
      <c r="I132" s="227"/>
      <c r="J132" s="227"/>
      <c r="K132" s="228"/>
      <c r="L132" s="200"/>
    </row>
    <row r="133" spans="1:13" s="125" customFormat="1" ht="14.25">
      <c r="A133" s="218"/>
      <c r="B133" s="214"/>
      <c r="C133" s="252"/>
      <c r="D133" s="611" t="s">
        <v>3298</v>
      </c>
      <c r="E133" s="612"/>
      <c r="F133" s="613"/>
      <c r="G133" s="227"/>
      <c r="H133" s="299"/>
      <c r="I133" s="299"/>
      <c r="J133" s="212"/>
      <c r="K133" s="213"/>
      <c r="L133" s="200"/>
    </row>
    <row r="134" spans="1:13" s="125" customFormat="1" ht="14.25">
      <c r="B134" s="214"/>
      <c r="C134" s="252"/>
      <c r="D134" s="646" t="s">
        <v>3299</v>
      </c>
      <c r="E134" s="647"/>
      <c r="F134" s="648"/>
      <c r="G134" s="290">
        <f>SUM(G135:G136)</f>
        <v>0</v>
      </c>
      <c r="H134" s="290">
        <f>SUM(H135:H136)</f>
        <v>0</v>
      </c>
      <c r="I134" s="290">
        <f>SUM(I135:I136)</f>
        <v>0</v>
      </c>
      <c r="J134" s="290">
        <f>SUM(J135:J136)</f>
        <v>0</v>
      </c>
      <c r="K134" s="291">
        <f>SUM(K135:K136)</f>
        <v>0</v>
      </c>
      <c r="L134" s="200"/>
    </row>
    <row r="135" spans="1:13" s="125" customFormat="1" ht="14.25">
      <c r="B135" s="214"/>
      <c r="C135" s="252"/>
      <c r="D135" s="211"/>
      <c r="E135" s="626" t="s">
        <v>3300</v>
      </c>
      <c r="F135" s="627"/>
      <c r="G135" s="348"/>
      <c r="H135" s="223"/>
      <c r="I135" s="223"/>
      <c r="J135" s="212"/>
      <c r="K135" s="213"/>
      <c r="L135" s="200"/>
    </row>
    <row r="136" spans="1:13" s="125" customFormat="1" ht="16.5" customHeight="1">
      <c r="B136" s="214"/>
      <c r="C136" s="252"/>
      <c r="D136" s="211"/>
      <c r="E136" s="626" t="s">
        <v>3301</v>
      </c>
      <c r="F136" s="627"/>
      <c r="G136" s="227"/>
      <c r="H136" s="212"/>
      <c r="I136" s="212"/>
      <c r="J136" s="212"/>
      <c r="K136" s="213"/>
      <c r="L136" s="200"/>
    </row>
    <row r="137" spans="1:13" s="125" customFormat="1" ht="14.25">
      <c r="B137" s="214"/>
      <c r="C137" s="252"/>
      <c r="D137" s="611" t="s">
        <v>3302</v>
      </c>
      <c r="E137" s="612"/>
      <c r="F137" s="613"/>
      <c r="G137" s="212">
        <f>SUM(G138:G139)</f>
        <v>0</v>
      </c>
      <c r="H137" s="212">
        <f>SUM(H138:H139)</f>
        <v>0</v>
      </c>
      <c r="I137" s="229">
        <f>SUM(I138:I139)</f>
        <v>0</v>
      </c>
      <c r="J137" s="212">
        <f>SUM(J138:J139)</f>
        <v>0</v>
      </c>
      <c r="K137" s="213">
        <f>SUM(K138:K139)</f>
        <v>0</v>
      </c>
      <c r="L137" s="200"/>
    </row>
    <row r="138" spans="1:13" s="125" customFormat="1" ht="14.25" outlineLevel="1">
      <c r="B138" s="214"/>
      <c r="C138" s="252"/>
      <c r="D138" s="220"/>
      <c r="E138" s="616" t="s">
        <v>3303</v>
      </c>
      <c r="F138" s="617"/>
      <c r="G138" s="348"/>
      <c r="H138" s="223"/>
      <c r="I138" s="223"/>
      <c r="J138" s="223"/>
      <c r="K138" s="224"/>
      <c r="L138" s="200"/>
    </row>
    <row r="139" spans="1:13" s="218" customFormat="1" ht="14.25" customHeight="1" outlineLevel="1">
      <c r="B139" s="219"/>
      <c r="C139" s="252"/>
      <c r="E139" s="626" t="s">
        <v>3304</v>
      </c>
      <c r="F139" s="627"/>
      <c r="G139" s="227"/>
      <c r="H139" s="227"/>
      <c r="I139" s="227"/>
      <c r="J139" s="227"/>
      <c r="K139" s="228"/>
      <c r="L139" s="225"/>
    </row>
    <row r="140" spans="1:13" s="125" customFormat="1" ht="14.25">
      <c r="B140" s="214"/>
      <c r="C140" s="292"/>
      <c r="D140" s="646" t="s">
        <v>3305</v>
      </c>
      <c r="E140" s="647"/>
      <c r="F140" s="648"/>
      <c r="G140" s="290"/>
      <c r="H140" s="344"/>
      <c r="I140" s="344"/>
      <c r="J140" s="344"/>
      <c r="K140" s="345"/>
      <c r="L140" s="200"/>
    </row>
    <row r="141" spans="1:13" ht="17.25" customHeight="1">
      <c r="A141" s="125"/>
      <c r="B141" s="127"/>
      <c r="C141" s="682" t="s">
        <v>3306</v>
      </c>
      <c r="D141" s="683"/>
      <c r="E141" s="683"/>
      <c r="F141" s="683"/>
      <c r="G141" s="256">
        <f>G125+G133+G134+G137+G140</f>
        <v>0</v>
      </c>
      <c r="H141" s="256">
        <f>H125+H133+H134+H137+H140</f>
        <v>0</v>
      </c>
      <c r="I141" s="256">
        <f>I125+I133+I134+I137+I140</f>
        <v>0</v>
      </c>
      <c r="J141" s="256">
        <f>SUM(J133,J134,J137,J140,J125)</f>
        <v>0</v>
      </c>
      <c r="K141" s="259">
        <f>SUM(K133:K140,K125)</f>
        <v>0</v>
      </c>
      <c r="L141" s="128"/>
    </row>
    <row r="142" spans="1:13" ht="7.5" customHeight="1">
      <c r="B142" s="127"/>
      <c r="C142" s="671"/>
      <c r="D142" s="672"/>
      <c r="E142" s="672"/>
      <c r="F142" s="672"/>
      <c r="G142" s="672"/>
      <c r="H142" s="672"/>
      <c r="I142" s="672"/>
      <c r="J142" s="672"/>
      <c r="K142" s="673"/>
      <c r="L142" s="128"/>
    </row>
    <row r="143" spans="1:13" ht="17.25" customHeight="1">
      <c r="B143" s="127"/>
      <c r="C143" s="689" t="s">
        <v>3307</v>
      </c>
      <c r="D143" s="690"/>
      <c r="E143" s="690"/>
      <c r="F143" s="690"/>
      <c r="G143" s="286"/>
      <c r="H143" s="287"/>
      <c r="I143" s="287"/>
      <c r="J143" s="287"/>
      <c r="K143" s="288"/>
      <c r="L143" s="128"/>
    </row>
    <row r="144" spans="1:13" s="125" customFormat="1" ht="14.25">
      <c r="A144" s="124"/>
      <c r="B144" s="214"/>
      <c r="C144" s="689"/>
      <c r="D144" s="611" t="s">
        <v>3308</v>
      </c>
      <c r="E144" s="612"/>
      <c r="F144" s="613"/>
      <c r="G144" s="229">
        <f>SUM(G145:G151)</f>
        <v>0</v>
      </c>
      <c r="H144" s="229">
        <f>SUM(H145:H151)</f>
        <v>0</v>
      </c>
      <c r="I144" s="229">
        <f>SUM(I145:I151)</f>
        <v>0</v>
      </c>
      <c r="J144" s="229">
        <f>SUM(J145:J151)</f>
        <v>0</v>
      </c>
      <c r="K144" s="230">
        <f>SUM(K145:K151)</f>
        <v>0</v>
      </c>
      <c r="L144" s="200"/>
    </row>
    <row r="145" spans="1:12" s="218" customFormat="1" ht="14.25" customHeight="1" outlineLevel="1">
      <c r="B145" s="219"/>
      <c r="C145" s="689"/>
      <c r="D145" s="220"/>
      <c r="E145" s="616" t="s">
        <v>3309</v>
      </c>
      <c r="F145" s="617"/>
      <c r="G145" s="348"/>
      <c r="H145" s="223"/>
      <c r="I145" s="223"/>
      <c r="J145" s="223"/>
      <c r="K145" s="224"/>
      <c r="L145" s="225"/>
    </row>
    <row r="146" spans="1:12" s="218" customFormat="1" ht="12" outlineLevel="1">
      <c r="B146" s="249"/>
      <c r="C146" s="689"/>
      <c r="E146" s="626" t="s">
        <v>3310</v>
      </c>
      <c r="F146" s="627"/>
      <c r="G146" s="349"/>
      <c r="H146" s="349"/>
      <c r="I146" s="349"/>
      <c r="J146" s="349"/>
      <c r="K146" s="358"/>
      <c r="L146" s="225"/>
    </row>
    <row r="147" spans="1:12" s="218" customFormat="1" ht="12" outlineLevel="1">
      <c r="B147" s="249"/>
      <c r="C147" s="689"/>
      <c r="E147" s="626" t="s">
        <v>3311</v>
      </c>
      <c r="F147" s="627"/>
      <c r="G147" s="349"/>
      <c r="H147" s="349"/>
      <c r="I147" s="349"/>
      <c r="J147" s="349"/>
      <c r="K147" s="358"/>
      <c r="L147" s="225"/>
    </row>
    <row r="148" spans="1:12" s="218" customFormat="1" ht="12" outlineLevel="1">
      <c r="B148" s="249"/>
      <c r="C148" s="689"/>
      <c r="E148" s="626" t="s">
        <v>3312</v>
      </c>
      <c r="F148" s="627"/>
      <c r="G148" s="349"/>
      <c r="H148" s="349"/>
      <c r="I148" s="349"/>
      <c r="J148" s="349"/>
      <c r="K148" s="358"/>
      <c r="L148" s="225"/>
    </row>
    <row r="149" spans="1:12" s="218" customFormat="1" ht="14.25" customHeight="1" outlineLevel="1">
      <c r="B149" s="219"/>
      <c r="C149" s="689"/>
      <c r="E149" s="621" t="s">
        <v>3313</v>
      </c>
      <c r="F149" s="622"/>
      <c r="G149" s="349"/>
      <c r="H149" s="227"/>
      <c r="I149" s="227"/>
      <c r="J149" s="227"/>
      <c r="K149" s="228"/>
      <c r="L149" s="225"/>
    </row>
    <row r="150" spans="1:12" s="218" customFormat="1" ht="14.25" customHeight="1" outlineLevel="1">
      <c r="B150" s="219"/>
      <c r="C150" s="689"/>
      <c r="E150" s="626" t="s">
        <v>3314</v>
      </c>
      <c r="F150" s="627"/>
      <c r="G150" s="349"/>
      <c r="H150" s="227"/>
      <c r="I150" s="227"/>
      <c r="J150" s="227"/>
      <c r="K150" s="228"/>
      <c r="L150" s="225"/>
    </row>
    <row r="151" spans="1:12" s="218" customFormat="1" ht="14.25" customHeight="1" outlineLevel="1">
      <c r="B151" s="219"/>
      <c r="C151" s="689"/>
      <c r="E151" s="626" t="s">
        <v>3315</v>
      </c>
      <c r="F151" s="627"/>
      <c r="G151" s="349"/>
      <c r="H151" s="349"/>
      <c r="I151" s="227"/>
      <c r="J151" s="227"/>
      <c r="K151" s="228"/>
      <c r="L151" s="225"/>
    </row>
    <row r="152" spans="1:12" s="125" customFormat="1" ht="12.75">
      <c r="A152" s="218"/>
      <c r="B152" s="214"/>
      <c r="C152" s="689"/>
      <c r="D152" s="611" t="s">
        <v>3316</v>
      </c>
      <c r="E152" s="612"/>
      <c r="F152" s="613"/>
      <c r="G152" s="229">
        <f>SUM(G153:G156)</f>
        <v>0</v>
      </c>
      <c r="H152" s="229">
        <f>SUM(H153:H156)</f>
        <v>0</v>
      </c>
      <c r="I152" s="229">
        <f>SUM(I153:I156)</f>
        <v>0</v>
      </c>
      <c r="J152" s="229">
        <f>SUM(J153:J156)</f>
        <v>0</v>
      </c>
      <c r="K152" s="230">
        <f>SUM(K153:K156)</f>
        <v>0</v>
      </c>
      <c r="L152" s="200"/>
    </row>
    <row r="153" spans="1:12" s="218" customFormat="1" ht="12" outlineLevel="1">
      <c r="B153" s="219"/>
      <c r="C153" s="689"/>
      <c r="D153" s="239"/>
      <c r="E153" s="616" t="s">
        <v>3317</v>
      </c>
      <c r="F153" s="617"/>
      <c r="G153" s="348"/>
      <c r="H153" s="223"/>
      <c r="I153" s="223"/>
      <c r="J153" s="223"/>
      <c r="K153" s="224"/>
      <c r="L153" s="225"/>
    </row>
    <row r="154" spans="1:12" s="218" customFormat="1" ht="12" outlineLevel="1">
      <c r="B154" s="219"/>
      <c r="C154" s="689"/>
      <c r="E154" s="680" t="s">
        <v>3318</v>
      </c>
      <c r="F154" s="681"/>
      <c r="G154" s="227"/>
      <c r="H154" s="227"/>
      <c r="I154" s="227"/>
      <c r="J154" s="227"/>
      <c r="K154" s="228"/>
      <c r="L154" s="225"/>
    </row>
    <row r="155" spans="1:12" s="218" customFormat="1" ht="12" outlineLevel="1">
      <c r="B155" s="219"/>
      <c r="C155" s="689"/>
      <c r="E155" s="693" t="s">
        <v>3319</v>
      </c>
      <c r="F155" s="694"/>
      <c r="G155" s="227"/>
      <c r="H155" s="227"/>
      <c r="I155" s="227"/>
      <c r="J155" s="227"/>
      <c r="K155" s="228"/>
      <c r="L155" s="225"/>
    </row>
    <row r="156" spans="1:12" s="218" customFormat="1" ht="12" outlineLevel="1">
      <c r="B156" s="219"/>
      <c r="C156" s="689"/>
      <c r="E156" s="693" t="s">
        <v>3320</v>
      </c>
      <c r="F156" s="694"/>
      <c r="G156" s="227"/>
      <c r="H156" s="227"/>
      <c r="I156" s="349"/>
      <c r="J156" s="227"/>
      <c r="K156" s="228"/>
      <c r="L156" s="225"/>
    </row>
    <row r="157" spans="1:12" s="125" customFormat="1" ht="12.75">
      <c r="B157" s="214"/>
      <c r="C157" s="689"/>
      <c r="D157" s="611" t="s">
        <v>3321</v>
      </c>
      <c r="E157" s="612"/>
      <c r="F157" s="613"/>
      <c r="G157" s="212"/>
      <c r="H157" s="212"/>
      <c r="I157" s="229"/>
      <c r="J157" s="212"/>
      <c r="K157" s="213"/>
      <c r="L157" s="200"/>
    </row>
    <row r="158" spans="1:12" s="125" customFormat="1" ht="12.75">
      <c r="B158" s="214"/>
      <c r="C158" s="689"/>
      <c r="D158" s="611" t="s">
        <v>3322</v>
      </c>
      <c r="E158" s="612"/>
      <c r="F158" s="613"/>
      <c r="G158" s="229">
        <f>SUM(G159:G161)</f>
        <v>0</v>
      </c>
      <c r="H158" s="229">
        <f>SUM(H159:H161)</f>
        <v>0</v>
      </c>
      <c r="I158" s="229">
        <f>SUM(I159:I161)</f>
        <v>0</v>
      </c>
      <c r="J158" s="229">
        <f>SUM(J159:J161)</f>
        <v>0</v>
      </c>
      <c r="K158" s="230">
        <f>SUM(K159:K161)</f>
        <v>0</v>
      </c>
      <c r="L158" s="200"/>
    </row>
    <row r="159" spans="1:12" s="218" customFormat="1" ht="12" outlineLevel="1">
      <c r="B159" s="219"/>
      <c r="C159" s="689"/>
      <c r="D159" s="239"/>
      <c r="E159" s="616" t="s">
        <v>3323</v>
      </c>
      <c r="F159" s="617"/>
      <c r="G159" s="348"/>
      <c r="H159" s="223"/>
      <c r="I159" s="223"/>
      <c r="J159" s="223"/>
      <c r="K159" s="224"/>
      <c r="L159" s="225"/>
    </row>
    <row r="160" spans="1:12" s="218" customFormat="1" ht="12" outlineLevel="1">
      <c r="B160" s="219"/>
      <c r="C160" s="689"/>
      <c r="D160" s="240"/>
      <c r="E160" s="626" t="s">
        <v>3324</v>
      </c>
      <c r="F160" s="627"/>
      <c r="G160" s="349"/>
      <c r="H160" s="227"/>
      <c r="I160" s="227"/>
      <c r="J160" s="227"/>
      <c r="K160" s="228"/>
      <c r="L160" s="225"/>
    </row>
    <row r="161" spans="1:15" s="218" customFormat="1" ht="12" outlineLevel="1">
      <c r="B161" s="219"/>
      <c r="C161" s="713"/>
      <c r="D161" s="242"/>
      <c r="E161" s="716" t="s">
        <v>3325</v>
      </c>
      <c r="F161" s="717"/>
      <c r="G161" s="357"/>
      <c r="H161" s="231"/>
      <c r="I161" s="231"/>
      <c r="J161" s="231"/>
      <c r="K161" s="232"/>
      <c r="L161" s="225"/>
    </row>
    <row r="162" spans="1:15" ht="17.25" customHeight="1">
      <c r="A162" s="125"/>
      <c r="B162" s="127"/>
      <c r="C162" s="609" t="s">
        <v>3326</v>
      </c>
      <c r="D162" s="610"/>
      <c r="E162" s="610"/>
      <c r="F162" s="610" t="s">
        <v>3327</v>
      </c>
      <c r="G162" s="233">
        <f>G144+G152+G157+G158</f>
        <v>0</v>
      </c>
      <c r="H162" s="233">
        <f>H144+H152+H157+H158</f>
        <v>0</v>
      </c>
      <c r="I162" s="233">
        <f>I144+I152+I157+I158</f>
        <v>0</v>
      </c>
      <c r="J162" s="233">
        <f>SUM(J144,J152,J157,J158)</f>
        <v>0</v>
      </c>
      <c r="K162" s="234">
        <f>SUM(K144,K152,K157,K158)</f>
        <v>0</v>
      </c>
      <c r="L162" s="128"/>
    </row>
    <row r="163" spans="1:15" ht="17.25" customHeight="1">
      <c r="A163" s="125"/>
      <c r="B163" s="127"/>
      <c r="C163" s="687" t="s">
        <v>3328</v>
      </c>
      <c r="D163" s="688"/>
      <c r="E163" s="688"/>
      <c r="F163" s="688"/>
      <c r="G163" s="294">
        <f>G119+G141+G162</f>
        <v>0</v>
      </c>
      <c r="H163" s="294">
        <f>H119+H141+H162</f>
        <v>0</v>
      </c>
      <c r="I163" s="294">
        <f>I119+I141+I162</f>
        <v>0</v>
      </c>
      <c r="J163" s="294">
        <f>J119+J141+J162</f>
        <v>0</v>
      </c>
      <c r="K163" s="295">
        <f>K119+K141+K162</f>
        <v>0</v>
      </c>
      <c r="L163" s="128"/>
    </row>
    <row r="164" spans="1:15" ht="17.25" customHeight="1">
      <c r="B164" s="127"/>
      <c r="C164" s="671"/>
      <c r="D164" s="672"/>
      <c r="E164" s="672"/>
      <c r="F164" s="672"/>
      <c r="G164" s="672"/>
      <c r="H164" s="672"/>
      <c r="I164" s="672"/>
      <c r="J164" s="672"/>
      <c r="K164" s="673"/>
      <c r="L164" s="128"/>
    </row>
    <row r="165" spans="1:15" s="124" customFormat="1" ht="18">
      <c r="B165" s="127"/>
      <c r="C165" s="729" t="s">
        <v>3329</v>
      </c>
      <c r="D165" s="730"/>
      <c r="E165" s="730"/>
      <c r="F165" s="730" t="s">
        <v>3330</v>
      </c>
      <c r="G165" s="730"/>
      <c r="H165" s="730"/>
      <c r="I165" s="730"/>
      <c r="J165" s="730"/>
      <c r="K165" s="731"/>
      <c r="L165" s="128"/>
      <c r="M165" s="227"/>
      <c r="N165" s="227"/>
      <c r="O165" s="227"/>
    </row>
    <row r="166" spans="1:15" ht="17.25" customHeight="1">
      <c r="B166" s="127"/>
      <c r="C166" s="644" t="s">
        <v>3331</v>
      </c>
      <c r="D166" s="645"/>
      <c r="E166" s="645"/>
      <c r="F166" s="645"/>
      <c r="G166" s="281"/>
      <c r="H166" s="282"/>
      <c r="I166" s="282"/>
      <c r="J166" s="282"/>
      <c r="K166" s="283"/>
      <c r="L166" s="128"/>
    </row>
    <row r="167" spans="1:15" s="125" customFormat="1" ht="14.25">
      <c r="A167" s="124"/>
      <c r="B167" s="214"/>
      <c r="C167" s="689"/>
      <c r="D167" s="611" t="s">
        <v>3332</v>
      </c>
      <c r="E167" s="612"/>
      <c r="F167" s="613"/>
      <c r="G167" s="229">
        <f>G168-G172+G173-G174+G175+G176</f>
        <v>0</v>
      </c>
      <c r="H167" s="229">
        <f>H168-H172+H173-H174+H175+H176</f>
        <v>0</v>
      </c>
      <c r="I167" s="229">
        <f>I168-I172+I173-I174+I175+I176</f>
        <v>0</v>
      </c>
      <c r="J167" s="229">
        <f>J168-J172+J173-J174+J175+J176</f>
        <v>0</v>
      </c>
      <c r="K167" s="230">
        <f>K168-K172+K173-K174+K175+K176</f>
        <v>0</v>
      </c>
      <c r="L167" s="200"/>
    </row>
    <row r="168" spans="1:15" s="125" customFormat="1" ht="12.75" outlineLevel="1">
      <c r="B168" s="214"/>
      <c r="C168" s="689"/>
      <c r="D168" s="215"/>
      <c r="E168" s="741" t="s">
        <v>3333</v>
      </c>
      <c r="F168" s="742"/>
      <c r="G168" s="216">
        <f>SUM(G169:G171)</f>
        <v>0</v>
      </c>
      <c r="H168" s="216">
        <f>SUM(H169:H171)</f>
        <v>0</v>
      </c>
      <c r="I168" s="216">
        <f>SUM(I169:I171)</f>
        <v>0</v>
      </c>
      <c r="J168" s="216">
        <f>SUM(J169:J171)</f>
        <v>0</v>
      </c>
      <c r="K168" s="217">
        <f>SUM(K169:K171)</f>
        <v>0</v>
      </c>
      <c r="L168" s="200"/>
    </row>
    <row r="169" spans="1:15" s="218" customFormat="1" ht="14.25" customHeight="1" outlineLevel="1">
      <c r="B169" s="219"/>
      <c r="C169" s="689"/>
      <c r="E169" s="239"/>
      <c r="F169" s="221" t="s">
        <v>3334</v>
      </c>
      <c r="G169" s="348"/>
      <c r="H169" s="223"/>
      <c r="I169" s="356"/>
      <c r="J169" s="223"/>
      <c r="K169" s="224"/>
      <c r="L169" s="225"/>
    </row>
    <row r="170" spans="1:15" s="218" customFormat="1" ht="14.25" customHeight="1" outlineLevel="1">
      <c r="B170" s="219"/>
      <c r="C170" s="689"/>
      <c r="E170" s="240"/>
      <c r="F170" s="226" t="s">
        <v>3335</v>
      </c>
      <c r="G170" s="227"/>
      <c r="H170" s="227"/>
      <c r="I170" s="227"/>
      <c r="J170" s="227"/>
      <c r="K170" s="228"/>
      <c r="L170" s="225"/>
    </row>
    <row r="171" spans="1:15" s="218" customFormat="1" ht="14.25" customHeight="1" outlineLevel="1">
      <c r="B171" s="219"/>
      <c r="C171" s="689"/>
      <c r="E171" s="240"/>
      <c r="F171" s="226" t="s">
        <v>3336</v>
      </c>
      <c r="G171" s="227"/>
      <c r="H171" s="227"/>
      <c r="I171" s="359"/>
      <c r="J171" s="227"/>
      <c r="K171" s="228"/>
      <c r="L171" s="225"/>
    </row>
    <row r="172" spans="1:15" s="218" customFormat="1" ht="12" outlineLevel="1">
      <c r="B172" s="219"/>
      <c r="C172" s="689"/>
      <c r="E172" s="626" t="s">
        <v>3337</v>
      </c>
      <c r="F172" s="627"/>
      <c r="G172" s="349"/>
      <c r="H172" s="227"/>
      <c r="I172" s="227"/>
      <c r="J172" s="227"/>
      <c r="K172" s="228"/>
      <c r="L172" s="225"/>
      <c r="M172" s="227"/>
    </row>
    <row r="173" spans="1:15" s="218" customFormat="1" ht="14.25" customHeight="1" outlineLevel="1">
      <c r="B173" s="219"/>
      <c r="C173" s="689"/>
      <c r="E173" s="626" t="s">
        <v>3338</v>
      </c>
      <c r="F173" s="627"/>
      <c r="G173" s="227"/>
      <c r="H173" s="227"/>
      <c r="I173" s="227"/>
      <c r="J173" s="227"/>
      <c r="K173" s="228"/>
      <c r="L173" s="225"/>
    </row>
    <row r="174" spans="1:15" s="218" customFormat="1" ht="14.25" customHeight="1" outlineLevel="1">
      <c r="B174" s="219"/>
      <c r="C174" s="689"/>
      <c r="E174" s="626" t="s">
        <v>3339</v>
      </c>
      <c r="F174" s="627"/>
      <c r="G174" s="227"/>
      <c r="H174" s="227"/>
      <c r="I174" s="227"/>
      <c r="J174" s="227"/>
      <c r="K174" s="228"/>
      <c r="L174" s="225"/>
    </row>
    <row r="175" spans="1:15" s="218" customFormat="1" ht="14.25" customHeight="1" outlineLevel="1">
      <c r="B175" s="219"/>
      <c r="C175" s="689"/>
      <c r="E175" s="626" t="s">
        <v>3340</v>
      </c>
      <c r="F175" s="627"/>
      <c r="G175" s="349"/>
      <c r="H175" s="227"/>
      <c r="I175" s="227"/>
      <c r="J175" s="227"/>
      <c r="K175" s="228"/>
      <c r="L175" s="225"/>
    </row>
    <row r="176" spans="1:15" s="218" customFormat="1" ht="14.25" customHeight="1" outlineLevel="1">
      <c r="B176" s="219"/>
      <c r="C176" s="689"/>
      <c r="E176" s="626" t="s">
        <v>3341</v>
      </c>
      <c r="F176" s="627"/>
      <c r="G176" s="349"/>
      <c r="H176" s="227"/>
      <c r="I176" s="227"/>
      <c r="J176" s="227"/>
      <c r="K176" s="228"/>
      <c r="L176" s="225"/>
    </row>
    <row r="177" spans="1:12" s="125" customFormat="1" ht="12.75">
      <c r="A177" s="218"/>
      <c r="B177" s="214"/>
      <c r="C177" s="689"/>
      <c r="D177" s="611" t="s">
        <v>3342</v>
      </c>
      <c r="E177" s="612"/>
      <c r="F177" s="613"/>
      <c r="G177" s="229">
        <f>SUM(G178:G181)</f>
        <v>0</v>
      </c>
      <c r="H177" s="229">
        <f>SUM(H178:H181)</f>
        <v>0</v>
      </c>
      <c r="I177" s="229">
        <f>SUM(I178:I181)</f>
        <v>0</v>
      </c>
      <c r="J177" s="229">
        <f>SUM(J178:J181)</f>
        <v>0</v>
      </c>
      <c r="K177" s="230">
        <f>SUM(K178:K181)</f>
        <v>0</v>
      </c>
      <c r="L177" s="200"/>
    </row>
    <row r="178" spans="1:12" s="218" customFormat="1" ht="14.25" customHeight="1" outlineLevel="1">
      <c r="B178" s="219"/>
      <c r="C178" s="689"/>
      <c r="D178" s="220"/>
      <c r="E178" s="701" t="s">
        <v>3343</v>
      </c>
      <c r="F178" s="702"/>
      <c r="G178" s="223"/>
      <c r="H178" s="223"/>
      <c r="I178" s="223"/>
      <c r="J178" s="223"/>
      <c r="K178" s="224"/>
      <c r="L178" s="225"/>
    </row>
    <row r="179" spans="1:12" s="218" customFormat="1" ht="14.25" customHeight="1" outlineLevel="1">
      <c r="B179" s="219"/>
      <c r="C179" s="689"/>
      <c r="E179" s="621" t="s">
        <v>3344</v>
      </c>
      <c r="F179" s="622"/>
      <c r="G179" s="227"/>
      <c r="H179" s="227"/>
      <c r="I179" s="227"/>
      <c r="J179" s="227"/>
      <c r="K179" s="228"/>
      <c r="L179" s="225"/>
    </row>
    <row r="180" spans="1:12" s="218" customFormat="1" ht="14.25" customHeight="1" outlineLevel="1">
      <c r="B180" s="219"/>
      <c r="C180" s="689"/>
      <c r="E180" s="621" t="s">
        <v>3345</v>
      </c>
      <c r="F180" s="622"/>
      <c r="G180" s="227"/>
      <c r="H180" s="227"/>
      <c r="I180" s="227"/>
      <c r="J180" s="227"/>
      <c r="K180" s="228"/>
      <c r="L180" s="225"/>
    </row>
    <row r="181" spans="1:12" s="218" customFormat="1" ht="14.25" customHeight="1" outlineLevel="1">
      <c r="B181" s="219"/>
      <c r="C181" s="689"/>
      <c r="E181" s="621" t="s">
        <v>3346</v>
      </c>
      <c r="F181" s="622"/>
      <c r="G181" s="227"/>
      <c r="H181" s="227"/>
      <c r="I181" s="227"/>
      <c r="J181" s="227"/>
      <c r="K181" s="228"/>
      <c r="L181" s="225"/>
    </row>
    <row r="182" spans="1:12" s="125" customFormat="1" ht="12.75">
      <c r="A182" s="218"/>
      <c r="B182" s="214"/>
      <c r="C182" s="689"/>
      <c r="D182" s="611" t="s">
        <v>3347</v>
      </c>
      <c r="E182" s="612"/>
      <c r="F182" s="613"/>
      <c r="G182" s="229">
        <f>SUM(G183,G187)</f>
        <v>0</v>
      </c>
      <c r="H182" s="229">
        <f>SUM(H183,H187)</f>
        <v>0</v>
      </c>
      <c r="I182" s="229">
        <f>SUM(I183,I187)</f>
        <v>0</v>
      </c>
      <c r="J182" s="229"/>
      <c r="K182" s="230">
        <f>SUM(K183,K187)</f>
        <v>0</v>
      </c>
      <c r="L182" s="200"/>
    </row>
    <row r="183" spans="1:12" s="218" customFormat="1" ht="14.25" customHeight="1" outlineLevel="1">
      <c r="B183" s="219"/>
      <c r="C183" s="689"/>
      <c r="D183" s="220"/>
      <c r="E183" s="616" t="s">
        <v>3348</v>
      </c>
      <c r="F183" s="617"/>
      <c r="G183" s="296">
        <f>SUM(G184:G186)</f>
        <v>0</v>
      </c>
      <c r="H183" s="296">
        <f>SUM(H184:H186)</f>
        <v>0</v>
      </c>
      <c r="I183" s="296">
        <f>SUM(I184:I186)</f>
        <v>0</v>
      </c>
      <c r="J183" s="296">
        <f>SUM(J184:J186)</f>
        <v>0</v>
      </c>
      <c r="K183" s="297">
        <f>SUM(K184:K186)</f>
        <v>0</v>
      </c>
      <c r="L183" s="225"/>
    </row>
    <row r="184" spans="1:12" s="218" customFormat="1" ht="14.25" customHeight="1" outlineLevel="1">
      <c r="B184" s="219"/>
      <c r="C184" s="689"/>
      <c r="E184" s="239"/>
      <c r="F184" s="221" t="s">
        <v>3349</v>
      </c>
      <c r="G184" s="296"/>
      <c r="H184" s="296"/>
      <c r="I184" s="296"/>
      <c r="J184" s="296"/>
      <c r="K184" s="297"/>
      <c r="L184" s="225"/>
    </row>
    <row r="185" spans="1:12" s="218" customFormat="1" ht="14.25" customHeight="1" outlineLevel="1">
      <c r="B185" s="219"/>
      <c r="C185" s="689"/>
      <c r="E185" s="240"/>
      <c r="F185" s="226" t="s">
        <v>3350</v>
      </c>
      <c r="G185" s="360"/>
      <c r="H185" s="360"/>
      <c r="I185" s="360"/>
      <c r="J185" s="360"/>
      <c r="K185" s="361"/>
      <c r="L185" s="225"/>
    </row>
    <row r="186" spans="1:12" s="218" customFormat="1" ht="14.25" customHeight="1" outlineLevel="1">
      <c r="B186" s="219"/>
      <c r="C186" s="689"/>
      <c r="E186" s="240"/>
      <c r="F186" s="226" t="s">
        <v>3351</v>
      </c>
      <c r="G186" s="360"/>
      <c r="H186" s="360"/>
      <c r="I186" s="360"/>
      <c r="J186" s="360"/>
      <c r="K186" s="361"/>
      <c r="L186" s="225"/>
    </row>
    <row r="187" spans="1:12" s="218" customFormat="1" ht="14.25" customHeight="1" outlineLevel="1">
      <c r="B187" s="219"/>
      <c r="C187" s="689"/>
      <c r="E187" s="626" t="s">
        <v>3352</v>
      </c>
      <c r="F187" s="627"/>
      <c r="G187" s="227"/>
      <c r="H187" s="227"/>
      <c r="I187" s="227"/>
      <c r="J187" s="227"/>
      <c r="K187" s="228"/>
      <c r="L187" s="225"/>
    </row>
    <row r="188" spans="1:12" s="125" customFormat="1" ht="12.75">
      <c r="A188" s="218"/>
      <c r="B188" s="214"/>
      <c r="C188" s="689"/>
      <c r="D188" s="650" t="s">
        <v>3353</v>
      </c>
      <c r="E188" s="650"/>
      <c r="F188" s="651"/>
      <c r="G188" s="299"/>
      <c r="H188" s="299"/>
      <c r="I188" s="299"/>
      <c r="J188" s="299"/>
      <c r="K188" s="300"/>
      <c r="L188" s="200"/>
    </row>
    <row r="189" spans="1:12" s="125" customFormat="1" ht="12.75">
      <c r="A189" s="218"/>
      <c r="B189" s="214"/>
      <c r="C189" s="689"/>
      <c r="D189" s="650" t="s">
        <v>3354</v>
      </c>
      <c r="E189" s="650"/>
      <c r="F189" s="651"/>
      <c r="G189" s="299">
        <f>SUM(G190:G192)</f>
        <v>0</v>
      </c>
      <c r="H189" s="299">
        <f>SUM(H190:H192)</f>
        <v>0</v>
      </c>
      <c r="I189" s="299">
        <f>SUM(I190:I192)</f>
        <v>0</v>
      </c>
      <c r="J189" s="299">
        <f>SUM(J190:J192)</f>
        <v>0</v>
      </c>
      <c r="K189" s="300">
        <f>SUM(K190:K192)</f>
        <v>0</v>
      </c>
      <c r="L189" s="200"/>
    </row>
    <row r="190" spans="1:12" s="218" customFormat="1" ht="12" outlineLevel="1">
      <c r="B190" s="219"/>
      <c r="C190" s="689"/>
      <c r="D190" s="239"/>
      <c r="E190" s="701" t="s">
        <v>3355</v>
      </c>
      <c r="F190" s="702"/>
      <c r="G190" s="362"/>
      <c r="H190" s="362"/>
      <c r="I190" s="362"/>
      <c r="J190" s="362"/>
      <c r="K190" s="363"/>
      <c r="L190" s="225"/>
    </row>
    <row r="191" spans="1:12" s="218" customFormat="1" ht="12" outlineLevel="1">
      <c r="B191" s="219"/>
      <c r="C191" s="689"/>
      <c r="D191" s="240"/>
      <c r="E191" s="621" t="s">
        <v>3356</v>
      </c>
      <c r="F191" s="622"/>
      <c r="G191" s="364"/>
      <c r="H191" s="364"/>
      <c r="I191" s="364"/>
      <c r="J191" s="364"/>
      <c r="K191" s="365"/>
      <c r="L191" s="225"/>
    </row>
    <row r="192" spans="1:12" s="218" customFormat="1" ht="12.75" outlineLevel="1">
      <c r="B192" s="219"/>
      <c r="C192" s="713"/>
      <c r="D192" s="242"/>
      <c r="E192" s="716" t="s">
        <v>3357</v>
      </c>
      <c r="F192" s="717"/>
      <c r="G192" s="366"/>
      <c r="H192" s="315"/>
      <c r="I192" s="315"/>
      <c r="J192" s="366"/>
      <c r="K192" s="345"/>
      <c r="L192" s="225"/>
    </row>
    <row r="193" spans="1:12" ht="17.25" customHeight="1">
      <c r="A193" s="125"/>
      <c r="B193" s="127"/>
      <c r="C193" s="609" t="s">
        <v>3358</v>
      </c>
      <c r="D193" s="610"/>
      <c r="E193" s="610"/>
      <c r="F193" s="610" t="s">
        <v>3359</v>
      </c>
      <c r="G193" s="233">
        <f>SUM(G167,G177,G182,G188,G189)</f>
        <v>0</v>
      </c>
      <c r="H193" s="233">
        <f>SUM(H167,H177,H182,H188,H189)</f>
        <v>0</v>
      </c>
      <c r="I193" s="233">
        <f>SUM(I167,I177,I182,I188,I189)</f>
        <v>0</v>
      </c>
      <c r="J193" s="233">
        <f>SUM(J167,J177,J182,J188,J189)</f>
        <v>0</v>
      </c>
      <c r="K193" s="234">
        <f>SUM(K167,K177,K182,K188,K189)</f>
        <v>0</v>
      </c>
      <c r="L193" s="128"/>
    </row>
    <row r="194" spans="1:12" ht="7.5" customHeight="1">
      <c r="B194" s="127"/>
      <c r="C194" s="671"/>
      <c r="D194" s="672"/>
      <c r="E194" s="672"/>
      <c r="F194" s="672"/>
      <c r="G194" s="672"/>
      <c r="H194" s="672"/>
      <c r="I194" s="672"/>
      <c r="J194" s="672"/>
      <c r="K194" s="673"/>
      <c r="L194" s="128"/>
    </row>
    <row r="195" spans="1:12" ht="17.25" customHeight="1">
      <c r="B195" s="127"/>
      <c r="C195" s="689" t="s">
        <v>3360</v>
      </c>
      <c r="D195" s="690"/>
      <c r="E195" s="690"/>
      <c r="F195" s="690"/>
      <c r="G195" s="286"/>
      <c r="H195" s="287"/>
      <c r="I195" s="287"/>
      <c r="J195" s="287"/>
      <c r="K195" s="288"/>
      <c r="L195" s="128"/>
    </row>
    <row r="196" spans="1:12" s="125" customFormat="1" ht="14.25">
      <c r="A196" s="124"/>
      <c r="B196" s="214"/>
      <c r="C196" s="665"/>
      <c r="D196" s="611" t="s">
        <v>3361</v>
      </c>
      <c r="E196" s="612"/>
      <c r="F196" s="613"/>
      <c r="G196" s="229">
        <f>SUM(G197,G200,G201,G202)</f>
        <v>0</v>
      </c>
      <c r="H196" s="229">
        <f>SUM(H197,H200,H201,H202)</f>
        <v>0</v>
      </c>
      <c r="I196" s="229">
        <f>SUM(I197,I200,I201,I202)</f>
        <v>0</v>
      </c>
      <c r="J196" s="229">
        <f>SUM(J197,J200,J201,J202)</f>
        <v>0</v>
      </c>
      <c r="K196" s="230">
        <f>SUM(K197,K200,K201,K202)</f>
        <v>0</v>
      </c>
      <c r="L196" s="200"/>
    </row>
    <row r="197" spans="1:12" s="218" customFormat="1" ht="14.25" customHeight="1" outlineLevel="1">
      <c r="B197" s="219"/>
      <c r="C197" s="665"/>
      <c r="D197" s="220"/>
      <c r="E197" s="701" t="s">
        <v>3362</v>
      </c>
      <c r="F197" s="702"/>
      <c r="G197" s="223">
        <f>SUM(G198:G199)</f>
        <v>0</v>
      </c>
      <c r="H197" s="223">
        <f>SUM(H198:H199)</f>
        <v>0</v>
      </c>
      <c r="I197" s="223">
        <f>SUM(I198:I199)</f>
        <v>0</v>
      </c>
      <c r="J197" s="223">
        <f>SUM(J198:J199)</f>
        <v>0</v>
      </c>
      <c r="K197" s="224">
        <f>SUM(K198:K199)</f>
        <v>0</v>
      </c>
      <c r="L197" s="225"/>
    </row>
    <row r="198" spans="1:12" s="218" customFormat="1" ht="14.25" customHeight="1" outlineLevel="2">
      <c r="B198" s="219"/>
      <c r="C198" s="665"/>
      <c r="E198" s="247"/>
      <c r="F198" s="248" t="s">
        <v>3363</v>
      </c>
      <c r="G198" s="223"/>
      <c r="H198" s="223"/>
      <c r="I198" s="223"/>
      <c r="J198" s="223"/>
      <c r="K198" s="224"/>
      <c r="L198" s="225"/>
    </row>
    <row r="199" spans="1:12" s="218" customFormat="1" ht="14.25" customHeight="1" outlineLevel="2">
      <c r="B199" s="219"/>
      <c r="C199" s="665"/>
      <c r="E199" s="250"/>
      <c r="F199" s="251" t="s">
        <v>3364</v>
      </c>
      <c r="G199" s="227"/>
      <c r="H199" s="227"/>
      <c r="I199" s="227"/>
      <c r="J199" s="227"/>
      <c r="K199" s="228"/>
      <c r="L199" s="225"/>
    </row>
    <row r="200" spans="1:12" s="218" customFormat="1" ht="14.25" customHeight="1" outlineLevel="1">
      <c r="B200" s="219"/>
      <c r="C200" s="665"/>
      <c r="E200" s="621" t="s">
        <v>3365</v>
      </c>
      <c r="F200" s="622"/>
      <c r="G200" s="227"/>
      <c r="H200" s="227"/>
      <c r="I200" s="227"/>
      <c r="J200" s="227"/>
      <c r="K200" s="228"/>
      <c r="L200" s="225"/>
    </row>
    <row r="201" spans="1:12" s="218" customFormat="1" ht="14.25" customHeight="1" outlineLevel="1">
      <c r="B201" s="219"/>
      <c r="C201" s="665"/>
      <c r="E201" s="621" t="s">
        <v>3366</v>
      </c>
      <c r="F201" s="622"/>
      <c r="G201" s="227"/>
      <c r="H201" s="227"/>
      <c r="I201" s="227"/>
      <c r="J201" s="227"/>
      <c r="K201" s="228"/>
      <c r="L201" s="225"/>
    </row>
    <row r="202" spans="1:12" s="218" customFormat="1" ht="14.25" customHeight="1" outlineLevel="1">
      <c r="B202" s="219"/>
      <c r="C202" s="665"/>
      <c r="E202" s="621" t="s">
        <v>3367</v>
      </c>
      <c r="F202" s="622"/>
      <c r="G202" s="227"/>
      <c r="H202" s="227"/>
      <c r="I202" s="227"/>
      <c r="J202" s="227"/>
      <c r="K202" s="228"/>
      <c r="L202" s="225"/>
    </row>
    <row r="203" spans="1:12" s="125" customFormat="1" ht="12.75">
      <c r="A203" s="218"/>
      <c r="B203" s="214"/>
      <c r="C203" s="665"/>
      <c r="D203" s="650" t="s">
        <v>3368</v>
      </c>
      <c r="E203" s="650"/>
      <c r="F203" s="651"/>
      <c r="G203" s="299">
        <f>SUM(G204:G207)</f>
        <v>0</v>
      </c>
      <c r="H203" s="299">
        <f>SUM(H204:H207)</f>
        <v>0</v>
      </c>
      <c r="I203" s="299">
        <f>SUM(I204:I207)</f>
        <v>0</v>
      </c>
      <c r="J203" s="299">
        <f>SUM(J204:J207)</f>
        <v>0</v>
      </c>
      <c r="K203" s="300">
        <f>SUM(K204:K207)</f>
        <v>0</v>
      </c>
      <c r="L203" s="200"/>
    </row>
    <row r="204" spans="1:12" s="218" customFormat="1" ht="12" outlineLevel="1">
      <c r="B204" s="219"/>
      <c r="C204" s="665"/>
      <c r="D204" s="239"/>
      <c r="E204" s="652" t="s">
        <v>3369</v>
      </c>
      <c r="F204" s="653"/>
      <c r="G204" s="362"/>
      <c r="H204" s="362"/>
      <c r="I204" s="362"/>
      <c r="J204" s="362"/>
      <c r="K204" s="363"/>
      <c r="L204" s="225"/>
    </row>
    <row r="205" spans="1:12" s="218" customFormat="1" ht="12" outlineLevel="1">
      <c r="B205" s="219"/>
      <c r="C205" s="665"/>
      <c r="D205" s="240"/>
      <c r="E205" s="669" t="s">
        <v>3370</v>
      </c>
      <c r="F205" s="670"/>
      <c r="G205" s="364"/>
      <c r="H205" s="364"/>
      <c r="I205" s="364"/>
      <c r="J205" s="364"/>
      <c r="K205" s="365"/>
      <c r="L205" s="225"/>
    </row>
    <row r="206" spans="1:12" s="218" customFormat="1" ht="12" outlineLevel="1">
      <c r="B206" s="219"/>
      <c r="C206" s="665"/>
      <c r="D206" s="240"/>
      <c r="E206" s="669" t="s">
        <v>3371</v>
      </c>
      <c r="F206" s="670"/>
      <c r="G206" s="364"/>
      <c r="H206" s="364"/>
      <c r="I206" s="364"/>
      <c r="J206" s="364"/>
      <c r="K206" s="365"/>
      <c r="L206" s="225"/>
    </row>
    <row r="207" spans="1:12" s="218" customFormat="1" ht="12" outlineLevel="1">
      <c r="B207" s="219"/>
      <c r="C207" s="665"/>
      <c r="D207" s="240"/>
      <c r="E207" s="669" t="s">
        <v>3372</v>
      </c>
      <c r="F207" s="670"/>
      <c r="G207" s="364"/>
      <c r="H207" s="364"/>
      <c r="I207" s="364"/>
      <c r="J207" s="364"/>
      <c r="K207" s="365"/>
      <c r="L207" s="225"/>
    </row>
    <row r="208" spans="1:12" s="125" customFormat="1" ht="12.75">
      <c r="B208" s="214"/>
      <c r="C208" s="665"/>
      <c r="D208" s="611" t="s">
        <v>3373</v>
      </c>
      <c r="E208" s="612"/>
      <c r="F208" s="613"/>
      <c r="G208" s="229">
        <f>SUM(G209:G210)-G212</f>
        <v>0</v>
      </c>
      <c r="H208" s="229">
        <f>SUM(H209:H210)-H212</f>
        <v>0</v>
      </c>
      <c r="I208" s="229">
        <f>SUM(I209:I210)-I212</f>
        <v>0</v>
      </c>
      <c r="J208" s="229">
        <f>SUM(J209:J210)-J212</f>
        <v>0</v>
      </c>
      <c r="K208" s="230">
        <f>SUM(K209:K210)-K212</f>
        <v>0</v>
      </c>
      <c r="L208" s="200"/>
    </row>
    <row r="209" spans="1:12" s="218" customFormat="1" ht="14.25" customHeight="1" outlineLevel="1">
      <c r="B209" s="219"/>
      <c r="C209" s="665"/>
      <c r="D209" s="220"/>
      <c r="E209" s="616" t="s">
        <v>3374</v>
      </c>
      <c r="F209" s="617"/>
      <c r="G209" s="362"/>
      <c r="H209" s="362"/>
      <c r="I209" s="362"/>
      <c r="J209" s="362"/>
      <c r="K209" s="363"/>
      <c r="L209" s="225"/>
    </row>
    <row r="210" spans="1:12" s="218" customFormat="1" ht="14.25" customHeight="1" outlineLevel="1">
      <c r="B210" s="219"/>
      <c r="C210" s="665"/>
      <c r="E210" s="626" t="s">
        <v>3375</v>
      </c>
      <c r="F210" s="627"/>
      <c r="G210" s="364"/>
      <c r="H210" s="364"/>
      <c r="I210" s="364"/>
      <c r="J210" s="364"/>
      <c r="K210" s="365"/>
      <c r="L210" s="225"/>
    </row>
    <row r="211" spans="1:12" s="218" customFormat="1" ht="14.25" customHeight="1" outlineLevel="1">
      <c r="B211" s="219"/>
      <c r="C211" s="665"/>
      <c r="E211" s="626" t="s">
        <v>3376</v>
      </c>
      <c r="F211" s="627"/>
      <c r="G211" s="364"/>
      <c r="H211" s="364"/>
      <c r="I211" s="364"/>
      <c r="J211" s="364"/>
      <c r="K211" s="365"/>
      <c r="L211" s="225"/>
    </row>
    <row r="212" spans="1:12" s="218" customFormat="1" ht="14.25" customHeight="1" outlineLevel="1">
      <c r="B212" s="219"/>
      <c r="C212" s="665"/>
      <c r="E212" s="621" t="s">
        <v>3377</v>
      </c>
      <c r="F212" s="622"/>
      <c r="G212" s="364"/>
      <c r="H212" s="364"/>
      <c r="I212" s="364"/>
      <c r="J212" s="364"/>
      <c r="K212" s="365"/>
      <c r="L212" s="225"/>
    </row>
    <row r="213" spans="1:12" s="125" customFormat="1" ht="12.75">
      <c r="A213" s="218"/>
      <c r="B213" s="214"/>
      <c r="C213" s="665"/>
      <c r="D213" s="611" t="s">
        <v>3378</v>
      </c>
      <c r="E213" s="612"/>
      <c r="F213" s="613"/>
      <c r="G213" s="299"/>
      <c r="H213" s="299"/>
      <c r="I213" s="299"/>
      <c r="J213" s="299"/>
      <c r="K213" s="300"/>
      <c r="L213" s="200"/>
    </row>
    <row r="214" spans="1:12" s="125" customFormat="1" ht="12.75">
      <c r="B214" s="214"/>
      <c r="C214" s="665"/>
      <c r="D214" s="611" t="s">
        <v>3379</v>
      </c>
      <c r="E214" s="612"/>
      <c r="F214" s="613"/>
      <c r="G214" s="229">
        <f>SUM(G215,G219)</f>
        <v>0</v>
      </c>
      <c r="H214" s="229">
        <f>SUM(H215,H219)</f>
        <v>0</v>
      </c>
      <c r="I214" s="229">
        <f>SUM(I215,I219)</f>
        <v>0</v>
      </c>
      <c r="J214" s="229">
        <f>SUM(J215,J219)</f>
        <v>0</v>
      </c>
      <c r="K214" s="230">
        <f>SUM(K215,K219)</f>
        <v>0</v>
      </c>
      <c r="L214" s="200"/>
    </row>
    <row r="215" spans="1:12" s="218" customFormat="1" ht="14.25" customHeight="1" outlineLevel="1">
      <c r="A215" s="125"/>
      <c r="B215" s="219"/>
      <c r="C215" s="665"/>
      <c r="D215" s="220"/>
      <c r="E215" s="616" t="s">
        <v>3380</v>
      </c>
      <c r="F215" s="617"/>
      <c r="G215" s="223">
        <f>SUM(G216:G218)</f>
        <v>0</v>
      </c>
      <c r="H215" s="223">
        <f>SUM(H216:H218)</f>
        <v>0</v>
      </c>
      <c r="I215" s="223">
        <f>SUM(I216:I218)</f>
        <v>0</v>
      </c>
      <c r="J215" s="223">
        <f>SUM(J216:J218)</f>
        <v>0</v>
      </c>
      <c r="K215" s="224">
        <f>SUM(K216:K218)</f>
        <v>0</v>
      </c>
      <c r="L215" s="225"/>
    </row>
    <row r="216" spans="1:12" s="218" customFormat="1" ht="14.25" customHeight="1" outlineLevel="1">
      <c r="A216" s="125"/>
      <c r="B216" s="219"/>
      <c r="C216" s="665"/>
      <c r="E216" s="239"/>
      <c r="F216" s="221" t="s">
        <v>3381</v>
      </c>
      <c r="G216" s="223"/>
      <c r="H216" s="223"/>
      <c r="I216" s="223"/>
      <c r="J216" s="223"/>
      <c r="K216" s="224"/>
      <c r="L216" s="225"/>
    </row>
    <row r="217" spans="1:12" s="218" customFormat="1" ht="14.25" customHeight="1" outlineLevel="1">
      <c r="A217" s="125"/>
      <c r="B217" s="219"/>
      <c r="C217" s="665"/>
      <c r="E217" s="240"/>
      <c r="F217" s="226" t="s">
        <v>3382</v>
      </c>
      <c r="G217" s="227"/>
      <c r="H217" s="227"/>
      <c r="I217" s="227"/>
      <c r="J217" s="227"/>
      <c r="K217" s="228"/>
      <c r="L217" s="225"/>
    </row>
    <row r="218" spans="1:12" s="218" customFormat="1" ht="14.25" customHeight="1" outlineLevel="1">
      <c r="A218" s="125"/>
      <c r="B218" s="219"/>
      <c r="C218" s="665"/>
      <c r="E218" s="240"/>
      <c r="F218" s="226" t="s">
        <v>3383</v>
      </c>
      <c r="G218" s="227"/>
      <c r="H218" s="227"/>
      <c r="I218" s="227"/>
      <c r="J218" s="227"/>
      <c r="K218" s="228"/>
      <c r="L218" s="225"/>
    </row>
    <row r="219" spans="1:12" s="218" customFormat="1" ht="14.25" customHeight="1" outlineLevel="1">
      <c r="B219" s="219"/>
      <c r="C219" s="665"/>
      <c r="E219" s="626" t="s">
        <v>3384</v>
      </c>
      <c r="F219" s="627"/>
      <c r="G219" s="227"/>
      <c r="H219" s="227"/>
      <c r="I219" s="227"/>
      <c r="J219" s="227"/>
      <c r="K219" s="228"/>
      <c r="L219" s="225"/>
    </row>
    <row r="220" spans="1:12" s="125" customFormat="1" ht="12.75">
      <c r="A220" s="218"/>
      <c r="B220" s="214"/>
      <c r="C220" s="743"/>
      <c r="D220" s="611" t="s">
        <v>3385</v>
      </c>
      <c r="E220" s="612"/>
      <c r="F220" s="613"/>
      <c r="G220" s="315"/>
      <c r="H220" s="315"/>
      <c r="I220" s="315"/>
      <c r="J220" s="315"/>
      <c r="K220" s="316"/>
      <c r="L220" s="200"/>
    </row>
    <row r="221" spans="1:12" ht="17.25" customHeight="1">
      <c r="A221" s="125"/>
      <c r="B221" s="127"/>
      <c r="C221" s="708" t="s">
        <v>3386</v>
      </c>
      <c r="D221" s="709"/>
      <c r="E221" s="709"/>
      <c r="F221" s="710" t="s">
        <v>3387</v>
      </c>
      <c r="G221" s="233">
        <f>SUM(G196,G203,G208,G213:G214,G220)</f>
        <v>0</v>
      </c>
      <c r="H221" s="233">
        <f>SUM(H196,H203,H208,H213:H214,H220)</f>
        <v>0</v>
      </c>
      <c r="I221" s="233">
        <f>SUM(I196,I203,I208,I213:I214,I220)</f>
        <v>0</v>
      </c>
      <c r="J221" s="233">
        <f>SUM(J196,J203,J208,J213:J214,J220)</f>
        <v>0</v>
      </c>
      <c r="K221" s="234">
        <f>SUM(K196,K203,K208,K213:K214,K220)</f>
        <v>0</v>
      </c>
      <c r="L221" s="128"/>
    </row>
    <row r="222" spans="1:12" ht="17.25" customHeight="1">
      <c r="A222" s="125"/>
      <c r="B222" s="127"/>
      <c r="C222" s="687" t="s">
        <v>3388</v>
      </c>
      <c r="D222" s="688"/>
      <c r="E222" s="688"/>
      <c r="F222" s="688" t="s">
        <v>3389</v>
      </c>
      <c r="G222" s="294">
        <f>SUM(G193,G221)</f>
        <v>0</v>
      </c>
      <c r="H222" s="294">
        <f>SUM(H193,H221)</f>
        <v>0</v>
      </c>
      <c r="I222" s="294">
        <f>SUM(I193,I221)</f>
        <v>0</v>
      </c>
      <c r="J222" s="294">
        <f>SUM(J193,J221)</f>
        <v>0</v>
      </c>
      <c r="K222" s="295">
        <f>SUM(K193,K221)</f>
        <v>0</v>
      </c>
      <c r="L222" s="128"/>
    </row>
    <row r="223" spans="1:12" ht="14.25" customHeight="1">
      <c r="B223" s="127"/>
      <c r="F223" s="301"/>
      <c r="G223" s="302"/>
      <c r="H223" s="303"/>
      <c r="I223" s="303"/>
      <c r="J223" s="303"/>
      <c r="K223" s="303"/>
      <c r="L223" s="128"/>
    </row>
    <row r="224" spans="1:12" s="218" customFormat="1" ht="12">
      <c r="B224" s="219"/>
      <c r="C224" s="711" t="s">
        <v>3390</v>
      </c>
      <c r="D224" s="712"/>
      <c r="E224" s="712"/>
      <c r="F224" s="712"/>
      <c r="G224" s="304">
        <f>G163-G222</f>
        <v>0</v>
      </c>
      <c r="H224" s="304">
        <f>H163-H222</f>
        <v>0</v>
      </c>
      <c r="I224" s="304">
        <f>I163-I222</f>
        <v>0</v>
      </c>
      <c r="J224" s="304">
        <f>J163-J222</f>
        <v>0</v>
      </c>
      <c r="K224" s="305">
        <f>K163-K222</f>
        <v>0</v>
      </c>
      <c r="L224" s="225"/>
    </row>
    <row r="225" spans="1:12" s="285" customFormat="1" ht="14.25" customHeight="1">
      <c r="A225" s="125"/>
      <c r="B225" s="127"/>
      <c r="C225" s="124"/>
      <c r="D225" s="124"/>
      <c r="E225" s="124"/>
      <c r="F225" s="240"/>
      <c r="G225" s="306"/>
      <c r="H225" s="268"/>
      <c r="I225" s="268"/>
      <c r="J225" s="268"/>
      <c r="K225" s="268"/>
      <c r="L225" s="128"/>
    </row>
    <row r="226" spans="1:12" s="285" customFormat="1" ht="19.5">
      <c r="A226" s="124"/>
      <c r="B226" s="127"/>
      <c r="C226" s="720" t="s">
        <v>3391</v>
      </c>
      <c r="D226" s="721"/>
      <c r="E226" s="721"/>
      <c r="F226" s="721"/>
      <c r="G226" s="721"/>
      <c r="H226" s="721"/>
      <c r="I226" s="721"/>
      <c r="J226" s="721"/>
      <c r="K226" s="722"/>
      <c r="L226" s="128"/>
    </row>
    <row r="227" spans="1:12" s="285" customFormat="1" ht="17.25" customHeight="1">
      <c r="A227" s="124"/>
      <c r="B227" s="127"/>
      <c r="C227" s="623" t="s">
        <v>3392</v>
      </c>
      <c r="D227" s="624"/>
      <c r="E227" s="624"/>
      <c r="F227" s="625" t="s">
        <v>3393</v>
      </c>
      <c r="G227" s="279">
        <f>G6</f>
        <v>43921</v>
      </c>
      <c r="H227" s="279">
        <f>H6</f>
        <v>44286</v>
      </c>
      <c r="I227" s="279">
        <f>I6</f>
        <v>44651</v>
      </c>
      <c r="J227" s="279">
        <f>J6</f>
        <v>45016</v>
      </c>
      <c r="K227" s="280">
        <f>K6</f>
        <v>45382</v>
      </c>
      <c r="L227" s="128"/>
    </row>
    <row r="228" spans="1:12" s="309" customFormat="1" ht="16.5">
      <c r="A228" s="124"/>
      <c r="B228" s="307"/>
      <c r="C228" s="703" t="s">
        <v>3394</v>
      </c>
      <c r="D228" s="704"/>
      <c r="E228" s="704"/>
      <c r="F228" s="704"/>
      <c r="G228" s="704"/>
      <c r="H228" s="704"/>
      <c r="I228" s="704"/>
      <c r="J228" s="704"/>
      <c r="K228" s="705"/>
      <c r="L228" s="308"/>
    </row>
    <row r="229" spans="1:12" s="285" customFormat="1" ht="16.5">
      <c r="A229" s="310"/>
      <c r="B229" s="214"/>
      <c r="C229" s="649" t="s">
        <v>3395</v>
      </c>
      <c r="D229" s="650"/>
      <c r="E229" s="650"/>
      <c r="F229" s="651"/>
      <c r="G229" s="311"/>
      <c r="H229" s="261" t="str">
        <f>IFERROR((H23-G23)/G23,"-")</f>
        <v>-</v>
      </c>
      <c r="I229" s="261" t="str">
        <f>IFERROR((I23-H23)/H23,"-")</f>
        <v>-</v>
      </c>
      <c r="J229" s="261" t="str">
        <f>IFERROR((J23-I23)/I23,"-")</f>
        <v>-</v>
      </c>
      <c r="K229" s="262" t="str">
        <f>IFERROR((K23-J23)/J23,"-")</f>
        <v>-</v>
      </c>
      <c r="L229" s="200"/>
    </row>
    <row r="230" spans="1:12" s="285" customFormat="1" ht="12.75">
      <c r="A230" s="125"/>
      <c r="B230" s="214"/>
      <c r="C230" s="649" t="s">
        <v>3396</v>
      </c>
      <c r="D230" s="650"/>
      <c r="E230" s="650"/>
      <c r="F230" s="651"/>
      <c r="G230" s="311"/>
      <c r="H230" s="261" t="str">
        <f>IFERROR(H55/G55-1,"-")</f>
        <v>-</v>
      </c>
      <c r="I230" s="261" t="str">
        <f>IFERROR(I55/H55-1,"-")</f>
        <v>-</v>
      </c>
      <c r="J230" s="261" t="str">
        <f>IFERROR(J55/I55-1,"-")</f>
        <v>-</v>
      </c>
      <c r="K230" s="262" t="str">
        <f>IFERROR(K55/J55-1,"-")</f>
        <v>-</v>
      </c>
      <c r="L230" s="200"/>
    </row>
    <row r="231" spans="1:12" s="285" customFormat="1" ht="12.75">
      <c r="A231" s="125"/>
      <c r="B231" s="214"/>
      <c r="C231" s="649" t="s">
        <v>3397</v>
      </c>
      <c r="D231" s="650"/>
      <c r="E231" s="650"/>
      <c r="F231" s="651"/>
      <c r="G231" s="311"/>
      <c r="H231" s="261" t="str">
        <f>IFERROR((H92-G92)/G92,"-")</f>
        <v>-</v>
      </c>
      <c r="I231" s="261" t="str">
        <f>IFERROR((I92-H92)/H92,"-")</f>
        <v>-</v>
      </c>
      <c r="J231" s="261" t="str">
        <f>IFERROR((J92-I92)/I92,"-")</f>
        <v>-</v>
      </c>
      <c r="K231" s="262" t="str">
        <f>IFERROR((K92-J92)/J92,"-")</f>
        <v>-</v>
      </c>
      <c r="L231" s="200"/>
    </row>
    <row r="232" spans="1:12" ht="7.5" customHeight="1">
      <c r="A232" s="125"/>
      <c r="B232" s="127"/>
      <c r="C232" s="665"/>
      <c r="D232" s="666"/>
      <c r="E232" s="666"/>
      <c r="F232" s="667"/>
      <c r="G232" s="666"/>
      <c r="H232" s="666"/>
      <c r="I232" s="666"/>
      <c r="J232" s="666"/>
      <c r="K232" s="668"/>
      <c r="L232" s="128"/>
    </row>
    <row r="233" spans="1:12" s="309" customFormat="1" ht="16.5">
      <c r="A233" s="124"/>
      <c r="B233" s="307"/>
      <c r="C233" s="703" t="s">
        <v>3398</v>
      </c>
      <c r="D233" s="704"/>
      <c r="E233" s="704"/>
      <c r="F233" s="704"/>
      <c r="G233" s="704"/>
      <c r="H233" s="704"/>
      <c r="I233" s="704"/>
      <c r="J233" s="704"/>
      <c r="K233" s="705"/>
      <c r="L233" s="308"/>
    </row>
    <row r="234" spans="1:12" s="285" customFormat="1" ht="16.5">
      <c r="A234" s="310"/>
      <c r="B234" s="214"/>
      <c r="C234" s="649" t="s">
        <v>3399</v>
      </c>
      <c r="D234" s="650"/>
      <c r="E234" s="650"/>
      <c r="F234" s="651"/>
      <c r="G234" s="261" t="str">
        <f>IFERROR(G55/G23,"-")</f>
        <v>-</v>
      </c>
      <c r="H234" s="261" t="str">
        <f>IFERROR(H55/H23,"-")</f>
        <v>-</v>
      </c>
      <c r="I234" s="261" t="str">
        <f>IFERROR(I55/I23,"-")</f>
        <v>-</v>
      </c>
      <c r="J234" s="261" t="str">
        <f>IFERROR(J55/J23,"-")</f>
        <v>-</v>
      </c>
      <c r="K234" s="262" t="str">
        <f>IFERROR(K55/K23,"-")</f>
        <v>-</v>
      </c>
      <c r="L234" s="200"/>
    </row>
    <row r="235" spans="1:12" s="285" customFormat="1" ht="12.75">
      <c r="A235" s="125"/>
      <c r="B235" s="214"/>
      <c r="C235" s="618" t="s">
        <v>3400</v>
      </c>
      <c r="D235" s="619"/>
      <c r="E235" s="619"/>
      <c r="F235" s="620"/>
      <c r="G235" s="261" t="str">
        <f>IFERROR((G92-G73)/G23,"-")</f>
        <v>-</v>
      </c>
      <c r="H235" s="261" t="str">
        <f>IFERROR((H92-H73)/H23,"-")</f>
        <v>-</v>
      </c>
      <c r="I235" s="261" t="str">
        <f>IFERROR((I92-I73)/I23,"-")</f>
        <v>-</v>
      </c>
      <c r="J235" s="261" t="str">
        <f>IFERROR((J92-J73)/J23,"-")</f>
        <v>-</v>
      </c>
      <c r="K235" s="262" t="str">
        <f>IFERROR((K92-K73)/K23,"-")</f>
        <v>-</v>
      </c>
      <c r="L235" s="200"/>
    </row>
    <row r="236" spans="1:12" s="285" customFormat="1" ht="12.75">
      <c r="A236" s="125"/>
      <c r="B236" s="214"/>
      <c r="C236" s="649" t="s">
        <v>3401</v>
      </c>
      <c r="D236" s="650"/>
      <c r="E236" s="650"/>
      <c r="F236" s="651"/>
      <c r="G236" s="261" t="str">
        <f>IFERROR((G100-G73)/G23,"-")</f>
        <v>-</v>
      </c>
      <c r="H236" s="261" t="str">
        <f>IFERROR((H100-H73)/H23,"-")</f>
        <v>-</v>
      </c>
      <c r="I236" s="261" t="str">
        <f>IFERROR((I100-I73)/I23,"-")</f>
        <v>-</v>
      </c>
      <c r="J236" s="261" t="str">
        <f>IFERROR((J100-J73)/J23,"-")</f>
        <v>-</v>
      </c>
      <c r="K236" s="262" t="str">
        <f>IFERROR((K100-K73)/K23,"-")</f>
        <v>-</v>
      </c>
      <c r="L236" s="200"/>
    </row>
    <row r="237" spans="1:12" s="285" customFormat="1" ht="12.75">
      <c r="A237" s="125"/>
      <c r="B237" s="214"/>
      <c r="C237" s="649" t="s">
        <v>3402</v>
      </c>
      <c r="D237" s="650"/>
      <c r="E237" s="650"/>
      <c r="F237" s="651"/>
      <c r="G237" s="261" t="str">
        <f>IFERROR(G65/(G222-G162),"-")</f>
        <v>-</v>
      </c>
      <c r="H237" s="261" t="str">
        <f>IFERROR(H65/(H222-H162),"-")</f>
        <v>-</v>
      </c>
      <c r="I237" s="261" t="str">
        <f>IFERROR(I65/(I222-I162),"-")</f>
        <v>-</v>
      </c>
      <c r="J237" s="261" t="str">
        <f>IFERROR(J65/(J222-J162),"-")</f>
        <v>-</v>
      </c>
      <c r="K237" s="262" t="str">
        <f>IFERROR(K65/(K222-K162),"-")</f>
        <v>-</v>
      </c>
      <c r="L237" s="200"/>
    </row>
    <row r="238" spans="1:12" s="285" customFormat="1" ht="12.75">
      <c r="A238" s="125"/>
      <c r="B238" s="214"/>
      <c r="C238" s="649" t="s">
        <v>3403</v>
      </c>
      <c r="D238" s="650"/>
      <c r="E238" s="650"/>
      <c r="F238" s="651"/>
      <c r="G238" s="261" t="str">
        <f>IFERROR(G92/G119,"-")</f>
        <v>-</v>
      </c>
      <c r="H238" s="261" t="str">
        <f>IFERROR(H92/H119,"-")</f>
        <v>-</v>
      </c>
      <c r="I238" s="261" t="str">
        <f>IFERROR(I92/I119,"-")</f>
        <v>-</v>
      </c>
      <c r="J238" s="261" t="str">
        <f>IFERROR(J92/J119,"-")</f>
        <v>-</v>
      </c>
      <c r="K238" s="262" t="str">
        <f>IFERROR(K92/K119,"-")</f>
        <v>-</v>
      </c>
      <c r="L238" s="200"/>
    </row>
    <row r="239" spans="1:12" s="285" customFormat="1" ht="12.75">
      <c r="A239" s="125"/>
      <c r="B239" s="214"/>
      <c r="C239" s="649" t="s">
        <v>3404</v>
      </c>
      <c r="D239" s="650"/>
      <c r="E239" s="650"/>
      <c r="F239" s="651"/>
      <c r="G239" s="261" t="str">
        <f>IFERROR(G92/G222,"-")</f>
        <v>-</v>
      </c>
      <c r="H239" s="261" t="str">
        <f>IFERROR(H92/H222,"-")</f>
        <v>-</v>
      </c>
      <c r="I239" s="261" t="str">
        <f>IFERROR(I92/I222,"-")</f>
        <v>-</v>
      </c>
      <c r="J239" s="261" t="str">
        <f>IFERROR(J92/J222,"-")</f>
        <v>-</v>
      </c>
      <c r="K239" s="262" t="str">
        <f>IFERROR(K92/K222,"-")</f>
        <v>-</v>
      </c>
      <c r="L239" s="200"/>
    </row>
    <row r="240" spans="1:12" ht="7.5" customHeight="1">
      <c r="A240" s="125"/>
      <c r="B240" s="127"/>
      <c r="C240" s="665"/>
      <c r="D240" s="666"/>
      <c r="E240" s="666"/>
      <c r="F240" s="667"/>
      <c r="G240" s="666"/>
      <c r="H240" s="666"/>
      <c r="I240" s="666"/>
      <c r="J240" s="666"/>
      <c r="K240" s="668"/>
      <c r="L240" s="128"/>
    </row>
    <row r="241" spans="1:12" s="309" customFormat="1" ht="16.5">
      <c r="A241" s="124"/>
      <c r="B241" s="307"/>
      <c r="C241" s="703" t="s">
        <v>3405</v>
      </c>
      <c r="D241" s="704"/>
      <c r="E241" s="704"/>
      <c r="F241" s="704"/>
      <c r="G241" s="704"/>
      <c r="H241" s="704"/>
      <c r="I241" s="704"/>
      <c r="J241" s="704"/>
      <c r="K241" s="705"/>
      <c r="L241" s="308"/>
    </row>
    <row r="242" spans="1:12" s="285" customFormat="1" ht="16.5">
      <c r="A242" s="310"/>
      <c r="B242" s="214"/>
      <c r="C242" s="649" t="s">
        <v>3406</v>
      </c>
      <c r="D242" s="650"/>
      <c r="E242" s="650"/>
      <c r="F242" s="651"/>
      <c r="G242" s="299" t="str">
        <f>IFERROR(G221/G162,"-")</f>
        <v>-</v>
      </c>
      <c r="H242" s="299" t="str">
        <f>IFERROR(H221/H162,"-")</f>
        <v>-</v>
      </c>
      <c r="I242" s="299" t="str">
        <f>IFERROR(I221/I162,"-")</f>
        <v>-</v>
      </c>
      <c r="J242" s="299" t="str">
        <f>IFERROR(J221/J162,"-")</f>
        <v>-</v>
      </c>
      <c r="K242" s="300" t="str">
        <f>IFERROR(K221/K162,"-")</f>
        <v>-</v>
      </c>
      <c r="L242" s="200"/>
    </row>
    <row r="243" spans="1:12" s="285" customFormat="1" ht="12.75">
      <c r="A243" s="125"/>
      <c r="B243" s="214"/>
      <c r="C243" s="649" t="s">
        <v>3407</v>
      </c>
      <c r="D243" s="650"/>
      <c r="E243" s="650"/>
      <c r="F243" s="651"/>
      <c r="G243" s="299">
        <f>G221-G162</f>
        <v>0</v>
      </c>
      <c r="H243" s="299">
        <f>H221-H162</f>
        <v>0</v>
      </c>
      <c r="I243" s="299">
        <f>I221-I162</f>
        <v>0</v>
      </c>
      <c r="J243" s="299">
        <f>J221-J162</f>
        <v>0</v>
      </c>
      <c r="K243" s="300">
        <f>K221-K162</f>
        <v>0</v>
      </c>
      <c r="L243" s="200"/>
    </row>
    <row r="244" spans="1:12" s="285" customFormat="1" ht="12.75">
      <c r="A244" s="125"/>
      <c r="B244" s="214"/>
      <c r="C244" s="649" t="s">
        <v>3408</v>
      </c>
      <c r="D244" s="650"/>
      <c r="E244" s="650"/>
      <c r="F244" s="651"/>
      <c r="G244" s="299" t="str">
        <f>IFERROR(G23/G243,"-")</f>
        <v>-</v>
      </c>
      <c r="H244" s="299" t="str">
        <f>IFERROR(H23/H243,"-")</f>
        <v>-</v>
      </c>
      <c r="I244" s="299" t="str">
        <f>IFERROR(I23/I243,"-")</f>
        <v>-</v>
      </c>
      <c r="J244" s="299" t="str">
        <f>IFERROR(J23/J243,"-")</f>
        <v>-</v>
      </c>
      <c r="K244" s="300" t="str">
        <f>IFERROR(K23/K243,"-")</f>
        <v>-</v>
      </c>
      <c r="L244" s="200"/>
    </row>
    <row r="245" spans="1:12" s="285" customFormat="1" ht="12.75">
      <c r="A245" s="125"/>
      <c r="B245" s="214"/>
      <c r="C245" s="649" t="s">
        <v>3409</v>
      </c>
      <c r="D245" s="650"/>
      <c r="E245" s="650"/>
      <c r="F245" s="651"/>
      <c r="G245" s="299" t="str">
        <f>IFERROR((G221-G220-G203)/G162,"-")</f>
        <v>-</v>
      </c>
      <c r="H245" s="299" t="str">
        <f>IFERROR((H221-H220-H203)/H162,"-")</f>
        <v>-</v>
      </c>
      <c r="I245" s="299" t="str">
        <f>IFERROR((I221-I220-I203)/I162,"-")</f>
        <v>-</v>
      </c>
      <c r="J245" s="299" t="str">
        <f>IFERROR((J221-J220-J203)/J162,"-")</f>
        <v>-</v>
      </c>
      <c r="K245" s="300" t="str">
        <f>IFERROR((K221-K220-K203)/K162,"-")</f>
        <v>-</v>
      </c>
      <c r="L245" s="200"/>
    </row>
    <row r="246" spans="1:12" ht="7.5" customHeight="1">
      <c r="A246" s="125"/>
      <c r="B246" s="127"/>
      <c r="C246" s="665"/>
      <c r="D246" s="666"/>
      <c r="E246" s="666"/>
      <c r="F246" s="667"/>
      <c r="G246" s="666"/>
      <c r="H246" s="666"/>
      <c r="I246" s="666"/>
      <c r="J246" s="666"/>
      <c r="K246" s="668"/>
      <c r="L246" s="128"/>
    </row>
    <row r="247" spans="1:12" s="309" customFormat="1" ht="16.5">
      <c r="A247" s="124"/>
      <c r="B247" s="307"/>
      <c r="C247" s="703" t="s">
        <v>3410</v>
      </c>
      <c r="D247" s="704"/>
      <c r="E247" s="704"/>
      <c r="F247" s="704"/>
      <c r="G247" s="704"/>
      <c r="H247" s="704"/>
      <c r="I247" s="704"/>
      <c r="J247" s="704"/>
      <c r="K247" s="705"/>
      <c r="L247" s="308"/>
    </row>
    <row r="248" spans="1:12" s="285" customFormat="1" ht="16.5">
      <c r="A248" s="310"/>
      <c r="B248" s="214"/>
      <c r="C248" s="649" t="s">
        <v>3411</v>
      </c>
      <c r="D248" s="650"/>
      <c r="E248" s="650"/>
      <c r="F248" s="651"/>
      <c r="G248" s="299" t="str">
        <f>IFERROR(G26/G203,"-")</f>
        <v>-</v>
      </c>
      <c r="H248" s="299" t="str">
        <f>IFERROR(H26/H203,"-")</f>
        <v>-</v>
      </c>
      <c r="I248" s="299" t="str">
        <f>IFERROR(I26/I203,"-")</f>
        <v>-</v>
      </c>
      <c r="J248" s="299" t="str">
        <f>IFERROR(J26/J203,"-")</f>
        <v>-</v>
      </c>
      <c r="K248" s="300" t="str">
        <f>IFERROR(K26/K203,"-")</f>
        <v>-</v>
      </c>
      <c r="L248" s="200"/>
    </row>
    <row r="249" spans="1:12" s="285" customFormat="1" ht="12.75">
      <c r="A249" s="125"/>
      <c r="B249" s="214"/>
      <c r="C249" s="649" t="s">
        <v>3412</v>
      </c>
      <c r="D249" s="650"/>
      <c r="E249" s="650"/>
      <c r="F249" s="651"/>
      <c r="G249" s="299" t="str">
        <f>IFERROR(365/G248,"-")</f>
        <v>-</v>
      </c>
      <c r="H249" s="299" t="str">
        <f>IFERROR(365/H248,"-")</f>
        <v>-</v>
      </c>
      <c r="I249" s="299" t="str">
        <f>IFERROR(365/I248,"-")</f>
        <v>-</v>
      </c>
      <c r="J249" s="299" t="str">
        <f>IFERROR(365/J248,"-")</f>
        <v>-</v>
      </c>
      <c r="K249" s="300" t="str">
        <f>IFERROR(365/K248,"-")</f>
        <v>-</v>
      </c>
      <c r="L249" s="200"/>
    </row>
    <row r="250" spans="1:12" s="285" customFormat="1" ht="12.75">
      <c r="A250" s="125"/>
      <c r="B250" s="214"/>
      <c r="C250" s="649" t="s">
        <v>3413</v>
      </c>
      <c r="D250" s="650"/>
      <c r="E250" s="650"/>
      <c r="F250" s="651"/>
      <c r="G250" s="299" t="str">
        <f>IFERROR(G23/G208,"-")</f>
        <v>-</v>
      </c>
      <c r="H250" s="299" t="str">
        <f>IFERROR(H23/H208,"-")</f>
        <v>-</v>
      </c>
      <c r="I250" s="299" t="str">
        <f>IFERROR(I23/I208,"-")</f>
        <v>-</v>
      </c>
      <c r="J250" s="299" t="str">
        <f>IFERROR(J23/J208,"-")</f>
        <v>-</v>
      </c>
      <c r="K250" s="300" t="str">
        <f>IFERROR(K23/K208,"-")</f>
        <v>-</v>
      </c>
      <c r="L250" s="200"/>
    </row>
    <row r="251" spans="1:12" s="285" customFormat="1" ht="12.75">
      <c r="A251" s="125"/>
      <c r="B251" s="214"/>
      <c r="C251" s="649" t="s">
        <v>3414</v>
      </c>
      <c r="D251" s="650"/>
      <c r="E251" s="650"/>
      <c r="F251" s="651"/>
      <c r="G251" s="299" t="str">
        <f>IFERROR(365/G250,"-")</f>
        <v>-</v>
      </c>
      <c r="H251" s="299" t="str">
        <f>IFERROR(365/H250,"-")</f>
        <v>-</v>
      </c>
      <c r="I251" s="299" t="str">
        <f>IFERROR(365/I250,"-")</f>
        <v>-</v>
      </c>
      <c r="J251" s="299" t="str">
        <f>IFERROR(365/J250,"-")</f>
        <v>-</v>
      </c>
      <c r="K251" s="300" t="str">
        <f>IFERROR(365/K250,"-")</f>
        <v>-</v>
      </c>
      <c r="L251" s="200"/>
    </row>
    <row r="252" spans="1:12" s="285" customFormat="1" ht="12.75">
      <c r="A252" s="125"/>
      <c r="B252" s="214"/>
      <c r="C252" s="649" t="s">
        <v>3415</v>
      </c>
      <c r="D252" s="650"/>
      <c r="E252" s="650"/>
      <c r="F252" s="651"/>
      <c r="G252" s="299" t="str">
        <f>IFERROR((G26+G38)/G152,"-")</f>
        <v>-</v>
      </c>
      <c r="H252" s="299" t="str">
        <f>IFERROR((H26+H38)/H152,"-")</f>
        <v>-</v>
      </c>
      <c r="I252" s="299" t="str">
        <f>IFERROR((I26+I38)/I152,"-")</f>
        <v>-</v>
      </c>
      <c r="J252" s="299" t="str">
        <f>IFERROR((J26+J38)/J152,"-")</f>
        <v>-</v>
      </c>
      <c r="K252" s="300" t="str">
        <f>IFERROR((K26+K38)/K152,"-")</f>
        <v>-</v>
      </c>
      <c r="L252" s="200"/>
    </row>
    <row r="253" spans="1:12" s="285" customFormat="1" ht="12.75">
      <c r="A253" s="125"/>
      <c r="B253" s="214"/>
      <c r="C253" s="649" t="s">
        <v>3416</v>
      </c>
      <c r="D253" s="650"/>
      <c r="E253" s="650"/>
      <c r="F253" s="651"/>
      <c r="G253" s="299" t="str">
        <f>IFERROR(365/G252,"-")</f>
        <v>-</v>
      </c>
      <c r="H253" s="299" t="str">
        <f>IFERROR(365/H252,"-")</f>
        <v>-</v>
      </c>
      <c r="I253" s="299" t="str">
        <f>IFERROR(365/I252,"-")</f>
        <v>-</v>
      </c>
      <c r="J253" s="299" t="str">
        <f>IFERROR(365/J252,"-")</f>
        <v>-</v>
      </c>
      <c r="K253" s="300" t="str">
        <f>IFERROR(365/K252,"-")</f>
        <v>-</v>
      </c>
      <c r="L253" s="200"/>
    </row>
    <row r="254" spans="1:12" s="285" customFormat="1" ht="12.75">
      <c r="A254" s="125"/>
      <c r="B254" s="214"/>
      <c r="C254" s="649" t="s">
        <v>3417</v>
      </c>
      <c r="D254" s="650"/>
      <c r="E254" s="650"/>
      <c r="F254" s="651"/>
      <c r="G254" s="299" t="str">
        <f>IFERROR(G249+G251-G253,"-")</f>
        <v>-</v>
      </c>
      <c r="H254" s="299" t="str">
        <f>IFERROR(H249+H251-H253,"-")</f>
        <v>-</v>
      </c>
      <c r="I254" s="299" t="str">
        <f>IFERROR(I249+I251-I253,"-")</f>
        <v>-</v>
      </c>
      <c r="J254" s="299" t="str">
        <f>IFERROR(J249+J251-J253,"-")</f>
        <v>-</v>
      </c>
      <c r="K254" s="300" t="str">
        <f>IFERROR(K249+K251-K253,"-")</f>
        <v>-</v>
      </c>
      <c r="L254" s="200"/>
    </row>
    <row r="255" spans="1:12" s="285" customFormat="1" ht="12.75">
      <c r="A255" s="125"/>
      <c r="B255" s="214"/>
      <c r="C255" s="649" t="s">
        <v>3418</v>
      </c>
      <c r="D255" s="650"/>
      <c r="E255" s="650"/>
      <c r="F255" s="651"/>
      <c r="G255" s="299" t="str">
        <f>IFERROR(G23/(G168-G172),"-")</f>
        <v>-</v>
      </c>
      <c r="H255" s="299" t="str">
        <f>IFERROR(H23/(H168-H172),"-")</f>
        <v>-</v>
      </c>
      <c r="I255" s="299" t="str">
        <f>IFERROR(I23/(I168-I172),"-")</f>
        <v>-</v>
      </c>
      <c r="J255" s="299" t="str">
        <f>IFERROR(J23/(J168-J172),"-")</f>
        <v>-</v>
      </c>
      <c r="K255" s="300" t="str">
        <f>IFERROR(K23/(K168-K172),"-")</f>
        <v>-</v>
      </c>
      <c r="L255" s="200"/>
    </row>
    <row r="256" spans="1:12" s="285" customFormat="1" ht="12.75">
      <c r="A256" s="125"/>
      <c r="B256" s="214"/>
      <c r="C256" s="649" t="s">
        <v>3419</v>
      </c>
      <c r="D256" s="650"/>
      <c r="E256" s="650"/>
      <c r="F256" s="651"/>
      <c r="G256" s="299" t="str">
        <f>IFERROR(G23/G222,"-")</f>
        <v>-</v>
      </c>
      <c r="H256" s="299" t="str">
        <f>IFERROR(H23/H222,"-")</f>
        <v>-</v>
      </c>
      <c r="I256" s="299" t="str">
        <f>IFERROR(I23/I222,"-")</f>
        <v>-</v>
      </c>
      <c r="J256" s="299" t="str">
        <f>IFERROR(J23/J222,"-")</f>
        <v>-</v>
      </c>
      <c r="K256" s="300" t="str">
        <f>IFERROR(K23/K222,"-")</f>
        <v>-</v>
      </c>
      <c r="L256" s="200"/>
    </row>
    <row r="257" spans="1:12" s="285" customFormat="1" ht="7.5" customHeight="1">
      <c r="A257" s="125"/>
      <c r="B257" s="214"/>
      <c r="C257" s="665"/>
      <c r="D257" s="666"/>
      <c r="E257" s="666"/>
      <c r="F257" s="666"/>
      <c r="G257" s="666"/>
      <c r="H257" s="666"/>
      <c r="I257" s="666"/>
      <c r="J257" s="666"/>
      <c r="K257" s="668"/>
      <c r="L257" s="200"/>
    </row>
    <row r="258" spans="1:12" s="309" customFormat="1" ht="16.5">
      <c r="A258" s="125"/>
      <c r="B258" s="307"/>
      <c r="C258" s="703" t="s">
        <v>3420</v>
      </c>
      <c r="D258" s="704"/>
      <c r="E258" s="704"/>
      <c r="F258" s="704"/>
      <c r="G258" s="704"/>
      <c r="H258" s="704"/>
      <c r="I258" s="704"/>
      <c r="J258" s="704"/>
      <c r="K258" s="705"/>
      <c r="L258" s="308"/>
    </row>
    <row r="259" spans="1:12" s="125" customFormat="1" ht="16.5">
      <c r="A259" s="310"/>
      <c r="B259" s="214"/>
      <c r="C259" s="649" t="s">
        <v>3421</v>
      </c>
      <c r="D259" s="650"/>
      <c r="E259" s="650"/>
      <c r="F259" s="651"/>
      <c r="G259" s="299" t="str">
        <f>IFERROR(G55/G67,"-")</f>
        <v>-</v>
      </c>
      <c r="H259" s="299" t="str">
        <f>IFERROR(H65/H67,"-")</f>
        <v>-</v>
      </c>
      <c r="I259" s="299" t="str">
        <f>IFERROR(I65/I67,"-")</f>
        <v>-</v>
      </c>
      <c r="J259" s="299" t="str">
        <f>IFERROR(J55/J67,"-")</f>
        <v>-</v>
      </c>
      <c r="K259" s="300" t="str">
        <f>IFERROR(K55/K67,"-")</f>
        <v>-</v>
      </c>
      <c r="L259" s="200"/>
    </row>
    <row r="260" spans="1:12" s="125" customFormat="1" ht="29.25" customHeight="1">
      <c r="B260" s="214"/>
      <c r="C260" s="649" t="s">
        <v>3422</v>
      </c>
      <c r="D260" s="650"/>
      <c r="E260" s="650"/>
      <c r="F260" s="651"/>
      <c r="G260" s="313" t="str">
        <f>IF(G144+G152=0,"-",G55/(G144+G152))</f>
        <v>-</v>
      </c>
      <c r="H260" s="313" t="str">
        <f>IF(H144+H152=0,"-",H55/(H144+H152))</f>
        <v>-</v>
      </c>
      <c r="I260" s="313" t="str">
        <f>IF(I144+I152=0,"-",I55/(I144+I152))</f>
        <v>-</v>
      </c>
      <c r="J260" s="313" t="str">
        <f>IF(J144+J152=0,"-",J55/(J144+J152))</f>
        <v>-</v>
      </c>
      <c r="K260" s="314" t="str">
        <f>IF(K144+K152=0,"-",K55/(K144+K152))</f>
        <v>-</v>
      </c>
      <c r="L260" s="200"/>
    </row>
    <row r="261" spans="1:12" s="125" customFormat="1" ht="12.75">
      <c r="B261" s="214"/>
      <c r="C261" s="649" t="s">
        <v>3423</v>
      </c>
      <c r="D261" s="650"/>
      <c r="E261" s="650"/>
      <c r="F261" s="651"/>
      <c r="G261" s="299" t="str">
        <f>IFERROR((G141+G162+#REF!)/G119,"-")</f>
        <v>-</v>
      </c>
      <c r="H261" s="299" t="str">
        <f>IFERROR((H141+H162+#REF!)/H119,"-")</f>
        <v>-</v>
      </c>
      <c r="I261" s="299" t="str">
        <f>IFERROR((I141+I162+#REF!)/I119,"-")</f>
        <v>-</v>
      </c>
      <c r="J261" s="299" t="str">
        <f>IFERROR((J141+J162+#REF!)/J119,"-")</f>
        <v>-</v>
      </c>
      <c r="K261" s="300" t="str">
        <f>IFERROR((K141+K162+#REF!)/K119,"-")</f>
        <v>-</v>
      </c>
      <c r="L261" s="200"/>
    </row>
    <row r="262" spans="1:12" s="125" customFormat="1" ht="42" customHeight="1">
      <c r="B262" s="214"/>
      <c r="C262" s="649" t="s">
        <v>3424</v>
      </c>
      <c r="D262" s="650"/>
      <c r="E262" s="650"/>
      <c r="F262" s="651"/>
      <c r="G262" s="299" t="str">
        <f>IFERROR((G125+SUM(G144,G152))/(G92+G57),"-")</f>
        <v>-</v>
      </c>
      <c r="H262" s="299" t="str">
        <f>IFERROR((H125+SUM(H144,H152))/(H92+H57),"-")</f>
        <v>-</v>
      </c>
      <c r="I262" s="299" t="str">
        <f>IFERROR((I125+SUM(I144,I152))/(I92+I57),"-")</f>
        <v>-</v>
      </c>
      <c r="J262" s="299" t="str">
        <f>IFERROR((J125+SUM(J144,J152))/(J92+J57),"-")</f>
        <v>-</v>
      </c>
      <c r="K262" s="300" t="str">
        <f>IFERROR((K125+SUM(K144,K152))/(K92+K57),"-")</f>
        <v>-</v>
      </c>
      <c r="L262" s="200"/>
    </row>
    <row r="263" spans="1:12" s="125" customFormat="1" ht="12.75">
      <c r="B263" s="214"/>
      <c r="C263" s="649" t="s">
        <v>3425</v>
      </c>
      <c r="D263" s="650"/>
      <c r="E263" s="650"/>
      <c r="F263" s="651"/>
      <c r="G263" s="299" t="str">
        <f>IFERROR(SUM(G144,G152,G125)/G119,"-")</f>
        <v>-</v>
      </c>
      <c r="H263" s="299" t="str">
        <f>IFERROR(SUM(H144,H152,H125)/H119,"-")</f>
        <v>-</v>
      </c>
      <c r="I263" s="299" t="str">
        <f>IFERROR(SUM(I144,I152,I125)/I119,"-")</f>
        <v>-</v>
      </c>
      <c r="J263" s="299" t="str">
        <f>IFERROR(SUM(J144,J152,J125)/J119,"-")</f>
        <v>-</v>
      </c>
      <c r="K263" s="300" t="str">
        <f>IFERROR(SUM(K144,K152,K125)/K119,"-")</f>
        <v>-</v>
      </c>
      <c r="L263" s="200"/>
    </row>
    <row r="264" spans="1:12" s="125" customFormat="1" ht="12.75">
      <c r="B264" s="214"/>
      <c r="C264" s="726" t="s">
        <v>3426</v>
      </c>
      <c r="D264" s="727"/>
      <c r="E264" s="727"/>
      <c r="F264" s="728"/>
      <c r="G264" s="315" t="str">
        <f>IF(G125+G144+G152=0,"No Debt",(G222-(G173+G174)-G191-(G162-(G144+G152)))/(G125+G144+G152))</f>
        <v>No Debt</v>
      </c>
      <c r="H264" s="315" t="str">
        <f>IF(H125+H144+H152=0,"No Debt",(H222-(H173+H174)-H191-(H162-(H144+H152)))/(H125+H144+H152))</f>
        <v>No Debt</v>
      </c>
      <c r="I264" s="315" t="str">
        <f>IF(I125+I144+I152=0,"No Debt",(I222-(I173+I174)-I191-(I162-(I144+I152)))/(I125+I144+I152))</f>
        <v>No Debt</v>
      </c>
      <c r="J264" s="315" t="str">
        <f>IF(J125+J144+J152=0,"No Debt",(J222-(J173+J174)-J191-(J162-(J144+J152)))/(J125+J144+J152))</f>
        <v>No Debt</v>
      </c>
      <c r="K264" s="316" t="str">
        <f>IF(K125+K144+K152=0,"No Debt",(K222-(K173+K174)-K191-(K162-(K144+K152)))/(K125+K144+K152))</f>
        <v>No Debt</v>
      </c>
      <c r="L264" s="200"/>
    </row>
    <row r="265" spans="1:12" ht="13.5" customHeight="1">
      <c r="A265" s="125"/>
      <c r="B265" s="272"/>
      <c r="C265" s="275"/>
      <c r="D265" s="275"/>
      <c r="E265" s="275"/>
      <c r="F265" s="317"/>
      <c r="G265" s="275"/>
      <c r="H265" s="275"/>
      <c r="I265" s="275"/>
      <c r="J265" s="275"/>
      <c r="K265" s="275"/>
      <c r="L265" s="318"/>
    </row>
  </sheetData>
  <mergeCells count="252">
    <mergeCell ref="B2:L2"/>
    <mergeCell ref="D35:D37"/>
    <mergeCell ref="E68:F68"/>
    <mergeCell ref="C250:F250"/>
    <mergeCell ref="E151:F151"/>
    <mergeCell ref="C85:K85"/>
    <mergeCell ref="E118:F118"/>
    <mergeCell ref="D52:F52"/>
    <mergeCell ref="C234:F234"/>
    <mergeCell ref="E201:F201"/>
    <mergeCell ref="E168:F168"/>
    <mergeCell ref="C102:K102"/>
    <mergeCell ref="E135:F135"/>
    <mergeCell ref="C229:F229"/>
    <mergeCell ref="C196:C220"/>
    <mergeCell ref="C163:F163"/>
    <mergeCell ref="D196:F196"/>
    <mergeCell ref="E130:F130"/>
    <mergeCell ref="E97:F97"/>
    <mergeCell ref="D64:F64"/>
    <mergeCell ref="E31:F31"/>
    <mergeCell ref="C246:K246"/>
    <mergeCell ref="D213:F213"/>
    <mergeCell ref="E180:F180"/>
    <mergeCell ref="C264:F264"/>
    <mergeCell ref="C231:F231"/>
    <mergeCell ref="C165:K165"/>
    <mergeCell ref="C99:F99"/>
    <mergeCell ref="C66:K66"/>
    <mergeCell ref="E132:F132"/>
    <mergeCell ref="C248:F248"/>
    <mergeCell ref="D182:F182"/>
    <mergeCell ref="E215:F215"/>
    <mergeCell ref="E149:F149"/>
    <mergeCell ref="E116:F116"/>
    <mergeCell ref="D83:F83"/>
    <mergeCell ref="C232:K232"/>
    <mergeCell ref="C166:F166"/>
    <mergeCell ref="D133:F133"/>
    <mergeCell ref="C100:F100"/>
    <mergeCell ref="C67:C80"/>
    <mergeCell ref="D67:F67"/>
    <mergeCell ref="C249:F249"/>
    <mergeCell ref="E183:F183"/>
    <mergeCell ref="E150:F150"/>
    <mergeCell ref="C84:F84"/>
    <mergeCell ref="E117:F117"/>
    <mergeCell ref="C233:K233"/>
    <mergeCell ref="C263:F263"/>
    <mergeCell ref="C230:F230"/>
    <mergeCell ref="C164:K164"/>
    <mergeCell ref="E197:F197"/>
    <mergeCell ref="C65:F65"/>
    <mergeCell ref="E131:F131"/>
    <mergeCell ref="E98:F98"/>
    <mergeCell ref="D32:D33"/>
    <mergeCell ref="C247:K247"/>
    <mergeCell ref="D214:F214"/>
    <mergeCell ref="E181:F181"/>
    <mergeCell ref="E148:F148"/>
    <mergeCell ref="C82:K82"/>
    <mergeCell ref="E115:F115"/>
    <mergeCell ref="D49:F49"/>
    <mergeCell ref="E50:F50"/>
    <mergeCell ref="E34:F34"/>
    <mergeCell ref="E51:F51"/>
    <mergeCell ref="C167:C192"/>
    <mergeCell ref="D167:F167"/>
    <mergeCell ref="E200:F200"/>
    <mergeCell ref="D134:F134"/>
    <mergeCell ref="D68:D71"/>
    <mergeCell ref="C262:F262"/>
    <mergeCell ref="E48:F48"/>
    <mergeCell ref="C261:F261"/>
    <mergeCell ref="C228:K228"/>
    <mergeCell ref="C195:F195"/>
    <mergeCell ref="C162:F162"/>
    <mergeCell ref="D96:F96"/>
    <mergeCell ref="E129:F129"/>
    <mergeCell ref="E63:F63"/>
    <mergeCell ref="C245:F245"/>
    <mergeCell ref="E212:F212"/>
    <mergeCell ref="E179:F179"/>
    <mergeCell ref="D113:F113"/>
    <mergeCell ref="E146:F146"/>
    <mergeCell ref="E80:F80"/>
    <mergeCell ref="C260:F260"/>
    <mergeCell ref="C227:F227"/>
    <mergeCell ref="C194:K194"/>
    <mergeCell ref="E161:F161"/>
    <mergeCell ref="C95:F95"/>
    <mergeCell ref="E128:F128"/>
    <mergeCell ref="E62:F62"/>
    <mergeCell ref="E211:F211"/>
    <mergeCell ref="E178:F178"/>
    <mergeCell ref="E145:F145"/>
    <mergeCell ref="E112:F112"/>
    <mergeCell ref="E79:F79"/>
    <mergeCell ref="C259:F259"/>
    <mergeCell ref="C226:K226"/>
    <mergeCell ref="C193:F193"/>
    <mergeCell ref="E160:F160"/>
    <mergeCell ref="D94:F94"/>
    <mergeCell ref="E127:F127"/>
    <mergeCell ref="C258:K258"/>
    <mergeCell ref="E147:F147"/>
    <mergeCell ref="C81:F81"/>
    <mergeCell ref="E114:F114"/>
    <mergeCell ref="C257:K257"/>
    <mergeCell ref="C224:F224"/>
    <mergeCell ref="D158:F158"/>
    <mergeCell ref="E191:F191"/>
    <mergeCell ref="D125:F125"/>
    <mergeCell ref="C92:F92"/>
    <mergeCell ref="E59:F59"/>
    <mergeCell ref="D61:F61"/>
    <mergeCell ref="D28:D30"/>
    <mergeCell ref="C243:F243"/>
    <mergeCell ref="C144:C161"/>
    <mergeCell ref="D177:F177"/>
    <mergeCell ref="E210:F210"/>
    <mergeCell ref="D144:F144"/>
    <mergeCell ref="E111:F111"/>
    <mergeCell ref="D45:F45"/>
    <mergeCell ref="E78:F78"/>
    <mergeCell ref="C46:C54"/>
    <mergeCell ref="E46:F46"/>
    <mergeCell ref="E47:F47"/>
    <mergeCell ref="E192:F192"/>
    <mergeCell ref="E159:F159"/>
    <mergeCell ref="C93:K93"/>
    <mergeCell ref="E126:F126"/>
    <mergeCell ref="C241:K241"/>
    <mergeCell ref="D208:F208"/>
    <mergeCell ref="C142:K142"/>
    <mergeCell ref="E175:F175"/>
    <mergeCell ref="E109:F109"/>
    <mergeCell ref="C43:F43"/>
    <mergeCell ref="E76:F76"/>
    <mergeCell ref="C256:F256"/>
    <mergeCell ref="E190:F190"/>
    <mergeCell ref="D157:F157"/>
    <mergeCell ref="C124:F124"/>
    <mergeCell ref="D91:F91"/>
    <mergeCell ref="D58:F58"/>
    <mergeCell ref="C255:F255"/>
    <mergeCell ref="C254:F254"/>
    <mergeCell ref="C44:K44"/>
    <mergeCell ref="E110:F110"/>
    <mergeCell ref="E77:F77"/>
    <mergeCell ref="E60:F60"/>
    <mergeCell ref="C242:F242"/>
    <mergeCell ref="E209:F209"/>
    <mergeCell ref="C143:F143"/>
    <mergeCell ref="E176:F176"/>
    <mergeCell ref="C244:F244"/>
    <mergeCell ref="D188:F188"/>
    <mergeCell ref="C122:K122"/>
    <mergeCell ref="E155:F155"/>
    <mergeCell ref="D89:F89"/>
    <mergeCell ref="C56:K56"/>
    <mergeCell ref="C25:F25"/>
    <mergeCell ref="C240:K240"/>
    <mergeCell ref="E207:F207"/>
    <mergeCell ref="C141:F141"/>
    <mergeCell ref="C108:C118"/>
    <mergeCell ref="E174:F174"/>
    <mergeCell ref="E108:F108"/>
    <mergeCell ref="E75:F75"/>
    <mergeCell ref="E42:F42"/>
    <mergeCell ref="C222:F222"/>
    <mergeCell ref="D189:F189"/>
    <mergeCell ref="C123:F123"/>
    <mergeCell ref="E156:F156"/>
    <mergeCell ref="C90:C91"/>
    <mergeCell ref="C57:C64"/>
    <mergeCell ref="D90:F90"/>
    <mergeCell ref="D26:F26"/>
    <mergeCell ref="C27:C42"/>
    <mergeCell ref="E27:F27"/>
    <mergeCell ref="C238:F238"/>
    <mergeCell ref="E205:F205"/>
    <mergeCell ref="E172:F172"/>
    <mergeCell ref="C106:F106"/>
    <mergeCell ref="E139:F139"/>
    <mergeCell ref="D73:F73"/>
    <mergeCell ref="E40:F40"/>
    <mergeCell ref="C253:F253"/>
    <mergeCell ref="D220:F220"/>
    <mergeCell ref="C121:F121"/>
    <mergeCell ref="E187:F187"/>
    <mergeCell ref="E154:F154"/>
    <mergeCell ref="C55:F55"/>
    <mergeCell ref="E88:F88"/>
    <mergeCell ref="C251:F251"/>
    <mergeCell ref="D57:F57"/>
    <mergeCell ref="C239:F239"/>
    <mergeCell ref="E206:F206"/>
    <mergeCell ref="D140:F140"/>
    <mergeCell ref="E173:F173"/>
    <mergeCell ref="D107:F107"/>
    <mergeCell ref="D74:D80"/>
    <mergeCell ref="E74:F74"/>
    <mergeCell ref="E41:F41"/>
    <mergeCell ref="D22:F22"/>
    <mergeCell ref="C237:F237"/>
    <mergeCell ref="E204:F204"/>
    <mergeCell ref="C105:K105"/>
    <mergeCell ref="E138:F138"/>
    <mergeCell ref="E72:F72"/>
    <mergeCell ref="E39:F39"/>
    <mergeCell ref="C12:C22"/>
    <mergeCell ref="E12:F12"/>
    <mergeCell ref="D13:D15"/>
    <mergeCell ref="E16:F16"/>
    <mergeCell ref="D17:D19"/>
    <mergeCell ref="D152:F152"/>
    <mergeCell ref="C119:F119"/>
    <mergeCell ref="D86:F86"/>
    <mergeCell ref="E53:F53"/>
    <mergeCell ref="E20:F20"/>
    <mergeCell ref="C235:F235"/>
    <mergeCell ref="E202:F202"/>
    <mergeCell ref="C103:F103"/>
    <mergeCell ref="E136:F136"/>
    <mergeCell ref="C23:F23"/>
    <mergeCell ref="C24:K24"/>
    <mergeCell ref="C221:F221"/>
    <mergeCell ref="C4:E4"/>
    <mergeCell ref="E70:F70"/>
    <mergeCell ref="C252:F252"/>
    <mergeCell ref="E219:F219"/>
    <mergeCell ref="C120:K120"/>
    <mergeCell ref="C87:C89"/>
    <mergeCell ref="E153:F153"/>
    <mergeCell ref="E87:F87"/>
    <mergeCell ref="D21:F21"/>
    <mergeCell ref="E54:F54"/>
    <mergeCell ref="C236:F236"/>
    <mergeCell ref="D203:F203"/>
    <mergeCell ref="C104:K104"/>
    <mergeCell ref="D137:F137"/>
    <mergeCell ref="E71:F71"/>
    <mergeCell ref="D38:F38"/>
    <mergeCell ref="C5:K5"/>
    <mergeCell ref="C6:F6"/>
    <mergeCell ref="C7:F7"/>
    <mergeCell ref="C8:F8"/>
    <mergeCell ref="C9:F9"/>
    <mergeCell ref="C10:F10"/>
    <mergeCell ref="D11:F11"/>
    <mergeCell ref="E69:F69"/>
  </mergeCells>
  <conditionalFormatting sqref="G11:K140">
    <cfRule type="expression" dxfId="51" priority="2">
      <formula>G$7=""</formula>
    </cfRule>
  </conditionalFormatting>
  <conditionalFormatting sqref="G144:K161">
    <cfRule type="expression" dxfId="50" priority="3">
      <formula>G$7=""</formula>
    </cfRule>
  </conditionalFormatting>
  <conditionalFormatting sqref="G167:K192">
    <cfRule type="expression" dxfId="49" priority="4">
      <formula>G$7=""</formula>
    </cfRule>
  </conditionalFormatting>
  <conditionalFormatting sqref="G196:K220">
    <cfRule type="expression" dxfId="48" priority="5">
      <formula>G$7=""</formula>
    </cfRule>
  </conditionalFormatting>
  <conditionalFormatting sqref="G224:K224 G229:K231 G234:K239 G242:K245 G248:K256 G259:K264">
    <cfRule type="expression" dxfId="47" priority="1">
      <formula>G$7=""</formula>
    </cfRule>
  </conditionalFormatting>
  <dataValidations count="3">
    <dataValidation type="list" allowBlank="1" showErrorMessage="1" errorTitle="The value you entered is not valid." error="The value entered violates data validation rules set in cell" sqref="G9:K9" xr:uid="{00000000-0002-0000-1000-000000000000}">
      <formula1>"Material Qualification,Unqualified,No opinion / Unknown"</formula1>
    </dataValidation>
    <dataValidation type="list" allowBlank="1" showErrorMessage="1" errorTitle="The value you entered is not valid." error="The value entered violates data validation rules set in cell" sqref="K4" xr:uid="{00000000-0002-0000-1000-000001000000}">
      <formula1>"Actuals, Thousands, Lakhs, Millions, Crores"</formula1>
    </dataValidation>
    <dataValidation type="list" allowBlank="1" showErrorMessage="1" errorTitle="The value you entered is not valid." error="The value entered violates data validation rules set in cell" sqref="G7:K7" xr:uid="{00000000-0002-0000-1000-000002000000}">
      <formula1>"Audited,Unaudited,Provisional,Projection"</formula1>
    </dataValidation>
  </dataValidation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8">
    <tabColor rgb="FF0F243F"/>
  </sheetPr>
  <dimension ref="A1:AMJ90"/>
  <sheetViews>
    <sheetView workbookViewId="0"/>
  </sheetViews>
  <sheetFormatPr defaultRowHeight="15.75" customHeight="1"/>
  <cols>
    <col min="1" max="1" width="2.85546875" style="125"/>
    <col min="2" max="3" width="2.5703125" style="125"/>
    <col min="4" max="4" width="54.7109375" style="125"/>
    <col min="5" max="5" width="16.28515625" style="125"/>
    <col min="6" max="6" width="18.5703125" style="125"/>
    <col min="7" max="8" width="17" style="125"/>
    <col min="9" max="1024" width="9.85546875" style="125"/>
    <col min="1025" max="1025" width="11.42578125"/>
  </cols>
  <sheetData>
    <row r="1" spans="1:1024" ht="15"/>
    <row r="2" spans="1:1024" ht="19.5">
      <c r="A2" s="368"/>
      <c r="B2" s="630" t="s">
        <v>3427</v>
      </c>
      <c r="C2" s="631"/>
      <c r="D2" s="631"/>
      <c r="E2" s="631"/>
      <c r="F2" s="631"/>
      <c r="G2" s="631"/>
      <c r="H2" s="632"/>
      <c r="I2" s="368"/>
      <c r="J2" s="368"/>
      <c r="K2" s="368"/>
      <c r="L2" s="368"/>
      <c r="M2" s="368"/>
      <c r="N2" s="368"/>
      <c r="O2" s="368"/>
      <c r="P2" s="368"/>
      <c r="Q2" s="368"/>
      <c r="R2" s="368"/>
      <c r="S2" s="368"/>
      <c r="T2" s="368"/>
      <c r="U2" s="368"/>
      <c r="V2" s="368"/>
      <c r="W2" s="368"/>
      <c r="X2" s="368"/>
      <c r="Y2" s="368"/>
      <c r="Z2" s="368"/>
      <c r="AA2" s="368"/>
      <c r="AB2" s="368"/>
      <c r="AC2" s="368"/>
      <c r="AD2" s="368"/>
      <c r="AE2" s="368"/>
      <c r="AF2" s="368"/>
      <c r="AG2" s="368"/>
      <c r="AH2" s="368"/>
      <c r="AI2" s="368"/>
      <c r="AJ2" s="368"/>
      <c r="AK2" s="368"/>
      <c r="AL2" s="368"/>
      <c r="AM2" s="368"/>
      <c r="AN2" s="368"/>
      <c r="AO2" s="368"/>
      <c r="AP2" s="368"/>
      <c r="AQ2" s="368"/>
      <c r="AR2" s="368"/>
      <c r="AS2" s="368"/>
      <c r="AT2" s="368"/>
      <c r="AU2" s="368"/>
      <c r="AV2" s="368"/>
      <c r="AW2" s="368"/>
      <c r="AX2" s="368"/>
      <c r="AY2" s="368"/>
      <c r="AZ2" s="368"/>
      <c r="BA2" s="368"/>
      <c r="BB2" s="368"/>
      <c r="BC2" s="368"/>
      <c r="BD2" s="368"/>
      <c r="BE2" s="368"/>
      <c r="BF2" s="368"/>
      <c r="BG2" s="368"/>
      <c r="BH2" s="368"/>
      <c r="BI2" s="368"/>
      <c r="BJ2" s="368"/>
      <c r="BK2" s="368"/>
      <c r="BL2" s="368"/>
      <c r="BM2" s="368"/>
      <c r="BN2" s="368"/>
      <c r="BO2" s="368"/>
      <c r="BP2" s="368"/>
      <c r="BQ2" s="368"/>
      <c r="BR2" s="368"/>
      <c r="BS2" s="368"/>
      <c r="BT2" s="368"/>
      <c r="BU2" s="368"/>
      <c r="BV2" s="368"/>
      <c r="BW2" s="368"/>
      <c r="BX2" s="368"/>
      <c r="BY2" s="368"/>
      <c r="BZ2" s="368"/>
      <c r="CA2" s="368"/>
      <c r="CB2" s="368"/>
      <c r="CC2" s="368"/>
      <c r="CD2" s="368"/>
      <c r="CE2" s="368"/>
      <c r="CF2" s="368"/>
      <c r="CG2" s="368"/>
      <c r="CH2" s="368"/>
      <c r="CI2" s="368"/>
      <c r="CJ2" s="368"/>
      <c r="CK2" s="368"/>
      <c r="CL2" s="368"/>
      <c r="CM2" s="368"/>
      <c r="CN2" s="368"/>
      <c r="CO2" s="368"/>
      <c r="CP2" s="368"/>
      <c r="CQ2" s="368"/>
      <c r="CR2" s="368"/>
      <c r="CS2" s="368"/>
      <c r="CT2" s="368"/>
      <c r="CU2" s="368"/>
      <c r="CV2" s="368"/>
      <c r="CW2" s="368"/>
      <c r="CX2" s="368"/>
      <c r="CY2" s="368"/>
      <c r="CZ2" s="368"/>
      <c r="DA2" s="368"/>
      <c r="DB2" s="368"/>
      <c r="DC2" s="368"/>
      <c r="DD2" s="368"/>
      <c r="DE2" s="368"/>
      <c r="DF2" s="368"/>
      <c r="DG2" s="368"/>
      <c r="DH2" s="368"/>
      <c r="DI2" s="368"/>
      <c r="DJ2" s="368"/>
      <c r="DK2" s="368"/>
      <c r="DL2" s="368"/>
      <c r="DM2" s="368"/>
      <c r="DN2" s="368"/>
      <c r="DO2" s="368"/>
      <c r="DP2" s="368"/>
      <c r="DQ2" s="368"/>
      <c r="DR2" s="368"/>
      <c r="DS2" s="368"/>
      <c r="DT2" s="368"/>
      <c r="DU2" s="368"/>
      <c r="DV2" s="368"/>
      <c r="DW2" s="368"/>
      <c r="DX2" s="368"/>
      <c r="DY2" s="368"/>
      <c r="DZ2" s="368"/>
      <c r="EA2" s="368"/>
      <c r="EB2" s="368"/>
      <c r="EC2" s="368"/>
      <c r="ED2" s="368"/>
      <c r="EE2" s="368"/>
      <c r="EF2" s="368"/>
      <c r="EG2" s="368"/>
      <c r="EH2" s="368"/>
      <c r="EI2" s="368"/>
      <c r="EJ2" s="368"/>
      <c r="EK2" s="368"/>
      <c r="EL2" s="368"/>
      <c r="EM2" s="368"/>
      <c r="EN2" s="368"/>
      <c r="EO2" s="368"/>
      <c r="EP2" s="368"/>
      <c r="EQ2" s="368"/>
      <c r="ER2" s="368"/>
      <c r="ES2" s="368"/>
      <c r="ET2" s="368"/>
      <c r="EU2" s="368"/>
      <c r="EV2" s="368"/>
      <c r="EW2" s="368"/>
      <c r="EX2" s="368"/>
      <c r="EY2" s="368"/>
      <c r="EZ2" s="368"/>
      <c r="FA2" s="368"/>
      <c r="FB2" s="368"/>
      <c r="FC2" s="368"/>
      <c r="FD2" s="368"/>
      <c r="FE2" s="368"/>
      <c r="FF2" s="368"/>
      <c r="FG2" s="368"/>
      <c r="FH2" s="368"/>
      <c r="FI2" s="368"/>
      <c r="FJ2" s="368"/>
      <c r="FK2" s="368"/>
      <c r="FL2" s="368"/>
      <c r="FM2" s="368"/>
      <c r="FN2" s="368"/>
      <c r="FO2" s="368"/>
      <c r="FP2" s="368"/>
      <c r="FQ2" s="368"/>
      <c r="FR2" s="368"/>
      <c r="FS2" s="368"/>
      <c r="FT2" s="368"/>
      <c r="FU2" s="368"/>
      <c r="FV2" s="368"/>
      <c r="FW2" s="368"/>
      <c r="FX2" s="368"/>
      <c r="FY2" s="368"/>
      <c r="FZ2" s="368"/>
      <c r="GA2" s="368"/>
      <c r="GB2" s="368"/>
      <c r="GC2" s="368"/>
      <c r="GD2" s="368"/>
      <c r="GE2" s="368"/>
      <c r="GF2" s="368"/>
      <c r="GG2" s="368"/>
      <c r="GH2" s="368"/>
      <c r="GI2" s="368"/>
      <c r="GJ2" s="368"/>
      <c r="GK2" s="368"/>
      <c r="GL2" s="368"/>
      <c r="GM2" s="368"/>
      <c r="GN2" s="368"/>
      <c r="GO2" s="368"/>
      <c r="GP2" s="368"/>
      <c r="GQ2" s="368"/>
      <c r="GR2" s="368"/>
      <c r="GS2" s="368"/>
      <c r="GT2" s="368"/>
      <c r="GU2" s="368"/>
      <c r="GV2" s="368"/>
      <c r="GW2" s="368"/>
      <c r="GX2" s="368"/>
      <c r="GY2" s="368"/>
      <c r="GZ2" s="368"/>
      <c r="HA2" s="368"/>
      <c r="HB2" s="368"/>
      <c r="HC2" s="368"/>
      <c r="HD2" s="368"/>
      <c r="HE2" s="368"/>
      <c r="HF2" s="368"/>
      <c r="HG2" s="368"/>
      <c r="HH2" s="368"/>
      <c r="HI2" s="368"/>
      <c r="HJ2" s="368"/>
      <c r="HK2" s="368"/>
      <c r="HL2" s="368"/>
      <c r="HM2" s="368"/>
      <c r="HN2" s="368"/>
      <c r="HO2" s="368"/>
      <c r="HP2" s="368"/>
      <c r="HQ2" s="368"/>
      <c r="HR2" s="368"/>
      <c r="HS2" s="368"/>
      <c r="HT2" s="368"/>
      <c r="HU2" s="368"/>
      <c r="HV2" s="368"/>
      <c r="HW2" s="368"/>
      <c r="HX2" s="368"/>
      <c r="HY2" s="368"/>
      <c r="HZ2" s="368"/>
      <c r="IA2" s="368"/>
      <c r="IB2" s="368"/>
      <c r="IC2" s="368"/>
      <c r="ID2" s="368"/>
      <c r="IE2" s="368"/>
      <c r="IF2" s="368"/>
      <c r="IG2" s="368"/>
      <c r="IH2" s="368"/>
      <c r="II2" s="368"/>
      <c r="IJ2" s="368"/>
      <c r="IK2" s="368"/>
      <c r="IL2" s="368"/>
      <c r="IM2" s="368"/>
      <c r="IN2" s="368"/>
      <c r="IO2" s="368"/>
      <c r="IP2" s="368"/>
      <c r="IQ2" s="368"/>
      <c r="IR2" s="368"/>
      <c r="IS2" s="368"/>
      <c r="IT2" s="368"/>
      <c r="IU2" s="368"/>
      <c r="IV2" s="368"/>
      <c r="IW2" s="368"/>
      <c r="IX2" s="368"/>
      <c r="IY2" s="368"/>
      <c r="IZ2" s="368"/>
      <c r="JA2" s="368"/>
      <c r="JB2" s="368"/>
      <c r="JC2" s="368"/>
      <c r="JD2" s="368"/>
      <c r="JE2" s="368"/>
      <c r="JF2" s="368"/>
      <c r="JG2" s="368"/>
      <c r="JH2" s="368"/>
      <c r="JI2" s="368"/>
      <c r="JJ2" s="368"/>
      <c r="JK2" s="368"/>
      <c r="JL2" s="368"/>
      <c r="JM2" s="368"/>
      <c r="JN2" s="368"/>
      <c r="JO2" s="368"/>
      <c r="JP2" s="368"/>
      <c r="JQ2" s="368"/>
      <c r="JR2" s="368"/>
      <c r="JS2" s="368"/>
      <c r="JT2" s="368"/>
      <c r="JU2" s="368"/>
      <c r="JV2" s="368"/>
      <c r="JW2" s="368"/>
      <c r="JX2" s="368"/>
      <c r="JY2" s="368"/>
      <c r="JZ2" s="368"/>
      <c r="KA2" s="368"/>
      <c r="KB2" s="368"/>
      <c r="KC2" s="368"/>
      <c r="KD2" s="368"/>
      <c r="KE2" s="368"/>
      <c r="KF2" s="368"/>
      <c r="KG2" s="368"/>
      <c r="KH2" s="368"/>
      <c r="KI2" s="368"/>
      <c r="KJ2" s="368"/>
      <c r="KK2" s="368"/>
      <c r="KL2" s="368"/>
      <c r="KM2" s="368"/>
      <c r="KN2" s="368"/>
      <c r="KO2" s="368"/>
      <c r="KP2" s="368"/>
      <c r="KQ2" s="368"/>
      <c r="KR2" s="368"/>
      <c r="KS2" s="368"/>
      <c r="KT2" s="368"/>
      <c r="KU2" s="368"/>
      <c r="KV2" s="368"/>
      <c r="KW2" s="368"/>
      <c r="KX2" s="368"/>
      <c r="KY2" s="368"/>
      <c r="KZ2" s="368"/>
      <c r="LA2" s="368"/>
      <c r="LB2" s="368"/>
      <c r="LC2" s="368"/>
      <c r="LD2" s="368"/>
      <c r="LE2" s="368"/>
      <c r="LF2" s="368"/>
      <c r="LG2" s="368"/>
      <c r="LH2" s="368"/>
      <c r="LI2" s="368"/>
      <c r="LJ2" s="368"/>
      <c r="LK2" s="368"/>
      <c r="LL2" s="368"/>
      <c r="LM2" s="368"/>
      <c r="LN2" s="368"/>
      <c r="LO2" s="368"/>
      <c r="LP2" s="368"/>
      <c r="LQ2" s="368"/>
      <c r="LR2" s="368"/>
      <c r="LS2" s="368"/>
      <c r="LT2" s="368"/>
      <c r="LU2" s="368"/>
      <c r="LV2" s="368"/>
      <c r="LW2" s="368"/>
      <c r="LX2" s="368"/>
      <c r="LY2" s="368"/>
      <c r="LZ2" s="368"/>
      <c r="MA2" s="368"/>
      <c r="MB2" s="368"/>
      <c r="MC2" s="368"/>
      <c r="MD2" s="368"/>
      <c r="ME2" s="368"/>
      <c r="MF2" s="368"/>
      <c r="MG2" s="368"/>
      <c r="MH2" s="368"/>
      <c r="MI2" s="368"/>
      <c r="MJ2" s="368"/>
      <c r="MK2" s="368"/>
      <c r="ML2" s="368"/>
      <c r="MM2" s="368"/>
      <c r="MN2" s="368"/>
      <c r="MO2" s="368"/>
      <c r="MP2" s="368"/>
      <c r="MQ2" s="368"/>
      <c r="MR2" s="368"/>
      <c r="MS2" s="368"/>
      <c r="MT2" s="368"/>
      <c r="MU2" s="368"/>
      <c r="MV2" s="368"/>
      <c r="MW2" s="368"/>
      <c r="MX2" s="368"/>
      <c r="MY2" s="368"/>
      <c r="MZ2" s="368"/>
      <c r="NA2" s="368"/>
      <c r="NB2" s="368"/>
      <c r="NC2" s="368"/>
      <c r="ND2" s="368"/>
      <c r="NE2" s="368"/>
      <c r="NF2" s="368"/>
      <c r="NG2" s="368"/>
      <c r="NH2" s="368"/>
      <c r="NI2" s="368"/>
      <c r="NJ2" s="368"/>
      <c r="NK2" s="368"/>
      <c r="NL2" s="368"/>
      <c r="NM2" s="368"/>
      <c r="NN2" s="368"/>
      <c r="NO2" s="368"/>
      <c r="NP2" s="368"/>
      <c r="NQ2" s="368"/>
      <c r="NR2" s="368"/>
      <c r="NS2" s="368"/>
      <c r="NT2" s="368"/>
      <c r="NU2" s="368"/>
      <c r="NV2" s="368"/>
      <c r="NW2" s="368"/>
      <c r="NX2" s="368"/>
      <c r="NY2" s="368"/>
      <c r="NZ2" s="368"/>
      <c r="OA2" s="368"/>
      <c r="OB2" s="368"/>
      <c r="OC2" s="368"/>
      <c r="OD2" s="368"/>
      <c r="OE2" s="368"/>
      <c r="OF2" s="368"/>
      <c r="OG2" s="368"/>
      <c r="OH2" s="368"/>
      <c r="OI2" s="368"/>
      <c r="OJ2" s="368"/>
      <c r="OK2" s="368"/>
      <c r="OL2" s="368"/>
      <c r="OM2" s="368"/>
      <c r="ON2" s="368"/>
      <c r="OO2" s="368"/>
      <c r="OP2" s="368"/>
      <c r="OQ2" s="368"/>
      <c r="OR2" s="368"/>
      <c r="OS2" s="368"/>
      <c r="OT2" s="368"/>
      <c r="OU2" s="368"/>
      <c r="OV2" s="368"/>
      <c r="OW2" s="368"/>
      <c r="OX2" s="368"/>
      <c r="OY2" s="368"/>
      <c r="OZ2" s="368"/>
      <c r="PA2" s="368"/>
      <c r="PB2" s="368"/>
      <c r="PC2" s="368"/>
      <c r="PD2" s="368"/>
      <c r="PE2" s="368"/>
      <c r="PF2" s="368"/>
      <c r="PG2" s="368"/>
      <c r="PH2" s="368"/>
      <c r="PI2" s="368"/>
      <c r="PJ2" s="368"/>
      <c r="PK2" s="368"/>
      <c r="PL2" s="368"/>
      <c r="PM2" s="368"/>
      <c r="PN2" s="368"/>
      <c r="PO2" s="368"/>
      <c r="PP2" s="368"/>
      <c r="PQ2" s="368"/>
      <c r="PR2" s="368"/>
      <c r="PS2" s="368"/>
      <c r="PT2" s="368"/>
      <c r="PU2" s="368"/>
      <c r="PV2" s="368"/>
      <c r="PW2" s="368"/>
      <c r="PX2" s="368"/>
      <c r="PY2" s="368"/>
      <c r="PZ2" s="368"/>
      <c r="QA2" s="368"/>
      <c r="QB2" s="368"/>
      <c r="QC2" s="368"/>
      <c r="QD2" s="368"/>
      <c r="QE2" s="368"/>
      <c r="QF2" s="368"/>
      <c r="QG2" s="368"/>
      <c r="QH2" s="368"/>
      <c r="QI2" s="368"/>
      <c r="QJ2" s="368"/>
      <c r="QK2" s="368"/>
      <c r="QL2" s="368"/>
      <c r="QM2" s="368"/>
      <c r="QN2" s="368"/>
      <c r="QO2" s="368"/>
      <c r="QP2" s="368"/>
      <c r="QQ2" s="368"/>
      <c r="QR2" s="368"/>
      <c r="QS2" s="368"/>
      <c r="QT2" s="368"/>
      <c r="QU2" s="368"/>
      <c r="QV2" s="368"/>
      <c r="QW2" s="368"/>
      <c r="QX2" s="368"/>
      <c r="QY2" s="368"/>
      <c r="QZ2" s="368"/>
      <c r="RA2" s="368"/>
      <c r="RB2" s="368"/>
      <c r="RC2" s="368"/>
      <c r="RD2" s="368"/>
      <c r="RE2" s="368"/>
      <c r="RF2" s="368"/>
      <c r="RG2" s="368"/>
      <c r="RH2" s="368"/>
      <c r="RI2" s="368"/>
      <c r="RJ2" s="368"/>
      <c r="RK2" s="368"/>
      <c r="RL2" s="368"/>
      <c r="RM2" s="368"/>
      <c r="RN2" s="368"/>
      <c r="RO2" s="368"/>
      <c r="RP2" s="368"/>
      <c r="RQ2" s="368"/>
      <c r="RR2" s="368"/>
      <c r="RS2" s="368"/>
      <c r="RT2" s="368"/>
      <c r="RU2" s="368"/>
      <c r="RV2" s="368"/>
      <c r="RW2" s="368"/>
      <c r="RX2" s="368"/>
      <c r="RY2" s="368"/>
      <c r="RZ2" s="368"/>
      <c r="SA2" s="368"/>
      <c r="SB2" s="368"/>
      <c r="SC2" s="368"/>
      <c r="SD2" s="368"/>
      <c r="SE2" s="368"/>
      <c r="SF2" s="368"/>
      <c r="SG2" s="368"/>
      <c r="SH2" s="368"/>
      <c r="SI2" s="368"/>
      <c r="SJ2" s="368"/>
      <c r="SK2" s="368"/>
      <c r="SL2" s="368"/>
      <c r="SM2" s="368"/>
      <c r="SN2" s="368"/>
      <c r="SO2" s="368"/>
      <c r="SP2" s="368"/>
      <c r="SQ2" s="368"/>
      <c r="SR2" s="368"/>
      <c r="SS2" s="368"/>
      <c r="ST2" s="368"/>
      <c r="SU2" s="368"/>
      <c r="SV2" s="368"/>
      <c r="SW2" s="368"/>
      <c r="SX2" s="368"/>
      <c r="SY2" s="368"/>
      <c r="SZ2" s="368"/>
      <c r="TA2" s="368"/>
      <c r="TB2" s="368"/>
      <c r="TC2" s="368"/>
      <c r="TD2" s="368"/>
      <c r="TE2" s="368"/>
      <c r="TF2" s="368"/>
      <c r="TG2" s="368"/>
      <c r="TH2" s="368"/>
      <c r="TI2" s="368"/>
      <c r="TJ2" s="368"/>
      <c r="TK2" s="368"/>
      <c r="TL2" s="368"/>
      <c r="TM2" s="368"/>
      <c r="TN2" s="368"/>
      <c r="TO2" s="368"/>
      <c r="TP2" s="368"/>
      <c r="TQ2" s="368"/>
      <c r="TR2" s="368"/>
      <c r="TS2" s="368"/>
      <c r="TT2" s="368"/>
      <c r="TU2" s="368"/>
      <c r="TV2" s="368"/>
      <c r="TW2" s="368"/>
      <c r="TX2" s="368"/>
      <c r="TY2" s="368"/>
      <c r="TZ2" s="368"/>
      <c r="UA2" s="368"/>
      <c r="UB2" s="368"/>
      <c r="UC2" s="368"/>
      <c r="UD2" s="368"/>
      <c r="UE2" s="368"/>
      <c r="UF2" s="368"/>
      <c r="UG2" s="368"/>
      <c r="UH2" s="368"/>
      <c r="UI2" s="368"/>
      <c r="UJ2" s="368"/>
      <c r="UK2" s="368"/>
      <c r="UL2" s="368"/>
      <c r="UM2" s="368"/>
      <c r="UN2" s="368"/>
      <c r="UO2" s="368"/>
      <c r="UP2" s="368"/>
      <c r="UQ2" s="368"/>
      <c r="UR2" s="368"/>
      <c r="US2" s="368"/>
      <c r="UT2" s="368"/>
      <c r="UU2" s="368"/>
      <c r="UV2" s="368"/>
      <c r="UW2" s="368"/>
      <c r="UX2" s="368"/>
      <c r="UY2" s="368"/>
      <c r="UZ2" s="368"/>
      <c r="VA2" s="368"/>
      <c r="VB2" s="368"/>
      <c r="VC2" s="368"/>
      <c r="VD2" s="368"/>
      <c r="VE2" s="368"/>
      <c r="VF2" s="368"/>
      <c r="VG2" s="368"/>
      <c r="VH2" s="368"/>
      <c r="VI2" s="368"/>
      <c r="VJ2" s="368"/>
      <c r="VK2" s="368"/>
      <c r="VL2" s="368"/>
      <c r="VM2" s="368"/>
      <c r="VN2" s="368"/>
      <c r="VO2" s="368"/>
      <c r="VP2" s="368"/>
      <c r="VQ2" s="368"/>
      <c r="VR2" s="368"/>
      <c r="VS2" s="368"/>
      <c r="VT2" s="368"/>
      <c r="VU2" s="368"/>
      <c r="VV2" s="368"/>
      <c r="VW2" s="368"/>
      <c r="VX2" s="368"/>
      <c r="VY2" s="368"/>
      <c r="VZ2" s="368"/>
      <c r="WA2" s="368"/>
      <c r="WB2" s="368"/>
      <c r="WC2" s="368"/>
      <c r="WD2" s="368"/>
      <c r="WE2" s="368"/>
      <c r="WF2" s="368"/>
      <c r="WG2" s="368"/>
      <c r="WH2" s="368"/>
      <c r="WI2" s="368"/>
      <c r="WJ2" s="368"/>
      <c r="WK2" s="368"/>
      <c r="WL2" s="368"/>
      <c r="WM2" s="368"/>
      <c r="WN2" s="368"/>
      <c r="WO2" s="368"/>
      <c r="WP2" s="368"/>
      <c r="WQ2" s="368"/>
      <c r="WR2" s="368"/>
      <c r="WS2" s="368"/>
      <c r="WT2" s="368"/>
      <c r="WU2" s="368"/>
      <c r="WV2" s="368"/>
      <c r="WW2" s="368"/>
      <c r="WX2" s="368"/>
      <c r="WY2" s="368"/>
      <c r="WZ2" s="368"/>
      <c r="XA2" s="368"/>
      <c r="XB2" s="368"/>
      <c r="XC2" s="368"/>
      <c r="XD2" s="368"/>
      <c r="XE2" s="368"/>
      <c r="XF2" s="368"/>
      <c r="XG2" s="368"/>
      <c r="XH2" s="368"/>
      <c r="XI2" s="368"/>
      <c r="XJ2" s="368"/>
      <c r="XK2" s="368"/>
      <c r="XL2" s="368"/>
      <c r="XM2" s="368"/>
      <c r="XN2" s="368"/>
      <c r="XO2" s="368"/>
      <c r="XP2" s="368"/>
      <c r="XQ2" s="368"/>
      <c r="XR2" s="368"/>
      <c r="XS2" s="368"/>
      <c r="XT2" s="368"/>
      <c r="XU2" s="368"/>
      <c r="XV2" s="368"/>
      <c r="XW2" s="368"/>
      <c r="XX2" s="368"/>
      <c r="XY2" s="368"/>
      <c r="XZ2" s="368"/>
      <c r="YA2" s="368"/>
      <c r="YB2" s="368"/>
      <c r="YC2" s="368"/>
      <c r="YD2" s="368"/>
      <c r="YE2" s="368"/>
      <c r="YF2" s="368"/>
      <c r="YG2" s="368"/>
      <c r="YH2" s="368"/>
      <c r="YI2" s="368"/>
      <c r="YJ2" s="368"/>
      <c r="YK2" s="368"/>
      <c r="YL2" s="368"/>
      <c r="YM2" s="368"/>
      <c r="YN2" s="368"/>
      <c r="YO2" s="368"/>
      <c r="YP2" s="368"/>
      <c r="YQ2" s="368"/>
      <c r="YR2" s="368"/>
      <c r="YS2" s="368"/>
      <c r="YT2" s="368"/>
      <c r="YU2" s="368"/>
      <c r="YV2" s="368"/>
      <c r="YW2" s="368"/>
      <c r="YX2" s="368"/>
      <c r="YY2" s="368"/>
      <c r="YZ2" s="368"/>
      <c r="ZA2" s="368"/>
      <c r="ZB2" s="368"/>
      <c r="ZC2" s="368"/>
      <c r="ZD2" s="368"/>
      <c r="ZE2" s="368"/>
      <c r="ZF2" s="368"/>
      <c r="ZG2" s="368"/>
      <c r="ZH2" s="368"/>
      <c r="ZI2" s="368"/>
      <c r="ZJ2" s="368"/>
      <c r="ZK2" s="368"/>
      <c r="ZL2" s="368"/>
      <c r="ZM2" s="368"/>
      <c r="ZN2" s="368"/>
      <c r="ZO2" s="368"/>
      <c r="ZP2" s="368"/>
      <c r="ZQ2" s="368"/>
      <c r="ZR2" s="368"/>
      <c r="ZS2" s="368"/>
      <c r="ZT2" s="368"/>
      <c r="ZU2" s="368"/>
      <c r="ZV2" s="368"/>
      <c r="ZW2" s="368"/>
      <c r="ZX2" s="368"/>
      <c r="ZY2" s="368"/>
      <c r="ZZ2" s="368"/>
      <c r="AAA2" s="368"/>
      <c r="AAB2" s="368"/>
      <c r="AAC2" s="368"/>
      <c r="AAD2" s="368"/>
      <c r="AAE2" s="368"/>
      <c r="AAF2" s="368"/>
      <c r="AAG2" s="368"/>
      <c r="AAH2" s="368"/>
      <c r="AAI2" s="368"/>
      <c r="AAJ2" s="368"/>
      <c r="AAK2" s="368"/>
      <c r="AAL2" s="368"/>
      <c r="AAM2" s="368"/>
      <c r="AAN2" s="368"/>
      <c r="AAO2" s="368"/>
      <c r="AAP2" s="368"/>
      <c r="AAQ2" s="368"/>
      <c r="AAR2" s="368"/>
      <c r="AAS2" s="368"/>
      <c r="AAT2" s="368"/>
      <c r="AAU2" s="368"/>
      <c r="AAV2" s="368"/>
      <c r="AAW2" s="368"/>
      <c r="AAX2" s="368"/>
      <c r="AAY2" s="368"/>
      <c r="AAZ2" s="368"/>
      <c r="ABA2" s="368"/>
      <c r="ABB2" s="368"/>
      <c r="ABC2" s="368"/>
      <c r="ABD2" s="368"/>
      <c r="ABE2" s="368"/>
      <c r="ABF2" s="368"/>
      <c r="ABG2" s="368"/>
      <c r="ABH2" s="368"/>
      <c r="ABI2" s="368"/>
      <c r="ABJ2" s="368"/>
      <c r="ABK2" s="368"/>
      <c r="ABL2" s="368"/>
      <c r="ABM2" s="368"/>
      <c r="ABN2" s="368"/>
      <c r="ABO2" s="368"/>
      <c r="ABP2" s="368"/>
      <c r="ABQ2" s="368"/>
      <c r="ABR2" s="368"/>
      <c r="ABS2" s="368"/>
      <c r="ABT2" s="368"/>
      <c r="ABU2" s="368"/>
      <c r="ABV2" s="368"/>
      <c r="ABW2" s="368"/>
      <c r="ABX2" s="368"/>
      <c r="ABY2" s="368"/>
      <c r="ABZ2" s="368"/>
      <c r="ACA2" s="368"/>
      <c r="ACB2" s="368"/>
      <c r="ACC2" s="368"/>
      <c r="ACD2" s="368"/>
      <c r="ACE2" s="368"/>
      <c r="ACF2" s="368"/>
      <c r="ACG2" s="368"/>
      <c r="ACH2" s="368"/>
      <c r="ACI2" s="368"/>
      <c r="ACJ2" s="368"/>
      <c r="ACK2" s="368"/>
      <c r="ACL2" s="368"/>
      <c r="ACM2" s="368"/>
      <c r="ACN2" s="368"/>
      <c r="ACO2" s="368"/>
      <c r="ACP2" s="368"/>
      <c r="ACQ2" s="368"/>
      <c r="ACR2" s="368"/>
      <c r="ACS2" s="368"/>
      <c r="ACT2" s="368"/>
      <c r="ACU2" s="368"/>
      <c r="ACV2" s="368"/>
      <c r="ACW2" s="368"/>
      <c r="ACX2" s="368"/>
      <c r="ACY2" s="368"/>
      <c r="ACZ2" s="368"/>
      <c r="ADA2" s="368"/>
      <c r="ADB2" s="368"/>
      <c r="ADC2" s="368"/>
      <c r="ADD2" s="368"/>
      <c r="ADE2" s="368"/>
      <c r="ADF2" s="368"/>
      <c r="ADG2" s="368"/>
      <c r="ADH2" s="368"/>
      <c r="ADI2" s="368"/>
      <c r="ADJ2" s="368"/>
      <c r="ADK2" s="368"/>
      <c r="ADL2" s="368"/>
      <c r="ADM2" s="368"/>
      <c r="ADN2" s="368"/>
      <c r="ADO2" s="368"/>
      <c r="ADP2" s="368"/>
      <c r="ADQ2" s="368"/>
      <c r="ADR2" s="368"/>
      <c r="ADS2" s="368"/>
      <c r="ADT2" s="368"/>
      <c r="ADU2" s="368"/>
      <c r="ADV2" s="368"/>
      <c r="ADW2" s="368"/>
      <c r="ADX2" s="368"/>
      <c r="ADY2" s="368"/>
      <c r="ADZ2" s="368"/>
      <c r="AEA2" s="368"/>
      <c r="AEB2" s="368"/>
      <c r="AEC2" s="368"/>
      <c r="AED2" s="368"/>
      <c r="AEE2" s="368"/>
      <c r="AEF2" s="368"/>
      <c r="AEG2" s="368"/>
      <c r="AEH2" s="368"/>
      <c r="AEI2" s="368"/>
      <c r="AEJ2" s="368"/>
      <c r="AEK2" s="368"/>
      <c r="AEL2" s="368"/>
      <c r="AEM2" s="368"/>
      <c r="AEN2" s="368"/>
      <c r="AEO2" s="368"/>
      <c r="AEP2" s="368"/>
      <c r="AEQ2" s="368"/>
      <c r="AER2" s="368"/>
      <c r="AES2" s="368"/>
      <c r="AET2" s="368"/>
      <c r="AEU2" s="368"/>
      <c r="AEV2" s="368"/>
      <c r="AEW2" s="368"/>
      <c r="AEX2" s="368"/>
      <c r="AEY2" s="368"/>
      <c r="AEZ2" s="368"/>
      <c r="AFA2" s="368"/>
      <c r="AFB2" s="368"/>
      <c r="AFC2" s="368"/>
      <c r="AFD2" s="368"/>
      <c r="AFE2" s="368"/>
      <c r="AFF2" s="368"/>
      <c r="AFG2" s="368"/>
      <c r="AFH2" s="368"/>
      <c r="AFI2" s="368"/>
      <c r="AFJ2" s="368"/>
      <c r="AFK2" s="368"/>
      <c r="AFL2" s="368"/>
      <c r="AFM2" s="368"/>
      <c r="AFN2" s="368"/>
      <c r="AFO2" s="368"/>
      <c r="AFP2" s="368"/>
      <c r="AFQ2" s="368"/>
      <c r="AFR2" s="368"/>
      <c r="AFS2" s="368"/>
      <c r="AFT2" s="368"/>
      <c r="AFU2" s="368"/>
      <c r="AFV2" s="368"/>
      <c r="AFW2" s="368"/>
      <c r="AFX2" s="368"/>
      <c r="AFY2" s="368"/>
      <c r="AFZ2" s="368"/>
      <c r="AGA2" s="368"/>
      <c r="AGB2" s="368"/>
      <c r="AGC2" s="368"/>
      <c r="AGD2" s="368"/>
      <c r="AGE2" s="368"/>
      <c r="AGF2" s="368"/>
      <c r="AGG2" s="368"/>
      <c r="AGH2" s="368"/>
      <c r="AGI2" s="368"/>
      <c r="AGJ2" s="368"/>
      <c r="AGK2" s="368"/>
      <c r="AGL2" s="368"/>
      <c r="AGM2" s="368"/>
      <c r="AGN2" s="368"/>
      <c r="AGO2" s="368"/>
      <c r="AGP2" s="368"/>
      <c r="AGQ2" s="368"/>
      <c r="AGR2" s="368"/>
      <c r="AGS2" s="368"/>
      <c r="AGT2" s="368"/>
      <c r="AGU2" s="368"/>
      <c r="AGV2" s="368"/>
      <c r="AGW2" s="368"/>
      <c r="AGX2" s="368"/>
      <c r="AGY2" s="368"/>
      <c r="AGZ2" s="368"/>
      <c r="AHA2" s="368"/>
      <c r="AHB2" s="368"/>
      <c r="AHC2" s="368"/>
      <c r="AHD2" s="368"/>
      <c r="AHE2" s="368"/>
      <c r="AHF2" s="368"/>
      <c r="AHG2" s="368"/>
      <c r="AHH2" s="368"/>
      <c r="AHI2" s="368"/>
      <c r="AHJ2" s="368"/>
      <c r="AHK2" s="368"/>
      <c r="AHL2" s="368"/>
      <c r="AHM2" s="368"/>
      <c r="AHN2" s="368"/>
      <c r="AHO2" s="368"/>
      <c r="AHP2" s="368"/>
      <c r="AHQ2" s="368"/>
      <c r="AHR2" s="368"/>
      <c r="AHS2" s="368"/>
      <c r="AHT2" s="368"/>
      <c r="AHU2" s="368"/>
      <c r="AHV2" s="368"/>
      <c r="AHW2" s="368"/>
      <c r="AHX2" s="368"/>
      <c r="AHY2" s="368"/>
      <c r="AHZ2" s="368"/>
      <c r="AIA2" s="368"/>
      <c r="AIB2" s="368"/>
      <c r="AIC2" s="368"/>
      <c r="AID2" s="368"/>
      <c r="AIE2" s="368"/>
      <c r="AIF2" s="368"/>
      <c r="AIG2" s="368"/>
      <c r="AIH2" s="368"/>
      <c r="AII2" s="368"/>
      <c r="AIJ2" s="368"/>
      <c r="AIK2" s="368"/>
      <c r="AIL2" s="368"/>
      <c r="AIM2" s="368"/>
      <c r="AIN2" s="368"/>
      <c r="AIO2" s="368"/>
      <c r="AIP2" s="368"/>
      <c r="AIQ2" s="368"/>
      <c r="AIR2" s="368"/>
      <c r="AIS2" s="368"/>
      <c r="AIT2" s="368"/>
      <c r="AIU2" s="368"/>
      <c r="AIV2" s="368"/>
      <c r="AIW2" s="368"/>
      <c r="AIX2" s="368"/>
      <c r="AIY2" s="368"/>
      <c r="AIZ2" s="368"/>
      <c r="AJA2" s="368"/>
      <c r="AJB2" s="368"/>
      <c r="AJC2" s="368"/>
      <c r="AJD2" s="368"/>
      <c r="AJE2" s="368"/>
      <c r="AJF2" s="368"/>
      <c r="AJG2" s="368"/>
      <c r="AJH2" s="368"/>
      <c r="AJI2" s="368"/>
      <c r="AJJ2" s="368"/>
      <c r="AJK2" s="368"/>
      <c r="AJL2" s="368"/>
      <c r="AJM2" s="368"/>
      <c r="AJN2" s="368"/>
      <c r="AJO2" s="368"/>
      <c r="AJP2" s="368"/>
      <c r="AJQ2" s="368"/>
      <c r="AJR2" s="368"/>
      <c r="AJS2" s="368"/>
      <c r="AJT2" s="368"/>
      <c r="AJU2" s="368"/>
      <c r="AJV2" s="368"/>
      <c r="AJW2" s="368"/>
      <c r="AJX2" s="368"/>
      <c r="AJY2" s="368"/>
      <c r="AJZ2" s="368"/>
      <c r="AKA2" s="368"/>
      <c r="AKB2" s="368"/>
      <c r="AKC2" s="368"/>
      <c r="AKD2" s="368"/>
      <c r="AKE2" s="368"/>
      <c r="AKF2" s="368"/>
      <c r="AKG2" s="368"/>
      <c r="AKH2" s="368"/>
      <c r="AKI2" s="368"/>
      <c r="AKJ2" s="368"/>
      <c r="AKK2" s="368"/>
      <c r="AKL2" s="368"/>
      <c r="AKM2" s="368"/>
      <c r="AKN2" s="368"/>
      <c r="AKO2" s="368"/>
      <c r="AKP2" s="368"/>
      <c r="AKQ2" s="368"/>
      <c r="AKR2" s="368"/>
      <c r="AKS2" s="368"/>
      <c r="AKT2" s="368"/>
      <c r="AKU2" s="368"/>
      <c r="AKV2" s="368"/>
      <c r="AKW2" s="368"/>
      <c r="AKX2" s="368"/>
      <c r="AKY2" s="368"/>
      <c r="AKZ2" s="368"/>
      <c r="ALA2" s="368"/>
      <c r="ALB2" s="368"/>
      <c r="ALC2" s="368"/>
      <c r="ALD2" s="368"/>
      <c r="ALE2" s="368"/>
      <c r="ALF2" s="368"/>
      <c r="ALG2" s="368"/>
      <c r="ALH2" s="368"/>
      <c r="ALI2" s="368"/>
      <c r="ALJ2" s="368"/>
      <c r="ALK2" s="368"/>
      <c r="ALL2" s="368"/>
      <c r="ALM2" s="368"/>
      <c r="ALN2" s="368"/>
      <c r="ALO2" s="368"/>
      <c r="ALP2" s="368"/>
      <c r="ALQ2" s="368"/>
      <c r="ALR2" s="368"/>
      <c r="ALS2" s="368"/>
      <c r="ALT2" s="368"/>
      <c r="ALU2" s="368"/>
      <c r="ALV2" s="368"/>
      <c r="ALW2" s="368"/>
      <c r="ALX2" s="368"/>
      <c r="ALY2" s="368"/>
      <c r="ALZ2" s="368"/>
      <c r="AMA2" s="368"/>
      <c r="AMB2" s="368"/>
      <c r="AMC2" s="368"/>
      <c r="AMD2" s="368"/>
      <c r="AME2" s="368"/>
      <c r="AMF2" s="368"/>
      <c r="AMG2" s="368"/>
      <c r="AMH2" s="368"/>
      <c r="AMI2" s="368"/>
      <c r="AMJ2" s="368"/>
    </row>
    <row r="3" spans="1:1024" ht="15">
      <c r="A3" s="368"/>
      <c r="B3" s="801" t="s">
        <v>3428</v>
      </c>
      <c r="C3" s="802"/>
      <c r="D3" s="803"/>
      <c r="E3" s="369">
        <f>'Consolidated Financials'!H6</f>
        <v>44286</v>
      </c>
      <c r="F3" s="369">
        <f>'Consolidated Financials'!I6</f>
        <v>44651</v>
      </c>
      <c r="G3" s="369">
        <f>'Consolidated Financials'!J6</f>
        <v>45016</v>
      </c>
      <c r="H3" s="370">
        <f>'Consolidated Financials'!K6</f>
        <v>45382</v>
      </c>
      <c r="I3" s="368"/>
      <c r="J3" s="368"/>
      <c r="K3" s="368"/>
      <c r="L3" s="368"/>
      <c r="M3" s="368"/>
      <c r="N3" s="368"/>
      <c r="O3" s="368"/>
      <c r="P3" s="368"/>
      <c r="Q3" s="368"/>
      <c r="R3" s="368"/>
      <c r="S3" s="368"/>
      <c r="T3" s="368"/>
      <c r="U3" s="368"/>
      <c r="V3" s="368"/>
      <c r="W3" s="368"/>
      <c r="X3" s="368"/>
      <c r="Y3" s="368"/>
      <c r="Z3" s="368"/>
      <c r="AA3" s="368"/>
      <c r="AB3" s="368"/>
      <c r="AC3" s="368"/>
      <c r="AD3" s="368"/>
      <c r="AE3" s="368"/>
      <c r="AF3" s="368"/>
      <c r="AG3" s="368"/>
      <c r="AH3" s="368"/>
      <c r="AI3" s="368"/>
      <c r="AJ3" s="368"/>
      <c r="AK3" s="368"/>
      <c r="AL3" s="368"/>
      <c r="AM3" s="368"/>
      <c r="AN3" s="368"/>
      <c r="AO3" s="368"/>
      <c r="AP3" s="368"/>
      <c r="AQ3" s="368"/>
      <c r="AR3" s="368"/>
      <c r="AS3" s="368"/>
      <c r="AT3" s="368"/>
      <c r="AU3" s="368"/>
      <c r="AV3" s="368"/>
      <c r="AW3" s="368"/>
      <c r="AX3" s="368"/>
      <c r="AY3" s="368"/>
      <c r="AZ3" s="368"/>
      <c r="BA3" s="368"/>
      <c r="BB3" s="368"/>
      <c r="BC3" s="368"/>
      <c r="BD3" s="368"/>
      <c r="BE3" s="368"/>
      <c r="BF3" s="368"/>
      <c r="BG3" s="368"/>
      <c r="BH3" s="368"/>
      <c r="BI3" s="368"/>
      <c r="BJ3" s="368"/>
      <c r="BK3" s="368"/>
      <c r="BL3" s="368"/>
      <c r="BM3" s="368"/>
      <c r="BN3" s="368"/>
      <c r="BO3" s="368"/>
      <c r="BP3" s="368"/>
      <c r="BQ3" s="368"/>
      <c r="BR3" s="368"/>
      <c r="BS3" s="368"/>
      <c r="BT3" s="368"/>
      <c r="BU3" s="368"/>
      <c r="BV3" s="368"/>
      <c r="BW3" s="368"/>
      <c r="BX3" s="368"/>
      <c r="BY3" s="368"/>
      <c r="BZ3" s="368"/>
      <c r="CA3" s="368"/>
      <c r="CB3" s="368"/>
      <c r="CC3" s="368"/>
      <c r="CD3" s="368"/>
      <c r="CE3" s="368"/>
      <c r="CF3" s="368"/>
      <c r="CG3" s="368"/>
      <c r="CH3" s="368"/>
      <c r="CI3" s="368"/>
      <c r="CJ3" s="368"/>
      <c r="CK3" s="368"/>
      <c r="CL3" s="368"/>
      <c r="CM3" s="368"/>
      <c r="CN3" s="368"/>
      <c r="CO3" s="368"/>
      <c r="CP3" s="368"/>
      <c r="CQ3" s="368"/>
      <c r="CR3" s="368"/>
      <c r="CS3" s="368"/>
      <c r="CT3" s="368"/>
      <c r="CU3" s="368"/>
      <c r="CV3" s="368"/>
      <c r="CW3" s="368"/>
      <c r="CX3" s="368"/>
      <c r="CY3" s="368"/>
      <c r="CZ3" s="368"/>
      <c r="DA3" s="368"/>
      <c r="DB3" s="368"/>
      <c r="DC3" s="368"/>
      <c r="DD3" s="368"/>
      <c r="DE3" s="368"/>
      <c r="DF3" s="368"/>
      <c r="DG3" s="368"/>
      <c r="DH3" s="368"/>
      <c r="DI3" s="368"/>
      <c r="DJ3" s="368"/>
      <c r="DK3" s="368"/>
      <c r="DL3" s="368"/>
      <c r="DM3" s="368"/>
      <c r="DN3" s="368"/>
      <c r="DO3" s="368"/>
      <c r="DP3" s="368"/>
      <c r="DQ3" s="368"/>
      <c r="DR3" s="368"/>
      <c r="DS3" s="368"/>
      <c r="DT3" s="368"/>
      <c r="DU3" s="368"/>
      <c r="DV3" s="368"/>
      <c r="DW3" s="368"/>
      <c r="DX3" s="368"/>
      <c r="DY3" s="368"/>
      <c r="DZ3" s="368"/>
      <c r="EA3" s="368"/>
      <c r="EB3" s="368"/>
      <c r="EC3" s="368"/>
      <c r="ED3" s="368"/>
      <c r="EE3" s="368"/>
      <c r="EF3" s="368"/>
      <c r="EG3" s="368"/>
      <c r="EH3" s="368"/>
      <c r="EI3" s="368"/>
      <c r="EJ3" s="368"/>
      <c r="EK3" s="368"/>
      <c r="EL3" s="368"/>
      <c r="EM3" s="368"/>
      <c r="EN3" s="368"/>
      <c r="EO3" s="368"/>
      <c r="EP3" s="368"/>
      <c r="EQ3" s="368"/>
      <c r="ER3" s="368"/>
      <c r="ES3" s="368"/>
      <c r="ET3" s="368"/>
      <c r="EU3" s="368"/>
      <c r="EV3" s="368"/>
      <c r="EW3" s="368"/>
      <c r="EX3" s="368"/>
      <c r="EY3" s="368"/>
      <c r="EZ3" s="368"/>
      <c r="FA3" s="368"/>
      <c r="FB3" s="368"/>
      <c r="FC3" s="368"/>
      <c r="FD3" s="368"/>
      <c r="FE3" s="368"/>
      <c r="FF3" s="368"/>
      <c r="FG3" s="368"/>
      <c r="FH3" s="368"/>
      <c r="FI3" s="368"/>
      <c r="FJ3" s="368"/>
      <c r="FK3" s="368"/>
      <c r="FL3" s="368"/>
      <c r="FM3" s="368"/>
      <c r="FN3" s="368"/>
      <c r="FO3" s="368"/>
      <c r="FP3" s="368"/>
      <c r="FQ3" s="368"/>
      <c r="FR3" s="368"/>
      <c r="FS3" s="368"/>
      <c r="FT3" s="368"/>
      <c r="FU3" s="368"/>
      <c r="FV3" s="368"/>
      <c r="FW3" s="368"/>
      <c r="FX3" s="368"/>
      <c r="FY3" s="368"/>
      <c r="FZ3" s="368"/>
      <c r="GA3" s="368"/>
      <c r="GB3" s="368"/>
      <c r="GC3" s="368"/>
      <c r="GD3" s="368"/>
      <c r="GE3" s="368"/>
      <c r="GF3" s="368"/>
      <c r="GG3" s="368"/>
      <c r="GH3" s="368"/>
      <c r="GI3" s="368"/>
      <c r="GJ3" s="368"/>
      <c r="GK3" s="368"/>
      <c r="GL3" s="368"/>
      <c r="GM3" s="368"/>
      <c r="GN3" s="368"/>
      <c r="GO3" s="368"/>
      <c r="GP3" s="368"/>
      <c r="GQ3" s="368"/>
      <c r="GR3" s="368"/>
      <c r="GS3" s="368"/>
      <c r="GT3" s="368"/>
      <c r="GU3" s="368"/>
      <c r="GV3" s="368"/>
      <c r="GW3" s="368"/>
      <c r="GX3" s="368"/>
      <c r="GY3" s="368"/>
      <c r="GZ3" s="368"/>
      <c r="HA3" s="368"/>
      <c r="HB3" s="368"/>
      <c r="HC3" s="368"/>
      <c r="HD3" s="368"/>
      <c r="HE3" s="368"/>
      <c r="HF3" s="368"/>
      <c r="HG3" s="368"/>
      <c r="HH3" s="368"/>
      <c r="HI3" s="368"/>
      <c r="HJ3" s="368"/>
      <c r="HK3" s="368"/>
      <c r="HL3" s="368"/>
      <c r="HM3" s="368"/>
      <c r="HN3" s="368"/>
      <c r="HO3" s="368"/>
      <c r="HP3" s="368"/>
      <c r="HQ3" s="368"/>
      <c r="HR3" s="368"/>
      <c r="HS3" s="368"/>
      <c r="HT3" s="368"/>
      <c r="HU3" s="368"/>
      <c r="HV3" s="368"/>
      <c r="HW3" s="368"/>
      <c r="HX3" s="368"/>
      <c r="HY3" s="368"/>
      <c r="HZ3" s="368"/>
      <c r="IA3" s="368"/>
      <c r="IB3" s="368"/>
      <c r="IC3" s="368"/>
      <c r="ID3" s="368"/>
      <c r="IE3" s="368"/>
      <c r="IF3" s="368"/>
      <c r="IG3" s="368"/>
      <c r="IH3" s="368"/>
      <c r="II3" s="368"/>
      <c r="IJ3" s="368"/>
      <c r="IK3" s="368"/>
      <c r="IL3" s="368"/>
      <c r="IM3" s="368"/>
      <c r="IN3" s="368"/>
      <c r="IO3" s="368"/>
      <c r="IP3" s="368"/>
      <c r="IQ3" s="368"/>
      <c r="IR3" s="368"/>
      <c r="IS3" s="368"/>
      <c r="IT3" s="368"/>
      <c r="IU3" s="368"/>
      <c r="IV3" s="368"/>
      <c r="IW3" s="368"/>
      <c r="IX3" s="368"/>
      <c r="IY3" s="368"/>
      <c r="IZ3" s="368"/>
      <c r="JA3" s="368"/>
      <c r="JB3" s="368"/>
      <c r="JC3" s="368"/>
      <c r="JD3" s="368"/>
      <c r="JE3" s="368"/>
      <c r="JF3" s="368"/>
      <c r="JG3" s="368"/>
      <c r="JH3" s="368"/>
      <c r="JI3" s="368"/>
      <c r="JJ3" s="368"/>
      <c r="JK3" s="368"/>
      <c r="JL3" s="368"/>
      <c r="JM3" s="368"/>
      <c r="JN3" s="368"/>
      <c r="JO3" s="368"/>
      <c r="JP3" s="368"/>
      <c r="JQ3" s="368"/>
      <c r="JR3" s="368"/>
      <c r="JS3" s="368"/>
      <c r="JT3" s="368"/>
      <c r="JU3" s="368"/>
      <c r="JV3" s="368"/>
      <c r="JW3" s="368"/>
      <c r="JX3" s="368"/>
      <c r="JY3" s="368"/>
      <c r="JZ3" s="368"/>
      <c r="KA3" s="368"/>
      <c r="KB3" s="368"/>
      <c r="KC3" s="368"/>
      <c r="KD3" s="368"/>
      <c r="KE3" s="368"/>
      <c r="KF3" s="368"/>
      <c r="KG3" s="368"/>
      <c r="KH3" s="368"/>
      <c r="KI3" s="368"/>
      <c r="KJ3" s="368"/>
      <c r="KK3" s="368"/>
      <c r="KL3" s="368"/>
      <c r="KM3" s="368"/>
      <c r="KN3" s="368"/>
      <c r="KO3" s="368"/>
      <c r="KP3" s="368"/>
      <c r="KQ3" s="368"/>
      <c r="KR3" s="368"/>
      <c r="KS3" s="368"/>
      <c r="KT3" s="368"/>
      <c r="KU3" s="368"/>
      <c r="KV3" s="368"/>
      <c r="KW3" s="368"/>
      <c r="KX3" s="368"/>
      <c r="KY3" s="368"/>
      <c r="KZ3" s="368"/>
      <c r="LA3" s="368"/>
      <c r="LB3" s="368"/>
      <c r="LC3" s="368"/>
      <c r="LD3" s="368"/>
      <c r="LE3" s="368"/>
      <c r="LF3" s="368"/>
      <c r="LG3" s="368"/>
      <c r="LH3" s="368"/>
      <c r="LI3" s="368"/>
      <c r="LJ3" s="368"/>
      <c r="LK3" s="368"/>
      <c r="LL3" s="368"/>
      <c r="LM3" s="368"/>
      <c r="LN3" s="368"/>
      <c r="LO3" s="368"/>
      <c r="LP3" s="368"/>
      <c r="LQ3" s="368"/>
      <c r="LR3" s="368"/>
      <c r="LS3" s="368"/>
      <c r="LT3" s="368"/>
      <c r="LU3" s="368"/>
      <c r="LV3" s="368"/>
      <c r="LW3" s="368"/>
      <c r="LX3" s="368"/>
      <c r="LY3" s="368"/>
      <c r="LZ3" s="368"/>
      <c r="MA3" s="368"/>
      <c r="MB3" s="368"/>
      <c r="MC3" s="368"/>
      <c r="MD3" s="368"/>
      <c r="ME3" s="368"/>
      <c r="MF3" s="368"/>
      <c r="MG3" s="368"/>
      <c r="MH3" s="368"/>
      <c r="MI3" s="368"/>
      <c r="MJ3" s="368"/>
      <c r="MK3" s="368"/>
      <c r="ML3" s="368"/>
      <c r="MM3" s="368"/>
      <c r="MN3" s="368"/>
      <c r="MO3" s="368"/>
      <c r="MP3" s="368"/>
      <c r="MQ3" s="368"/>
      <c r="MR3" s="368"/>
      <c r="MS3" s="368"/>
      <c r="MT3" s="368"/>
      <c r="MU3" s="368"/>
      <c r="MV3" s="368"/>
      <c r="MW3" s="368"/>
      <c r="MX3" s="368"/>
      <c r="MY3" s="368"/>
      <c r="MZ3" s="368"/>
      <c r="NA3" s="368"/>
      <c r="NB3" s="368"/>
      <c r="NC3" s="368"/>
      <c r="ND3" s="368"/>
      <c r="NE3" s="368"/>
      <c r="NF3" s="368"/>
      <c r="NG3" s="368"/>
      <c r="NH3" s="368"/>
      <c r="NI3" s="368"/>
      <c r="NJ3" s="368"/>
      <c r="NK3" s="368"/>
      <c r="NL3" s="368"/>
      <c r="NM3" s="368"/>
      <c r="NN3" s="368"/>
      <c r="NO3" s="368"/>
      <c r="NP3" s="368"/>
      <c r="NQ3" s="368"/>
      <c r="NR3" s="368"/>
      <c r="NS3" s="368"/>
      <c r="NT3" s="368"/>
      <c r="NU3" s="368"/>
      <c r="NV3" s="368"/>
      <c r="NW3" s="368"/>
      <c r="NX3" s="368"/>
      <c r="NY3" s="368"/>
      <c r="NZ3" s="368"/>
      <c r="OA3" s="368"/>
      <c r="OB3" s="368"/>
      <c r="OC3" s="368"/>
      <c r="OD3" s="368"/>
      <c r="OE3" s="368"/>
      <c r="OF3" s="368"/>
      <c r="OG3" s="368"/>
      <c r="OH3" s="368"/>
      <c r="OI3" s="368"/>
      <c r="OJ3" s="368"/>
      <c r="OK3" s="368"/>
      <c r="OL3" s="368"/>
      <c r="OM3" s="368"/>
      <c r="ON3" s="368"/>
      <c r="OO3" s="368"/>
      <c r="OP3" s="368"/>
      <c r="OQ3" s="368"/>
      <c r="OR3" s="368"/>
      <c r="OS3" s="368"/>
      <c r="OT3" s="368"/>
      <c r="OU3" s="368"/>
      <c r="OV3" s="368"/>
      <c r="OW3" s="368"/>
      <c r="OX3" s="368"/>
      <c r="OY3" s="368"/>
      <c r="OZ3" s="368"/>
      <c r="PA3" s="368"/>
      <c r="PB3" s="368"/>
      <c r="PC3" s="368"/>
      <c r="PD3" s="368"/>
      <c r="PE3" s="368"/>
      <c r="PF3" s="368"/>
      <c r="PG3" s="368"/>
      <c r="PH3" s="368"/>
      <c r="PI3" s="368"/>
      <c r="PJ3" s="368"/>
      <c r="PK3" s="368"/>
      <c r="PL3" s="368"/>
      <c r="PM3" s="368"/>
      <c r="PN3" s="368"/>
      <c r="PO3" s="368"/>
      <c r="PP3" s="368"/>
      <c r="PQ3" s="368"/>
      <c r="PR3" s="368"/>
      <c r="PS3" s="368"/>
      <c r="PT3" s="368"/>
      <c r="PU3" s="368"/>
      <c r="PV3" s="368"/>
      <c r="PW3" s="368"/>
      <c r="PX3" s="368"/>
      <c r="PY3" s="368"/>
      <c r="PZ3" s="368"/>
      <c r="QA3" s="368"/>
      <c r="QB3" s="368"/>
      <c r="QC3" s="368"/>
      <c r="QD3" s="368"/>
      <c r="QE3" s="368"/>
      <c r="QF3" s="368"/>
      <c r="QG3" s="368"/>
      <c r="QH3" s="368"/>
      <c r="QI3" s="368"/>
      <c r="QJ3" s="368"/>
      <c r="QK3" s="368"/>
      <c r="QL3" s="368"/>
      <c r="QM3" s="368"/>
      <c r="QN3" s="368"/>
      <c r="QO3" s="368"/>
      <c r="QP3" s="368"/>
      <c r="QQ3" s="368"/>
      <c r="QR3" s="368"/>
      <c r="QS3" s="368"/>
      <c r="QT3" s="368"/>
      <c r="QU3" s="368"/>
      <c r="QV3" s="368"/>
      <c r="QW3" s="368"/>
      <c r="QX3" s="368"/>
      <c r="QY3" s="368"/>
      <c r="QZ3" s="368"/>
      <c r="RA3" s="368"/>
      <c r="RB3" s="368"/>
      <c r="RC3" s="368"/>
      <c r="RD3" s="368"/>
      <c r="RE3" s="368"/>
      <c r="RF3" s="368"/>
      <c r="RG3" s="368"/>
      <c r="RH3" s="368"/>
      <c r="RI3" s="368"/>
      <c r="RJ3" s="368"/>
      <c r="RK3" s="368"/>
      <c r="RL3" s="368"/>
      <c r="RM3" s="368"/>
      <c r="RN3" s="368"/>
      <c r="RO3" s="368"/>
      <c r="RP3" s="368"/>
      <c r="RQ3" s="368"/>
      <c r="RR3" s="368"/>
      <c r="RS3" s="368"/>
      <c r="RT3" s="368"/>
      <c r="RU3" s="368"/>
      <c r="RV3" s="368"/>
      <c r="RW3" s="368"/>
      <c r="RX3" s="368"/>
      <c r="RY3" s="368"/>
      <c r="RZ3" s="368"/>
      <c r="SA3" s="368"/>
      <c r="SB3" s="368"/>
      <c r="SC3" s="368"/>
      <c r="SD3" s="368"/>
      <c r="SE3" s="368"/>
      <c r="SF3" s="368"/>
      <c r="SG3" s="368"/>
      <c r="SH3" s="368"/>
      <c r="SI3" s="368"/>
      <c r="SJ3" s="368"/>
      <c r="SK3" s="368"/>
      <c r="SL3" s="368"/>
      <c r="SM3" s="368"/>
      <c r="SN3" s="368"/>
      <c r="SO3" s="368"/>
      <c r="SP3" s="368"/>
      <c r="SQ3" s="368"/>
      <c r="SR3" s="368"/>
      <c r="SS3" s="368"/>
      <c r="ST3" s="368"/>
      <c r="SU3" s="368"/>
      <c r="SV3" s="368"/>
      <c r="SW3" s="368"/>
      <c r="SX3" s="368"/>
      <c r="SY3" s="368"/>
      <c r="SZ3" s="368"/>
      <c r="TA3" s="368"/>
      <c r="TB3" s="368"/>
      <c r="TC3" s="368"/>
      <c r="TD3" s="368"/>
      <c r="TE3" s="368"/>
      <c r="TF3" s="368"/>
      <c r="TG3" s="368"/>
      <c r="TH3" s="368"/>
      <c r="TI3" s="368"/>
      <c r="TJ3" s="368"/>
      <c r="TK3" s="368"/>
      <c r="TL3" s="368"/>
      <c r="TM3" s="368"/>
      <c r="TN3" s="368"/>
      <c r="TO3" s="368"/>
      <c r="TP3" s="368"/>
      <c r="TQ3" s="368"/>
      <c r="TR3" s="368"/>
      <c r="TS3" s="368"/>
      <c r="TT3" s="368"/>
      <c r="TU3" s="368"/>
      <c r="TV3" s="368"/>
      <c r="TW3" s="368"/>
      <c r="TX3" s="368"/>
      <c r="TY3" s="368"/>
      <c r="TZ3" s="368"/>
      <c r="UA3" s="368"/>
      <c r="UB3" s="368"/>
      <c r="UC3" s="368"/>
      <c r="UD3" s="368"/>
      <c r="UE3" s="368"/>
      <c r="UF3" s="368"/>
      <c r="UG3" s="368"/>
      <c r="UH3" s="368"/>
      <c r="UI3" s="368"/>
      <c r="UJ3" s="368"/>
      <c r="UK3" s="368"/>
      <c r="UL3" s="368"/>
      <c r="UM3" s="368"/>
      <c r="UN3" s="368"/>
      <c r="UO3" s="368"/>
      <c r="UP3" s="368"/>
      <c r="UQ3" s="368"/>
      <c r="UR3" s="368"/>
      <c r="US3" s="368"/>
      <c r="UT3" s="368"/>
      <c r="UU3" s="368"/>
      <c r="UV3" s="368"/>
      <c r="UW3" s="368"/>
      <c r="UX3" s="368"/>
      <c r="UY3" s="368"/>
      <c r="UZ3" s="368"/>
      <c r="VA3" s="368"/>
      <c r="VB3" s="368"/>
      <c r="VC3" s="368"/>
      <c r="VD3" s="368"/>
      <c r="VE3" s="368"/>
      <c r="VF3" s="368"/>
      <c r="VG3" s="368"/>
      <c r="VH3" s="368"/>
      <c r="VI3" s="368"/>
      <c r="VJ3" s="368"/>
      <c r="VK3" s="368"/>
      <c r="VL3" s="368"/>
      <c r="VM3" s="368"/>
      <c r="VN3" s="368"/>
      <c r="VO3" s="368"/>
      <c r="VP3" s="368"/>
      <c r="VQ3" s="368"/>
      <c r="VR3" s="368"/>
      <c r="VS3" s="368"/>
      <c r="VT3" s="368"/>
      <c r="VU3" s="368"/>
      <c r="VV3" s="368"/>
      <c r="VW3" s="368"/>
      <c r="VX3" s="368"/>
      <c r="VY3" s="368"/>
      <c r="VZ3" s="368"/>
      <c r="WA3" s="368"/>
      <c r="WB3" s="368"/>
      <c r="WC3" s="368"/>
      <c r="WD3" s="368"/>
      <c r="WE3" s="368"/>
      <c r="WF3" s="368"/>
      <c r="WG3" s="368"/>
      <c r="WH3" s="368"/>
      <c r="WI3" s="368"/>
      <c r="WJ3" s="368"/>
      <c r="WK3" s="368"/>
      <c r="WL3" s="368"/>
      <c r="WM3" s="368"/>
      <c r="WN3" s="368"/>
      <c r="WO3" s="368"/>
      <c r="WP3" s="368"/>
      <c r="WQ3" s="368"/>
      <c r="WR3" s="368"/>
      <c r="WS3" s="368"/>
      <c r="WT3" s="368"/>
      <c r="WU3" s="368"/>
      <c r="WV3" s="368"/>
      <c r="WW3" s="368"/>
      <c r="WX3" s="368"/>
      <c r="WY3" s="368"/>
      <c r="WZ3" s="368"/>
      <c r="XA3" s="368"/>
      <c r="XB3" s="368"/>
      <c r="XC3" s="368"/>
      <c r="XD3" s="368"/>
      <c r="XE3" s="368"/>
      <c r="XF3" s="368"/>
      <c r="XG3" s="368"/>
      <c r="XH3" s="368"/>
      <c r="XI3" s="368"/>
      <c r="XJ3" s="368"/>
      <c r="XK3" s="368"/>
      <c r="XL3" s="368"/>
      <c r="XM3" s="368"/>
      <c r="XN3" s="368"/>
      <c r="XO3" s="368"/>
      <c r="XP3" s="368"/>
      <c r="XQ3" s="368"/>
      <c r="XR3" s="368"/>
      <c r="XS3" s="368"/>
      <c r="XT3" s="368"/>
      <c r="XU3" s="368"/>
      <c r="XV3" s="368"/>
      <c r="XW3" s="368"/>
      <c r="XX3" s="368"/>
      <c r="XY3" s="368"/>
      <c r="XZ3" s="368"/>
      <c r="YA3" s="368"/>
      <c r="YB3" s="368"/>
      <c r="YC3" s="368"/>
      <c r="YD3" s="368"/>
      <c r="YE3" s="368"/>
      <c r="YF3" s="368"/>
      <c r="YG3" s="368"/>
      <c r="YH3" s="368"/>
      <c r="YI3" s="368"/>
      <c r="YJ3" s="368"/>
      <c r="YK3" s="368"/>
      <c r="YL3" s="368"/>
      <c r="YM3" s="368"/>
      <c r="YN3" s="368"/>
      <c r="YO3" s="368"/>
      <c r="YP3" s="368"/>
      <c r="YQ3" s="368"/>
      <c r="YR3" s="368"/>
      <c r="YS3" s="368"/>
      <c r="YT3" s="368"/>
      <c r="YU3" s="368"/>
      <c r="YV3" s="368"/>
      <c r="YW3" s="368"/>
      <c r="YX3" s="368"/>
      <c r="YY3" s="368"/>
      <c r="YZ3" s="368"/>
      <c r="ZA3" s="368"/>
      <c r="ZB3" s="368"/>
      <c r="ZC3" s="368"/>
      <c r="ZD3" s="368"/>
      <c r="ZE3" s="368"/>
      <c r="ZF3" s="368"/>
      <c r="ZG3" s="368"/>
      <c r="ZH3" s="368"/>
      <c r="ZI3" s="368"/>
      <c r="ZJ3" s="368"/>
      <c r="ZK3" s="368"/>
      <c r="ZL3" s="368"/>
      <c r="ZM3" s="368"/>
      <c r="ZN3" s="368"/>
      <c r="ZO3" s="368"/>
      <c r="ZP3" s="368"/>
      <c r="ZQ3" s="368"/>
      <c r="ZR3" s="368"/>
      <c r="ZS3" s="368"/>
      <c r="ZT3" s="368"/>
      <c r="ZU3" s="368"/>
      <c r="ZV3" s="368"/>
      <c r="ZW3" s="368"/>
      <c r="ZX3" s="368"/>
      <c r="ZY3" s="368"/>
      <c r="ZZ3" s="368"/>
      <c r="AAA3" s="368"/>
      <c r="AAB3" s="368"/>
      <c r="AAC3" s="368"/>
      <c r="AAD3" s="368"/>
      <c r="AAE3" s="368"/>
      <c r="AAF3" s="368"/>
      <c r="AAG3" s="368"/>
      <c r="AAH3" s="368"/>
      <c r="AAI3" s="368"/>
      <c r="AAJ3" s="368"/>
      <c r="AAK3" s="368"/>
      <c r="AAL3" s="368"/>
      <c r="AAM3" s="368"/>
      <c r="AAN3" s="368"/>
      <c r="AAO3" s="368"/>
      <c r="AAP3" s="368"/>
      <c r="AAQ3" s="368"/>
      <c r="AAR3" s="368"/>
      <c r="AAS3" s="368"/>
      <c r="AAT3" s="368"/>
      <c r="AAU3" s="368"/>
      <c r="AAV3" s="368"/>
      <c r="AAW3" s="368"/>
      <c r="AAX3" s="368"/>
      <c r="AAY3" s="368"/>
      <c r="AAZ3" s="368"/>
      <c r="ABA3" s="368"/>
      <c r="ABB3" s="368"/>
      <c r="ABC3" s="368"/>
      <c r="ABD3" s="368"/>
      <c r="ABE3" s="368"/>
      <c r="ABF3" s="368"/>
      <c r="ABG3" s="368"/>
      <c r="ABH3" s="368"/>
      <c r="ABI3" s="368"/>
      <c r="ABJ3" s="368"/>
      <c r="ABK3" s="368"/>
      <c r="ABL3" s="368"/>
      <c r="ABM3" s="368"/>
      <c r="ABN3" s="368"/>
      <c r="ABO3" s="368"/>
      <c r="ABP3" s="368"/>
      <c r="ABQ3" s="368"/>
      <c r="ABR3" s="368"/>
      <c r="ABS3" s="368"/>
      <c r="ABT3" s="368"/>
      <c r="ABU3" s="368"/>
      <c r="ABV3" s="368"/>
      <c r="ABW3" s="368"/>
      <c r="ABX3" s="368"/>
      <c r="ABY3" s="368"/>
      <c r="ABZ3" s="368"/>
      <c r="ACA3" s="368"/>
      <c r="ACB3" s="368"/>
      <c r="ACC3" s="368"/>
      <c r="ACD3" s="368"/>
      <c r="ACE3" s="368"/>
      <c r="ACF3" s="368"/>
      <c r="ACG3" s="368"/>
      <c r="ACH3" s="368"/>
      <c r="ACI3" s="368"/>
      <c r="ACJ3" s="368"/>
      <c r="ACK3" s="368"/>
      <c r="ACL3" s="368"/>
      <c r="ACM3" s="368"/>
      <c r="ACN3" s="368"/>
      <c r="ACO3" s="368"/>
      <c r="ACP3" s="368"/>
      <c r="ACQ3" s="368"/>
      <c r="ACR3" s="368"/>
      <c r="ACS3" s="368"/>
      <c r="ACT3" s="368"/>
      <c r="ACU3" s="368"/>
      <c r="ACV3" s="368"/>
      <c r="ACW3" s="368"/>
      <c r="ACX3" s="368"/>
      <c r="ACY3" s="368"/>
      <c r="ACZ3" s="368"/>
      <c r="ADA3" s="368"/>
      <c r="ADB3" s="368"/>
      <c r="ADC3" s="368"/>
      <c r="ADD3" s="368"/>
      <c r="ADE3" s="368"/>
      <c r="ADF3" s="368"/>
      <c r="ADG3" s="368"/>
      <c r="ADH3" s="368"/>
      <c r="ADI3" s="368"/>
      <c r="ADJ3" s="368"/>
      <c r="ADK3" s="368"/>
      <c r="ADL3" s="368"/>
      <c r="ADM3" s="368"/>
      <c r="ADN3" s="368"/>
      <c r="ADO3" s="368"/>
      <c r="ADP3" s="368"/>
      <c r="ADQ3" s="368"/>
      <c r="ADR3" s="368"/>
      <c r="ADS3" s="368"/>
      <c r="ADT3" s="368"/>
      <c r="ADU3" s="368"/>
      <c r="ADV3" s="368"/>
      <c r="ADW3" s="368"/>
      <c r="ADX3" s="368"/>
      <c r="ADY3" s="368"/>
      <c r="ADZ3" s="368"/>
      <c r="AEA3" s="368"/>
      <c r="AEB3" s="368"/>
      <c r="AEC3" s="368"/>
      <c r="AED3" s="368"/>
      <c r="AEE3" s="368"/>
      <c r="AEF3" s="368"/>
      <c r="AEG3" s="368"/>
      <c r="AEH3" s="368"/>
      <c r="AEI3" s="368"/>
      <c r="AEJ3" s="368"/>
      <c r="AEK3" s="368"/>
      <c r="AEL3" s="368"/>
      <c r="AEM3" s="368"/>
      <c r="AEN3" s="368"/>
      <c r="AEO3" s="368"/>
      <c r="AEP3" s="368"/>
      <c r="AEQ3" s="368"/>
      <c r="AER3" s="368"/>
      <c r="AES3" s="368"/>
      <c r="AET3" s="368"/>
      <c r="AEU3" s="368"/>
      <c r="AEV3" s="368"/>
      <c r="AEW3" s="368"/>
      <c r="AEX3" s="368"/>
      <c r="AEY3" s="368"/>
      <c r="AEZ3" s="368"/>
      <c r="AFA3" s="368"/>
      <c r="AFB3" s="368"/>
      <c r="AFC3" s="368"/>
      <c r="AFD3" s="368"/>
      <c r="AFE3" s="368"/>
      <c r="AFF3" s="368"/>
      <c r="AFG3" s="368"/>
      <c r="AFH3" s="368"/>
      <c r="AFI3" s="368"/>
      <c r="AFJ3" s="368"/>
      <c r="AFK3" s="368"/>
      <c r="AFL3" s="368"/>
      <c r="AFM3" s="368"/>
      <c r="AFN3" s="368"/>
      <c r="AFO3" s="368"/>
      <c r="AFP3" s="368"/>
      <c r="AFQ3" s="368"/>
      <c r="AFR3" s="368"/>
      <c r="AFS3" s="368"/>
      <c r="AFT3" s="368"/>
      <c r="AFU3" s="368"/>
      <c r="AFV3" s="368"/>
      <c r="AFW3" s="368"/>
      <c r="AFX3" s="368"/>
      <c r="AFY3" s="368"/>
      <c r="AFZ3" s="368"/>
      <c r="AGA3" s="368"/>
      <c r="AGB3" s="368"/>
      <c r="AGC3" s="368"/>
      <c r="AGD3" s="368"/>
      <c r="AGE3" s="368"/>
      <c r="AGF3" s="368"/>
      <c r="AGG3" s="368"/>
      <c r="AGH3" s="368"/>
      <c r="AGI3" s="368"/>
      <c r="AGJ3" s="368"/>
      <c r="AGK3" s="368"/>
      <c r="AGL3" s="368"/>
      <c r="AGM3" s="368"/>
      <c r="AGN3" s="368"/>
      <c r="AGO3" s="368"/>
      <c r="AGP3" s="368"/>
      <c r="AGQ3" s="368"/>
      <c r="AGR3" s="368"/>
      <c r="AGS3" s="368"/>
      <c r="AGT3" s="368"/>
      <c r="AGU3" s="368"/>
      <c r="AGV3" s="368"/>
      <c r="AGW3" s="368"/>
      <c r="AGX3" s="368"/>
      <c r="AGY3" s="368"/>
      <c r="AGZ3" s="368"/>
      <c r="AHA3" s="368"/>
      <c r="AHB3" s="368"/>
      <c r="AHC3" s="368"/>
      <c r="AHD3" s="368"/>
      <c r="AHE3" s="368"/>
      <c r="AHF3" s="368"/>
      <c r="AHG3" s="368"/>
      <c r="AHH3" s="368"/>
      <c r="AHI3" s="368"/>
      <c r="AHJ3" s="368"/>
      <c r="AHK3" s="368"/>
      <c r="AHL3" s="368"/>
      <c r="AHM3" s="368"/>
      <c r="AHN3" s="368"/>
      <c r="AHO3" s="368"/>
      <c r="AHP3" s="368"/>
      <c r="AHQ3" s="368"/>
      <c r="AHR3" s="368"/>
      <c r="AHS3" s="368"/>
      <c r="AHT3" s="368"/>
      <c r="AHU3" s="368"/>
      <c r="AHV3" s="368"/>
      <c r="AHW3" s="368"/>
      <c r="AHX3" s="368"/>
      <c r="AHY3" s="368"/>
      <c r="AHZ3" s="368"/>
      <c r="AIA3" s="368"/>
      <c r="AIB3" s="368"/>
      <c r="AIC3" s="368"/>
      <c r="AID3" s="368"/>
      <c r="AIE3" s="368"/>
      <c r="AIF3" s="368"/>
      <c r="AIG3" s="368"/>
      <c r="AIH3" s="368"/>
      <c r="AII3" s="368"/>
      <c r="AIJ3" s="368"/>
      <c r="AIK3" s="368"/>
      <c r="AIL3" s="368"/>
      <c r="AIM3" s="368"/>
      <c r="AIN3" s="368"/>
      <c r="AIO3" s="368"/>
      <c r="AIP3" s="368"/>
      <c r="AIQ3" s="368"/>
      <c r="AIR3" s="368"/>
      <c r="AIS3" s="368"/>
      <c r="AIT3" s="368"/>
      <c r="AIU3" s="368"/>
      <c r="AIV3" s="368"/>
      <c r="AIW3" s="368"/>
      <c r="AIX3" s="368"/>
      <c r="AIY3" s="368"/>
      <c r="AIZ3" s="368"/>
      <c r="AJA3" s="368"/>
      <c r="AJB3" s="368"/>
      <c r="AJC3" s="368"/>
      <c r="AJD3" s="368"/>
      <c r="AJE3" s="368"/>
      <c r="AJF3" s="368"/>
      <c r="AJG3" s="368"/>
      <c r="AJH3" s="368"/>
      <c r="AJI3" s="368"/>
      <c r="AJJ3" s="368"/>
      <c r="AJK3" s="368"/>
      <c r="AJL3" s="368"/>
      <c r="AJM3" s="368"/>
      <c r="AJN3" s="368"/>
      <c r="AJO3" s="368"/>
      <c r="AJP3" s="368"/>
      <c r="AJQ3" s="368"/>
      <c r="AJR3" s="368"/>
      <c r="AJS3" s="368"/>
      <c r="AJT3" s="368"/>
      <c r="AJU3" s="368"/>
      <c r="AJV3" s="368"/>
      <c r="AJW3" s="368"/>
      <c r="AJX3" s="368"/>
      <c r="AJY3" s="368"/>
      <c r="AJZ3" s="368"/>
      <c r="AKA3" s="368"/>
      <c r="AKB3" s="368"/>
      <c r="AKC3" s="368"/>
      <c r="AKD3" s="368"/>
      <c r="AKE3" s="368"/>
      <c r="AKF3" s="368"/>
      <c r="AKG3" s="368"/>
      <c r="AKH3" s="368"/>
      <c r="AKI3" s="368"/>
      <c r="AKJ3" s="368"/>
      <c r="AKK3" s="368"/>
      <c r="AKL3" s="368"/>
      <c r="AKM3" s="368"/>
      <c r="AKN3" s="368"/>
      <c r="AKO3" s="368"/>
      <c r="AKP3" s="368"/>
      <c r="AKQ3" s="368"/>
      <c r="AKR3" s="368"/>
      <c r="AKS3" s="368"/>
      <c r="AKT3" s="368"/>
      <c r="AKU3" s="368"/>
      <c r="AKV3" s="368"/>
      <c r="AKW3" s="368"/>
      <c r="AKX3" s="368"/>
      <c r="AKY3" s="368"/>
      <c r="AKZ3" s="368"/>
      <c r="ALA3" s="368"/>
      <c r="ALB3" s="368"/>
      <c r="ALC3" s="368"/>
      <c r="ALD3" s="368"/>
      <c r="ALE3" s="368"/>
      <c r="ALF3" s="368"/>
      <c r="ALG3" s="368"/>
      <c r="ALH3" s="368"/>
      <c r="ALI3" s="368"/>
      <c r="ALJ3" s="368"/>
      <c r="ALK3" s="368"/>
      <c r="ALL3" s="368"/>
      <c r="ALM3" s="368"/>
      <c r="ALN3" s="368"/>
      <c r="ALO3" s="368"/>
      <c r="ALP3" s="368"/>
      <c r="ALQ3" s="368"/>
      <c r="ALR3" s="368"/>
      <c r="ALS3" s="368"/>
      <c r="ALT3" s="368"/>
      <c r="ALU3" s="368"/>
      <c r="ALV3" s="368"/>
      <c r="ALW3" s="368"/>
      <c r="ALX3" s="368"/>
      <c r="ALY3" s="368"/>
      <c r="ALZ3" s="368"/>
      <c r="AMA3" s="368"/>
      <c r="AMB3" s="368"/>
      <c r="AMC3" s="368"/>
      <c r="AMD3" s="368"/>
      <c r="AME3" s="368"/>
      <c r="AMF3" s="368"/>
      <c r="AMG3" s="368"/>
      <c r="AMH3" s="368"/>
      <c r="AMI3" s="368"/>
      <c r="AMJ3" s="368"/>
    </row>
    <row r="4" spans="1:1024" ht="7.5" customHeight="1">
      <c r="A4" s="368"/>
      <c r="B4" s="770"/>
      <c r="C4" s="771"/>
      <c r="D4" s="771"/>
      <c r="E4" s="771"/>
      <c r="F4" s="771"/>
      <c r="G4" s="771"/>
      <c r="H4" s="772"/>
      <c r="I4" s="368"/>
      <c r="J4" s="368"/>
      <c r="K4" s="368"/>
      <c r="L4" s="368"/>
      <c r="M4" s="368"/>
      <c r="N4" s="368"/>
      <c r="O4" s="368"/>
      <c r="P4" s="368"/>
      <c r="Q4" s="368"/>
      <c r="R4" s="368"/>
      <c r="S4" s="368"/>
      <c r="T4" s="368"/>
      <c r="U4" s="368"/>
      <c r="V4" s="368"/>
      <c r="W4" s="368"/>
      <c r="X4" s="368"/>
      <c r="Y4" s="368"/>
      <c r="Z4" s="368"/>
      <c r="AA4" s="368"/>
      <c r="AB4" s="368"/>
      <c r="AC4" s="368"/>
      <c r="AD4" s="368"/>
      <c r="AE4" s="368"/>
      <c r="AF4" s="368"/>
      <c r="AG4" s="368"/>
      <c r="AH4" s="368"/>
      <c r="AI4" s="368"/>
      <c r="AJ4" s="368"/>
      <c r="AK4" s="368"/>
      <c r="AL4" s="368"/>
      <c r="AM4" s="368"/>
      <c r="AN4" s="368"/>
      <c r="AO4" s="368"/>
      <c r="AP4" s="368"/>
      <c r="AQ4" s="368"/>
      <c r="AR4" s="368"/>
      <c r="AS4" s="368"/>
      <c r="AT4" s="368"/>
      <c r="AU4" s="368"/>
      <c r="AV4" s="368"/>
      <c r="AW4" s="368"/>
      <c r="AX4" s="368"/>
      <c r="AY4" s="368"/>
      <c r="AZ4" s="368"/>
      <c r="BA4" s="368"/>
      <c r="BB4" s="368"/>
      <c r="BC4" s="368"/>
      <c r="BD4" s="368"/>
      <c r="BE4" s="368"/>
      <c r="BF4" s="368"/>
      <c r="BG4" s="368"/>
      <c r="BH4" s="368"/>
      <c r="BI4" s="368"/>
      <c r="BJ4" s="368"/>
      <c r="BK4" s="368"/>
      <c r="BL4" s="368"/>
      <c r="BM4" s="368"/>
      <c r="BN4" s="368"/>
      <c r="BO4" s="368"/>
      <c r="BP4" s="368"/>
      <c r="BQ4" s="368"/>
      <c r="BR4" s="368"/>
      <c r="BS4" s="368"/>
      <c r="BT4" s="368"/>
      <c r="BU4" s="368"/>
      <c r="BV4" s="368"/>
      <c r="BW4" s="368"/>
      <c r="BX4" s="368"/>
      <c r="BY4" s="368"/>
      <c r="BZ4" s="368"/>
      <c r="CA4" s="368"/>
      <c r="CB4" s="368"/>
      <c r="CC4" s="368"/>
      <c r="CD4" s="368"/>
      <c r="CE4" s="368"/>
      <c r="CF4" s="368"/>
      <c r="CG4" s="368"/>
      <c r="CH4" s="368"/>
      <c r="CI4" s="368"/>
      <c r="CJ4" s="368"/>
      <c r="CK4" s="368"/>
      <c r="CL4" s="368"/>
      <c r="CM4" s="368"/>
      <c r="CN4" s="368"/>
      <c r="CO4" s="368"/>
      <c r="CP4" s="368"/>
      <c r="CQ4" s="368"/>
      <c r="CR4" s="368"/>
      <c r="CS4" s="368"/>
      <c r="CT4" s="368"/>
      <c r="CU4" s="368"/>
      <c r="CV4" s="368"/>
      <c r="CW4" s="368"/>
      <c r="CX4" s="368"/>
      <c r="CY4" s="368"/>
      <c r="CZ4" s="368"/>
      <c r="DA4" s="368"/>
      <c r="DB4" s="368"/>
      <c r="DC4" s="368"/>
      <c r="DD4" s="368"/>
      <c r="DE4" s="368"/>
      <c r="DF4" s="368"/>
      <c r="DG4" s="368"/>
      <c r="DH4" s="368"/>
      <c r="DI4" s="368"/>
      <c r="DJ4" s="368"/>
      <c r="DK4" s="368"/>
      <c r="DL4" s="368"/>
      <c r="DM4" s="368"/>
      <c r="DN4" s="368"/>
      <c r="DO4" s="368"/>
      <c r="DP4" s="368"/>
      <c r="DQ4" s="368"/>
      <c r="DR4" s="368"/>
      <c r="DS4" s="368"/>
      <c r="DT4" s="368"/>
      <c r="DU4" s="368"/>
      <c r="DV4" s="368"/>
      <c r="DW4" s="368"/>
      <c r="DX4" s="368"/>
      <c r="DY4" s="368"/>
      <c r="DZ4" s="368"/>
      <c r="EA4" s="368"/>
      <c r="EB4" s="368"/>
      <c r="EC4" s="368"/>
      <c r="ED4" s="368"/>
      <c r="EE4" s="368"/>
      <c r="EF4" s="368"/>
      <c r="EG4" s="368"/>
      <c r="EH4" s="368"/>
      <c r="EI4" s="368"/>
      <c r="EJ4" s="368"/>
      <c r="EK4" s="368"/>
      <c r="EL4" s="368"/>
      <c r="EM4" s="368"/>
      <c r="EN4" s="368"/>
      <c r="EO4" s="368"/>
      <c r="EP4" s="368"/>
      <c r="EQ4" s="368"/>
      <c r="ER4" s="368"/>
      <c r="ES4" s="368"/>
      <c r="ET4" s="368"/>
      <c r="EU4" s="368"/>
      <c r="EV4" s="368"/>
      <c r="EW4" s="368"/>
      <c r="EX4" s="368"/>
      <c r="EY4" s="368"/>
      <c r="EZ4" s="368"/>
      <c r="FA4" s="368"/>
      <c r="FB4" s="368"/>
      <c r="FC4" s="368"/>
      <c r="FD4" s="368"/>
      <c r="FE4" s="368"/>
      <c r="FF4" s="368"/>
      <c r="FG4" s="368"/>
      <c r="FH4" s="368"/>
      <c r="FI4" s="368"/>
      <c r="FJ4" s="368"/>
      <c r="FK4" s="368"/>
      <c r="FL4" s="368"/>
      <c r="FM4" s="368"/>
      <c r="FN4" s="368"/>
      <c r="FO4" s="368"/>
      <c r="FP4" s="368"/>
      <c r="FQ4" s="368"/>
      <c r="FR4" s="368"/>
      <c r="FS4" s="368"/>
      <c r="FT4" s="368"/>
      <c r="FU4" s="368"/>
      <c r="FV4" s="368"/>
      <c r="FW4" s="368"/>
      <c r="FX4" s="368"/>
      <c r="FY4" s="368"/>
      <c r="FZ4" s="368"/>
      <c r="GA4" s="368"/>
      <c r="GB4" s="368"/>
      <c r="GC4" s="368"/>
      <c r="GD4" s="368"/>
      <c r="GE4" s="368"/>
      <c r="GF4" s="368"/>
      <c r="GG4" s="368"/>
      <c r="GH4" s="368"/>
      <c r="GI4" s="368"/>
      <c r="GJ4" s="368"/>
      <c r="GK4" s="368"/>
      <c r="GL4" s="368"/>
      <c r="GM4" s="368"/>
      <c r="GN4" s="368"/>
      <c r="GO4" s="368"/>
      <c r="GP4" s="368"/>
      <c r="GQ4" s="368"/>
      <c r="GR4" s="368"/>
      <c r="GS4" s="368"/>
      <c r="GT4" s="368"/>
      <c r="GU4" s="368"/>
      <c r="GV4" s="368"/>
      <c r="GW4" s="368"/>
      <c r="GX4" s="368"/>
      <c r="GY4" s="368"/>
      <c r="GZ4" s="368"/>
      <c r="HA4" s="368"/>
      <c r="HB4" s="368"/>
      <c r="HC4" s="368"/>
      <c r="HD4" s="368"/>
      <c r="HE4" s="368"/>
      <c r="HF4" s="368"/>
      <c r="HG4" s="368"/>
      <c r="HH4" s="368"/>
      <c r="HI4" s="368"/>
      <c r="HJ4" s="368"/>
      <c r="HK4" s="368"/>
      <c r="HL4" s="368"/>
      <c r="HM4" s="368"/>
      <c r="HN4" s="368"/>
      <c r="HO4" s="368"/>
      <c r="HP4" s="368"/>
      <c r="HQ4" s="368"/>
      <c r="HR4" s="368"/>
      <c r="HS4" s="368"/>
      <c r="HT4" s="368"/>
      <c r="HU4" s="368"/>
      <c r="HV4" s="368"/>
      <c r="HW4" s="368"/>
      <c r="HX4" s="368"/>
      <c r="HY4" s="368"/>
      <c r="HZ4" s="368"/>
      <c r="IA4" s="368"/>
      <c r="IB4" s="368"/>
      <c r="IC4" s="368"/>
      <c r="ID4" s="368"/>
      <c r="IE4" s="368"/>
      <c r="IF4" s="368"/>
      <c r="IG4" s="368"/>
      <c r="IH4" s="368"/>
      <c r="II4" s="368"/>
      <c r="IJ4" s="368"/>
      <c r="IK4" s="368"/>
      <c r="IL4" s="368"/>
      <c r="IM4" s="368"/>
      <c r="IN4" s="368"/>
      <c r="IO4" s="368"/>
      <c r="IP4" s="368"/>
      <c r="IQ4" s="368"/>
      <c r="IR4" s="368"/>
      <c r="IS4" s="368"/>
      <c r="IT4" s="368"/>
      <c r="IU4" s="368"/>
      <c r="IV4" s="368"/>
      <c r="IW4" s="368"/>
      <c r="IX4" s="368"/>
      <c r="IY4" s="368"/>
      <c r="IZ4" s="368"/>
      <c r="JA4" s="368"/>
      <c r="JB4" s="368"/>
      <c r="JC4" s="368"/>
      <c r="JD4" s="368"/>
      <c r="JE4" s="368"/>
      <c r="JF4" s="368"/>
      <c r="JG4" s="368"/>
      <c r="JH4" s="368"/>
      <c r="JI4" s="368"/>
      <c r="JJ4" s="368"/>
      <c r="JK4" s="368"/>
      <c r="JL4" s="368"/>
      <c r="JM4" s="368"/>
      <c r="JN4" s="368"/>
      <c r="JO4" s="368"/>
      <c r="JP4" s="368"/>
      <c r="JQ4" s="368"/>
      <c r="JR4" s="368"/>
      <c r="JS4" s="368"/>
      <c r="JT4" s="368"/>
      <c r="JU4" s="368"/>
      <c r="JV4" s="368"/>
      <c r="JW4" s="368"/>
      <c r="JX4" s="368"/>
      <c r="JY4" s="368"/>
      <c r="JZ4" s="368"/>
      <c r="KA4" s="368"/>
      <c r="KB4" s="368"/>
      <c r="KC4" s="368"/>
      <c r="KD4" s="368"/>
      <c r="KE4" s="368"/>
      <c r="KF4" s="368"/>
      <c r="KG4" s="368"/>
      <c r="KH4" s="368"/>
      <c r="KI4" s="368"/>
      <c r="KJ4" s="368"/>
      <c r="KK4" s="368"/>
      <c r="KL4" s="368"/>
      <c r="KM4" s="368"/>
      <c r="KN4" s="368"/>
      <c r="KO4" s="368"/>
      <c r="KP4" s="368"/>
      <c r="KQ4" s="368"/>
      <c r="KR4" s="368"/>
      <c r="KS4" s="368"/>
      <c r="KT4" s="368"/>
      <c r="KU4" s="368"/>
      <c r="KV4" s="368"/>
      <c r="KW4" s="368"/>
      <c r="KX4" s="368"/>
      <c r="KY4" s="368"/>
      <c r="KZ4" s="368"/>
      <c r="LA4" s="368"/>
      <c r="LB4" s="368"/>
      <c r="LC4" s="368"/>
      <c r="LD4" s="368"/>
      <c r="LE4" s="368"/>
      <c r="LF4" s="368"/>
      <c r="LG4" s="368"/>
      <c r="LH4" s="368"/>
      <c r="LI4" s="368"/>
      <c r="LJ4" s="368"/>
      <c r="LK4" s="368"/>
      <c r="LL4" s="368"/>
      <c r="LM4" s="368"/>
      <c r="LN4" s="368"/>
      <c r="LO4" s="368"/>
      <c r="LP4" s="368"/>
      <c r="LQ4" s="368"/>
      <c r="LR4" s="368"/>
      <c r="LS4" s="368"/>
      <c r="LT4" s="368"/>
      <c r="LU4" s="368"/>
      <c r="LV4" s="368"/>
      <c r="LW4" s="368"/>
      <c r="LX4" s="368"/>
      <c r="LY4" s="368"/>
      <c r="LZ4" s="368"/>
      <c r="MA4" s="368"/>
      <c r="MB4" s="368"/>
      <c r="MC4" s="368"/>
      <c r="MD4" s="368"/>
      <c r="ME4" s="368"/>
      <c r="MF4" s="368"/>
      <c r="MG4" s="368"/>
      <c r="MH4" s="368"/>
      <c r="MI4" s="368"/>
      <c r="MJ4" s="368"/>
      <c r="MK4" s="368"/>
      <c r="ML4" s="368"/>
      <c r="MM4" s="368"/>
      <c r="MN4" s="368"/>
      <c r="MO4" s="368"/>
      <c r="MP4" s="368"/>
      <c r="MQ4" s="368"/>
      <c r="MR4" s="368"/>
      <c r="MS4" s="368"/>
      <c r="MT4" s="368"/>
      <c r="MU4" s="368"/>
      <c r="MV4" s="368"/>
      <c r="MW4" s="368"/>
      <c r="MX4" s="368"/>
      <c r="MY4" s="368"/>
      <c r="MZ4" s="368"/>
      <c r="NA4" s="368"/>
      <c r="NB4" s="368"/>
      <c r="NC4" s="368"/>
      <c r="ND4" s="368"/>
      <c r="NE4" s="368"/>
      <c r="NF4" s="368"/>
      <c r="NG4" s="368"/>
      <c r="NH4" s="368"/>
      <c r="NI4" s="368"/>
      <c r="NJ4" s="368"/>
      <c r="NK4" s="368"/>
      <c r="NL4" s="368"/>
      <c r="NM4" s="368"/>
      <c r="NN4" s="368"/>
      <c r="NO4" s="368"/>
      <c r="NP4" s="368"/>
      <c r="NQ4" s="368"/>
      <c r="NR4" s="368"/>
      <c r="NS4" s="368"/>
      <c r="NT4" s="368"/>
      <c r="NU4" s="368"/>
      <c r="NV4" s="368"/>
      <c r="NW4" s="368"/>
      <c r="NX4" s="368"/>
      <c r="NY4" s="368"/>
      <c r="NZ4" s="368"/>
      <c r="OA4" s="368"/>
      <c r="OB4" s="368"/>
      <c r="OC4" s="368"/>
      <c r="OD4" s="368"/>
      <c r="OE4" s="368"/>
      <c r="OF4" s="368"/>
      <c r="OG4" s="368"/>
      <c r="OH4" s="368"/>
      <c r="OI4" s="368"/>
      <c r="OJ4" s="368"/>
      <c r="OK4" s="368"/>
      <c r="OL4" s="368"/>
      <c r="OM4" s="368"/>
      <c r="ON4" s="368"/>
      <c r="OO4" s="368"/>
      <c r="OP4" s="368"/>
      <c r="OQ4" s="368"/>
      <c r="OR4" s="368"/>
      <c r="OS4" s="368"/>
      <c r="OT4" s="368"/>
      <c r="OU4" s="368"/>
      <c r="OV4" s="368"/>
      <c r="OW4" s="368"/>
      <c r="OX4" s="368"/>
      <c r="OY4" s="368"/>
      <c r="OZ4" s="368"/>
      <c r="PA4" s="368"/>
      <c r="PB4" s="368"/>
      <c r="PC4" s="368"/>
      <c r="PD4" s="368"/>
      <c r="PE4" s="368"/>
      <c r="PF4" s="368"/>
      <c r="PG4" s="368"/>
      <c r="PH4" s="368"/>
      <c r="PI4" s="368"/>
      <c r="PJ4" s="368"/>
      <c r="PK4" s="368"/>
      <c r="PL4" s="368"/>
      <c r="PM4" s="368"/>
      <c r="PN4" s="368"/>
      <c r="PO4" s="368"/>
      <c r="PP4" s="368"/>
      <c r="PQ4" s="368"/>
      <c r="PR4" s="368"/>
      <c r="PS4" s="368"/>
      <c r="PT4" s="368"/>
      <c r="PU4" s="368"/>
      <c r="PV4" s="368"/>
      <c r="PW4" s="368"/>
      <c r="PX4" s="368"/>
      <c r="PY4" s="368"/>
      <c r="PZ4" s="368"/>
      <c r="QA4" s="368"/>
      <c r="QB4" s="368"/>
      <c r="QC4" s="368"/>
      <c r="QD4" s="368"/>
      <c r="QE4" s="368"/>
      <c r="QF4" s="368"/>
      <c r="QG4" s="368"/>
      <c r="QH4" s="368"/>
      <c r="QI4" s="368"/>
      <c r="QJ4" s="368"/>
      <c r="QK4" s="368"/>
      <c r="QL4" s="368"/>
      <c r="QM4" s="368"/>
      <c r="QN4" s="368"/>
      <c r="QO4" s="368"/>
      <c r="QP4" s="368"/>
      <c r="QQ4" s="368"/>
      <c r="QR4" s="368"/>
      <c r="QS4" s="368"/>
      <c r="QT4" s="368"/>
      <c r="QU4" s="368"/>
      <c r="QV4" s="368"/>
      <c r="QW4" s="368"/>
      <c r="QX4" s="368"/>
      <c r="QY4" s="368"/>
      <c r="QZ4" s="368"/>
      <c r="RA4" s="368"/>
      <c r="RB4" s="368"/>
      <c r="RC4" s="368"/>
      <c r="RD4" s="368"/>
      <c r="RE4" s="368"/>
      <c r="RF4" s="368"/>
      <c r="RG4" s="368"/>
      <c r="RH4" s="368"/>
      <c r="RI4" s="368"/>
      <c r="RJ4" s="368"/>
      <c r="RK4" s="368"/>
      <c r="RL4" s="368"/>
      <c r="RM4" s="368"/>
      <c r="RN4" s="368"/>
      <c r="RO4" s="368"/>
      <c r="RP4" s="368"/>
      <c r="RQ4" s="368"/>
      <c r="RR4" s="368"/>
      <c r="RS4" s="368"/>
      <c r="RT4" s="368"/>
      <c r="RU4" s="368"/>
      <c r="RV4" s="368"/>
      <c r="RW4" s="368"/>
      <c r="RX4" s="368"/>
      <c r="RY4" s="368"/>
      <c r="RZ4" s="368"/>
      <c r="SA4" s="368"/>
      <c r="SB4" s="368"/>
      <c r="SC4" s="368"/>
      <c r="SD4" s="368"/>
      <c r="SE4" s="368"/>
      <c r="SF4" s="368"/>
      <c r="SG4" s="368"/>
      <c r="SH4" s="368"/>
      <c r="SI4" s="368"/>
      <c r="SJ4" s="368"/>
      <c r="SK4" s="368"/>
      <c r="SL4" s="368"/>
      <c r="SM4" s="368"/>
      <c r="SN4" s="368"/>
      <c r="SO4" s="368"/>
      <c r="SP4" s="368"/>
      <c r="SQ4" s="368"/>
      <c r="SR4" s="368"/>
      <c r="SS4" s="368"/>
      <c r="ST4" s="368"/>
      <c r="SU4" s="368"/>
      <c r="SV4" s="368"/>
      <c r="SW4" s="368"/>
      <c r="SX4" s="368"/>
      <c r="SY4" s="368"/>
      <c r="SZ4" s="368"/>
      <c r="TA4" s="368"/>
      <c r="TB4" s="368"/>
      <c r="TC4" s="368"/>
      <c r="TD4" s="368"/>
      <c r="TE4" s="368"/>
      <c r="TF4" s="368"/>
      <c r="TG4" s="368"/>
      <c r="TH4" s="368"/>
      <c r="TI4" s="368"/>
      <c r="TJ4" s="368"/>
      <c r="TK4" s="368"/>
      <c r="TL4" s="368"/>
      <c r="TM4" s="368"/>
      <c r="TN4" s="368"/>
      <c r="TO4" s="368"/>
      <c r="TP4" s="368"/>
      <c r="TQ4" s="368"/>
      <c r="TR4" s="368"/>
      <c r="TS4" s="368"/>
      <c r="TT4" s="368"/>
      <c r="TU4" s="368"/>
      <c r="TV4" s="368"/>
      <c r="TW4" s="368"/>
      <c r="TX4" s="368"/>
      <c r="TY4" s="368"/>
      <c r="TZ4" s="368"/>
      <c r="UA4" s="368"/>
      <c r="UB4" s="368"/>
      <c r="UC4" s="368"/>
      <c r="UD4" s="368"/>
      <c r="UE4" s="368"/>
      <c r="UF4" s="368"/>
      <c r="UG4" s="368"/>
      <c r="UH4" s="368"/>
      <c r="UI4" s="368"/>
      <c r="UJ4" s="368"/>
      <c r="UK4" s="368"/>
      <c r="UL4" s="368"/>
      <c r="UM4" s="368"/>
      <c r="UN4" s="368"/>
      <c r="UO4" s="368"/>
      <c r="UP4" s="368"/>
      <c r="UQ4" s="368"/>
      <c r="UR4" s="368"/>
      <c r="US4" s="368"/>
      <c r="UT4" s="368"/>
      <c r="UU4" s="368"/>
      <c r="UV4" s="368"/>
      <c r="UW4" s="368"/>
      <c r="UX4" s="368"/>
      <c r="UY4" s="368"/>
      <c r="UZ4" s="368"/>
      <c r="VA4" s="368"/>
      <c r="VB4" s="368"/>
      <c r="VC4" s="368"/>
      <c r="VD4" s="368"/>
      <c r="VE4" s="368"/>
      <c r="VF4" s="368"/>
      <c r="VG4" s="368"/>
      <c r="VH4" s="368"/>
      <c r="VI4" s="368"/>
      <c r="VJ4" s="368"/>
      <c r="VK4" s="368"/>
      <c r="VL4" s="368"/>
      <c r="VM4" s="368"/>
      <c r="VN4" s="368"/>
      <c r="VO4" s="368"/>
      <c r="VP4" s="368"/>
      <c r="VQ4" s="368"/>
      <c r="VR4" s="368"/>
      <c r="VS4" s="368"/>
      <c r="VT4" s="368"/>
      <c r="VU4" s="368"/>
      <c r="VV4" s="368"/>
      <c r="VW4" s="368"/>
      <c r="VX4" s="368"/>
      <c r="VY4" s="368"/>
      <c r="VZ4" s="368"/>
      <c r="WA4" s="368"/>
      <c r="WB4" s="368"/>
      <c r="WC4" s="368"/>
      <c r="WD4" s="368"/>
      <c r="WE4" s="368"/>
      <c r="WF4" s="368"/>
      <c r="WG4" s="368"/>
      <c r="WH4" s="368"/>
      <c r="WI4" s="368"/>
      <c r="WJ4" s="368"/>
      <c r="WK4" s="368"/>
      <c r="WL4" s="368"/>
      <c r="WM4" s="368"/>
      <c r="WN4" s="368"/>
      <c r="WO4" s="368"/>
      <c r="WP4" s="368"/>
      <c r="WQ4" s="368"/>
      <c r="WR4" s="368"/>
      <c r="WS4" s="368"/>
      <c r="WT4" s="368"/>
      <c r="WU4" s="368"/>
      <c r="WV4" s="368"/>
      <c r="WW4" s="368"/>
      <c r="WX4" s="368"/>
      <c r="WY4" s="368"/>
      <c r="WZ4" s="368"/>
      <c r="XA4" s="368"/>
      <c r="XB4" s="368"/>
      <c r="XC4" s="368"/>
      <c r="XD4" s="368"/>
      <c r="XE4" s="368"/>
      <c r="XF4" s="368"/>
      <c r="XG4" s="368"/>
      <c r="XH4" s="368"/>
      <c r="XI4" s="368"/>
      <c r="XJ4" s="368"/>
      <c r="XK4" s="368"/>
      <c r="XL4" s="368"/>
      <c r="XM4" s="368"/>
      <c r="XN4" s="368"/>
      <c r="XO4" s="368"/>
      <c r="XP4" s="368"/>
      <c r="XQ4" s="368"/>
      <c r="XR4" s="368"/>
      <c r="XS4" s="368"/>
      <c r="XT4" s="368"/>
      <c r="XU4" s="368"/>
      <c r="XV4" s="368"/>
      <c r="XW4" s="368"/>
      <c r="XX4" s="368"/>
      <c r="XY4" s="368"/>
      <c r="XZ4" s="368"/>
      <c r="YA4" s="368"/>
      <c r="YB4" s="368"/>
      <c r="YC4" s="368"/>
      <c r="YD4" s="368"/>
      <c r="YE4" s="368"/>
      <c r="YF4" s="368"/>
      <c r="YG4" s="368"/>
      <c r="YH4" s="368"/>
      <c r="YI4" s="368"/>
      <c r="YJ4" s="368"/>
      <c r="YK4" s="368"/>
      <c r="YL4" s="368"/>
      <c r="YM4" s="368"/>
      <c r="YN4" s="368"/>
      <c r="YO4" s="368"/>
      <c r="YP4" s="368"/>
      <c r="YQ4" s="368"/>
      <c r="YR4" s="368"/>
      <c r="YS4" s="368"/>
      <c r="YT4" s="368"/>
      <c r="YU4" s="368"/>
      <c r="YV4" s="368"/>
      <c r="YW4" s="368"/>
      <c r="YX4" s="368"/>
      <c r="YY4" s="368"/>
      <c r="YZ4" s="368"/>
      <c r="ZA4" s="368"/>
      <c r="ZB4" s="368"/>
      <c r="ZC4" s="368"/>
      <c r="ZD4" s="368"/>
      <c r="ZE4" s="368"/>
      <c r="ZF4" s="368"/>
      <c r="ZG4" s="368"/>
      <c r="ZH4" s="368"/>
      <c r="ZI4" s="368"/>
      <c r="ZJ4" s="368"/>
      <c r="ZK4" s="368"/>
      <c r="ZL4" s="368"/>
      <c r="ZM4" s="368"/>
      <c r="ZN4" s="368"/>
      <c r="ZO4" s="368"/>
      <c r="ZP4" s="368"/>
      <c r="ZQ4" s="368"/>
      <c r="ZR4" s="368"/>
      <c r="ZS4" s="368"/>
      <c r="ZT4" s="368"/>
      <c r="ZU4" s="368"/>
      <c r="ZV4" s="368"/>
      <c r="ZW4" s="368"/>
      <c r="ZX4" s="368"/>
      <c r="ZY4" s="368"/>
      <c r="ZZ4" s="368"/>
      <c r="AAA4" s="368"/>
      <c r="AAB4" s="368"/>
      <c r="AAC4" s="368"/>
      <c r="AAD4" s="368"/>
      <c r="AAE4" s="368"/>
      <c r="AAF4" s="368"/>
      <c r="AAG4" s="368"/>
      <c r="AAH4" s="368"/>
      <c r="AAI4" s="368"/>
      <c r="AAJ4" s="368"/>
      <c r="AAK4" s="368"/>
      <c r="AAL4" s="368"/>
      <c r="AAM4" s="368"/>
      <c r="AAN4" s="368"/>
      <c r="AAO4" s="368"/>
      <c r="AAP4" s="368"/>
      <c r="AAQ4" s="368"/>
      <c r="AAR4" s="368"/>
      <c r="AAS4" s="368"/>
      <c r="AAT4" s="368"/>
      <c r="AAU4" s="368"/>
      <c r="AAV4" s="368"/>
      <c r="AAW4" s="368"/>
      <c r="AAX4" s="368"/>
      <c r="AAY4" s="368"/>
      <c r="AAZ4" s="368"/>
      <c r="ABA4" s="368"/>
      <c r="ABB4" s="368"/>
      <c r="ABC4" s="368"/>
      <c r="ABD4" s="368"/>
      <c r="ABE4" s="368"/>
      <c r="ABF4" s="368"/>
      <c r="ABG4" s="368"/>
      <c r="ABH4" s="368"/>
      <c r="ABI4" s="368"/>
      <c r="ABJ4" s="368"/>
      <c r="ABK4" s="368"/>
      <c r="ABL4" s="368"/>
      <c r="ABM4" s="368"/>
      <c r="ABN4" s="368"/>
      <c r="ABO4" s="368"/>
      <c r="ABP4" s="368"/>
      <c r="ABQ4" s="368"/>
      <c r="ABR4" s="368"/>
      <c r="ABS4" s="368"/>
      <c r="ABT4" s="368"/>
      <c r="ABU4" s="368"/>
      <c r="ABV4" s="368"/>
      <c r="ABW4" s="368"/>
      <c r="ABX4" s="368"/>
      <c r="ABY4" s="368"/>
      <c r="ABZ4" s="368"/>
      <c r="ACA4" s="368"/>
      <c r="ACB4" s="368"/>
      <c r="ACC4" s="368"/>
      <c r="ACD4" s="368"/>
      <c r="ACE4" s="368"/>
      <c r="ACF4" s="368"/>
      <c r="ACG4" s="368"/>
      <c r="ACH4" s="368"/>
      <c r="ACI4" s="368"/>
      <c r="ACJ4" s="368"/>
      <c r="ACK4" s="368"/>
      <c r="ACL4" s="368"/>
      <c r="ACM4" s="368"/>
      <c r="ACN4" s="368"/>
      <c r="ACO4" s="368"/>
      <c r="ACP4" s="368"/>
      <c r="ACQ4" s="368"/>
      <c r="ACR4" s="368"/>
      <c r="ACS4" s="368"/>
      <c r="ACT4" s="368"/>
      <c r="ACU4" s="368"/>
      <c r="ACV4" s="368"/>
      <c r="ACW4" s="368"/>
      <c r="ACX4" s="368"/>
      <c r="ACY4" s="368"/>
      <c r="ACZ4" s="368"/>
      <c r="ADA4" s="368"/>
      <c r="ADB4" s="368"/>
      <c r="ADC4" s="368"/>
      <c r="ADD4" s="368"/>
      <c r="ADE4" s="368"/>
      <c r="ADF4" s="368"/>
      <c r="ADG4" s="368"/>
      <c r="ADH4" s="368"/>
      <c r="ADI4" s="368"/>
      <c r="ADJ4" s="368"/>
      <c r="ADK4" s="368"/>
      <c r="ADL4" s="368"/>
      <c r="ADM4" s="368"/>
      <c r="ADN4" s="368"/>
      <c r="ADO4" s="368"/>
      <c r="ADP4" s="368"/>
      <c r="ADQ4" s="368"/>
      <c r="ADR4" s="368"/>
      <c r="ADS4" s="368"/>
      <c r="ADT4" s="368"/>
      <c r="ADU4" s="368"/>
      <c r="ADV4" s="368"/>
      <c r="ADW4" s="368"/>
      <c r="ADX4" s="368"/>
      <c r="ADY4" s="368"/>
      <c r="ADZ4" s="368"/>
      <c r="AEA4" s="368"/>
      <c r="AEB4" s="368"/>
      <c r="AEC4" s="368"/>
      <c r="AED4" s="368"/>
      <c r="AEE4" s="368"/>
      <c r="AEF4" s="368"/>
      <c r="AEG4" s="368"/>
      <c r="AEH4" s="368"/>
      <c r="AEI4" s="368"/>
      <c r="AEJ4" s="368"/>
      <c r="AEK4" s="368"/>
      <c r="AEL4" s="368"/>
      <c r="AEM4" s="368"/>
      <c r="AEN4" s="368"/>
      <c r="AEO4" s="368"/>
      <c r="AEP4" s="368"/>
      <c r="AEQ4" s="368"/>
      <c r="AER4" s="368"/>
      <c r="AES4" s="368"/>
      <c r="AET4" s="368"/>
      <c r="AEU4" s="368"/>
      <c r="AEV4" s="368"/>
      <c r="AEW4" s="368"/>
      <c r="AEX4" s="368"/>
      <c r="AEY4" s="368"/>
      <c r="AEZ4" s="368"/>
      <c r="AFA4" s="368"/>
      <c r="AFB4" s="368"/>
      <c r="AFC4" s="368"/>
      <c r="AFD4" s="368"/>
      <c r="AFE4" s="368"/>
      <c r="AFF4" s="368"/>
      <c r="AFG4" s="368"/>
      <c r="AFH4" s="368"/>
      <c r="AFI4" s="368"/>
      <c r="AFJ4" s="368"/>
      <c r="AFK4" s="368"/>
      <c r="AFL4" s="368"/>
      <c r="AFM4" s="368"/>
      <c r="AFN4" s="368"/>
      <c r="AFO4" s="368"/>
      <c r="AFP4" s="368"/>
      <c r="AFQ4" s="368"/>
      <c r="AFR4" s="368"/>
      <c r="AFS4" s="368"/>
      <c r="AFT4" s="368"/>
      <c r="AFU4" s="368"/>
      <c r="AFV4" s="368"/>
      <c r="AFW4" s="368"/>
      <c r="AFX4" s="368"/>
      <c r="AFY4" s="368"/>
      <c r="AFZ4" s="368"/>
      <c r="AGA4" s="368"/>
      <c r="AGB4" s="368"/>
      <c r="AGC4" s="368"/>
      <c r="AGD4" s="368"/>
      <c r="AGE4" s="368"/>
      <c r="AGF4" s="368"/>
      <c r="AGG4" s="368"/>
      <c r="AGH4" s="368"/>
      <c r="AGI4" s="368"/>
      <c r="AGJ4" s="368"/>
      <c r="AGK4" s="368"/>
      <c r="AGL4" s="368"/>
      <c r="AGM4" s="368"/>
      <c r="AGN4" s="368"/>
      <c r="AGO4" s="368"/>
      <c r="AGP4" s="368"/>
      <c r="AGQ4" s="368"/>
      <c r="AGR4" s="368"/>
      <c r="AGS4" s="368"/>
      <c r="AGT4" s="368"/>
      <c r="AGU4" s="368"/>
      <c r="AGV4" s="368"/>
      <c r="AGW4" s="368"/>
      <c r="AGX4" s="368"/>
      <c r="AGY4" s="368"/>
      <c r="AGZ4" s="368"/>
      <c r="AHA4" s="368"/>
      <c r="AHB4" s="368"/>
      <c r="AHC4" s="368"/>
      <c r="AHD4" s="368"/>
      <c r="AHE4" s="368"/>
      <c r="AHF4" s="368"/>
      <c r="AHG4" s="368"/>
      <c r="AHH4" s="368"/>
      <c r="AHI4" s="368"/>
      <c r="AHJ4" s="368"/>
      <c r="AHK4" s="368"/>
      <c r="AHL4" s="368"/>
      <c r="AHM4" s="368"/>
      <c r="AHN4" s="368"/>
      <c r="AHO4" s="368"/>
      <c r="AHP4" s="368"/>
      <c r="AHQ4" s="368"/>
      <c r="AHR4" s="368"/>
      <c r="AHS4" s="368"/>
      <c r="AHT4" s="368"/>
      <c r="AHU4" s="368"/>
      <c r="AHV4" s="368"/>
      <c r="AHW4" s="368"/>
      <c r="AHX4" s="368"/>
      <c r="AHY4" s="368"/>
      <c r="AHZ4" s="368"/>
      <c r="AIA4" s="368"/>
      <c r="AIB4" s="368"/>
      <c r="AIC4" s="368"/>
      <c r="AID4" s="368"/>
      <c r="AIE4" s="368"/>
      <c r="AIF4" s="368"/>
      <c r="AIG4" s="368"/>
      <c r="AIH4" s="368"/>
      <c r="AII4" s="368"/>
      <c r="AIJ4" s="368"/>
      <c r="AIK4" s="368"/>
      <c r="AIL4" s="368"/>
      <c r="AIM4" s="368"/>
      <c r="AIN4" s="368"/>
      <c r="AIO4" s="368"/>
      <c r="AIP4" s="368"/>
      <c r="AIQ4" s="368"/>
      <c r="AIR4" s="368"/>
      <c r="AIS4" s="368"/>
      <c r="AIT4" s="368"/>
      <c r="AIU4" s="368"/>
      <c r="AIV4" s="368"/>
      <c r="AIW4" s="368"/>
      <c r="AIX4" s="368"/>
      <c r="AIY4" s="368"/>
      <c r="AIZ4" s="368"/>
      <c r="AJA4" s="368"/>
      <c r="AJB4" s="368"/>
      <c r="AJC4" s="368"/>
      <c r="AJD4" s="368"/>
      <c r="AJE4" s="368"/>
      <c r="AJF4" s="368"/>
      <c r="AJG4" s="368"/>
      <c r="AJH4" s="368"/>
      <c r="AJI4" s="368"/>
      <c r="AJJ4" s="368"/>
      <c r="AJK4" s="368"/>
      <c r="AJL4" s="368"/>
      <c r="AJM4" s="368"/>
      <c r="AJN4" s="368"/>
      <c r="AJO4" s="368"/>
      <c r="AJP4" s="368"/>
      <c r="AJQ4" s="368"/>
      <c r="AJR4" s="368"/>
      <c r="AJS4" s="368"/>
      <c r="AJT4" s="368"/>
      <c r="AJU4" s="368"/>
      <c r="AJV4" s="368"/>
      <c r="AJW4" s="368"/>
      <c r="AJX4" s="368"/>
      <c r="AJY4" s="368"/>
      <c r="AJZ4" s="368"/>
      <c r="AKA4" s="368"/>
      <c r="AKB4" s="368"/>
      <c r="AKC4" s="368"/>
      <c r="AKD4" s="368"/>
      <c r="AKE4" s="368"/>
      <c r="AKF4" s="368"/>
      <c r="AKG4" s="368"/>
      <c r="AKH4" s="368"/>
      <c r="AKI4" s="368"/>
      <c r="AKJ4" s="368"/>
      <c r="AKK4" s="368"/>
      <c r="AKL4" s="368"/>
      <c r="AKM4" s="368"/>
      <c r="AKN4" s="368"/>
      <c r="AKO4" s="368"/>
      <c r="AKP4" s="368"/>
      <c r="AKQ4" s="368"/>
      <c r="AKR4" s="368"/>
      <c r="AKS4" s="368"/>
      <c r="AKT4" s="368"/>
      <c r="AKU4" s="368"/>
      <c r="AKV4" s="368"/>
      <c r="AKW4" s="368"/>
      <c r="AKX4" s="368"/>
      <c r="AKY4" s="368"/>
      <c r="AKZ4" s="368"/>
      <c r="ALA4" s="368"/>
      <c r="ALB4" s="368"/>
      <c r="ALC4" s="368"/>
      <c r="ALD4" s="368"/>
      <c r="ALE4" s="368"/>
      <c r="ALF4" s="368"/>
      <c r="ALG4" s="368"/>
      <c r="ALH4" s="368"/>
      <c r="ALI4" s="368"/>
      <c r="ALJ4" s="368"/>
      <c r="ALK4" s="368"/>
      <c r="ALL4" s="368"/>
      <c r="ALM4" s="368"/>
      <c r="ALN4" s="368"/>
      <c r="ALO4" s="368"/>
      <c r="ALP4" s="368"/>
      <c r="ALQ4" s="368"/>
      <c r="ALR4" s="368"/>
      <c r="ALS4" s="368"/>
      <c r="ALT4" s="368"/>
      <c r="ALU4" s="368"/>
      <c r="ALV4" s="368"/>
      <c r="ALW4" s="368"/>
      <c r="ALX4" s="368"/>
      <c r="ALY4" s="368"/>
      <c r="ALZ4" s="368"/>
      <c r="AMA4" s="368"/>
      <c r="AMB4" s="368"/>
      <c r="AMC4" s="368"/>
      <c r="AMD4" s="368"/>
      <c r="AME4" s="368"/>
      <c r="AMF4" s="368"/>
      <c r="AMG4" s="368"/>
      <c r="AMH4" s="368"/>
      <c r="AMI4" s="368"/>
      <c r="AMJ4" s="368"/>
    </row>
    <row r="5" spans="1:1024" ht="15">
      <c r="A5" s="237"/>
      <c r="B5" s="689" t="s">
        <v>3429</v>
      </c>
      <c r="C5" s="690"/>
      <c r="D5" s="690"/>
      <c r="E5" s="124"/>
      <c r="F5" s="124"/>
      <c r="G5" s="124"/>
      <c r="H5" s="128"/>
      <c r="I5" s="237"/>
      <c r="J5" s="237"/>
      <c r="K5" s="237"/>
      <c r="L5" s="237"/>
      <c r="M5" s="237"/>
      <c r="N5" s="237"/>
      <c r="O5" s="237"/>
      <c r="P5" s="237"/>
      <c r="Q5" s="237"/>
      <c r="R5" s="237"/>
      <c r="S5" s="237"/>
      <c r="T5" s="237"/>
      <c r="U5" s="237"/>
      <c r="V5" s="237"/>
      <c r="W5" s="237"/>
      <c r="X5" s="237"/>
      <c r="Y5" s="237"/>
      <c r="Z5" s="237"/>
      <c r="AA5" s="237"/>
      <c r="AB5" s="237"/>
      <c r="AC5" s="237"/>
      <c r="AD5" s="237"/>
      <c r="AE5" s="237"/>
      <c r="AF5" s="237"/>
      <c r="AG5" s="237"/>
      <c r="AH5" s="237"/>
      <c r="AI5" s="237"/>
      <c r="AJ5" s="237"/>
      <c r="AK5" s="237"/>
      <c r="AL5" s="237"/>
      <c r="AM5" s="237"/>
      <c r="AN5" s="237"/>
      <c r="AO5" s="237"/>
      <c r="AP5" s="237"/>
      <c r="AQ5" s="237"/>
      <c r="AR5" s="237"/>
      <c r="AS5" s="237"/>
      <c r="AT5" s="237"/>
      <c r="AU5" s="237"/>
      <c r="AV5" s="237"/>
      <c r="AW5" s="237"/>
      <c r="AX5" s="237"/>
      <c r="AY5" s="237"/>
      <c r="AZ5" s="237"/>
      <c r="BA5" s="237"/>
      <c r="BB5" s="237"/>
      <c r="BC5" s="237"/>
      <c r="BD5" s="237"/>
      <c r="BE5" s="237"/>
      <c r="BF5" s="237"/>
      <c r="BG5" s="237"/>
      <c r="BH5" s="237"/>
      <c r="BI5" s="237"/>
      <c r="BJ5" s="237"/>
      <c r="BK5" s="237"/>
      <c r="BL5" s="237"/>
      <c r="BM5" s="237"/>
      <c r="BN5" s="237"/>
      <c r="BO5" s="237"/>
      <c r="BP5" s="237"/>
      <c r="BQ5" s="237"/>
      <c r="BR5" s="237"/>
      <c r="BS5" s="237"/>
      <c r="BT5" s="237"/>
      <c r="BU5" s="237"/>
      <c r="BV5" s="237"/>
      <c r="BW5" s="237"/>
      <c r="BX5" s="237"/>
      <c r="BY5" s="237"/>
      <c r="BZ5" s="237"/>
      <c r="CA5" s="237"/>
      <c r="CB5" s="237"/>
      <c r="CC5" s="237"/>
      <c r="CD5" s="237"/>
      <c r="CE5" s="237"/>
      <c r="CF5" s="237"/>
      <c r="CG5" s="237"/>
      <c r="CH5" s="237"/>
      <c r="CI5" s="237"/>
      <c r="CJ5" s="237"/>
      <c r="CK5" s="237"/>
      <c r="CL5" s="237"/>
      <c r="CM5" s="237"/>
      <c r="CN5" s="237"/>
      <c r="CO5" s="237"/>
      <c r="CP5" s="237"/>
      <c r="CQ5" s="237"/>
      <c r="CR5" s="237"/>
      <c r="CS5" s="237"/>
      <c r="CT5" s="237"/>
      <c r="CU5" s="237"/>
      <c r="CV5" s="237"/>
      <c r="CW5" s="237"/>
      <c r="CX5" s="237"/>
      <c r="CY5" s="237"/>
      <c r="CZ5" s="237"/>
      <c r="DA5" s="237"/>
      <c r="DB5" s="237"/>
      <c r="DC5" s="237"/>
      <c r="DD5" s="237"/>
      <c r="DE5" s="237"/>
      <c r="DF5" s="237"/>
      <c r="DG5" s="237"/>
      <c r="DH5" s="237"/>
      <c r="DI5" s="237"/>
      <c r="DJ5" s="237"/>
      <c r="DK5" s="237"/>
      <c r="DL5" s="237"/>
      <c r="DM5" s="237"/>
      <c r="DN5" s="237"/>
      <c r="DO5" s="237"/>
      <c r="DP5" s="237"/>
      <c r="DQ5" s="237"/>
      <c r="DR5" s="237"/>
      <c r="DS5" s="237"/>
      <c r="DT5" s="237"/>
      <c r="DU5" s="237"/>
      <c r="DV5" s="237"/>
      <c r="DW5" s="237"/>
      <c r="DX5" s="237"/>
      <c r="DY5" s="237"/>
      <c r="DZ5" s="237"/>
      <c r="EA5" s="237"/>
      <c r="EB5" s="237"/>
      <c r="EC5" s="237"/>
      <c r="ED5" s="237"/>
      <c r="EE5" s="237"/>
      <c r="EF5" s="237"/>
      <c r="EG5" s="237"/>
      <c r="EH5" s="237"/>
      <c r="EI5" s="237"/>
      <c r="EJ5" s="237"/>
      <c r="EK5" s="237"/>
      <c r="EL5" s="237"/>
      <c r="EM5" s="237"/>
      <c r="EN5" s="237"/>
      <c r="EO5" s="237"/>
      <c r="EP5" s="237"/>
      <c r="EQ5" s="237"/>
      <c r="ER5" s="237"/>
      <c r="ES5" s="237"/>
      <c r="ET5" s="237"/>
      <c r="EU5" s="237"/>
      <c r="EV5" s="237"/>
      <c r="EW5" s="237"/>
      <c r="EX5" s="237"/>
      <c r="EY5" s="237"/>
      <c r="EZ5" s="237"/>
      <c r="FA5" s="237"/>
      <c r="FB5" s="237"/>
      <c r="FC5" s="237"/>
      <c r="FD5" s="237"/>
      <c r="FE5" s="237"/>
      <c r="FF5" s="237"/>
      <c r="FG5" s="237"/>
      <c r="FH5" s="237"/>
      <c r="FI5" s="237"/>
      <c r="FJ5" s="237"/>
      <c r="FK5" s="237"/>
      <c r="FL5" s="237"/>
      <c r="FM5" s="237"/>
      <c r="FN5" s="237"/>
      <c r="FO5" s="237"/>
      <c r="FP5" s="237"/>
      <c r="FQ5" s="237"/>
      <c r="FR5" s="237"/>
      <c r="FS5" s="237"/>
      <c r="FT5" s="237"/>
      <c r="FU5" s="237"/>
      <c r="FV5" s="237"/>
      <c r="FW5" s="237"/>
      <c r="FX5" s="237"/>
      <c r="FY5" s="237"/>
      <c r="FZ5" s="237"/>
      <c r="GA5" s="237"/>
      <c r="GB5" s="237"/>
      <c r="GC5" s="237"/>
      <c r="GD5" s="237"/>
      <c r="GE5" s="237"/>
      <c r="GF5" s="237"/>
      <c r="GG5" s="237"/>
      <c r="GH5" s="237"/>
      <c r="GI5" s="237"/>
      <c r="GJ5" s="237"/>
      <c r="GK5" s="237"/>
      <c r="GL5" s="237"/>
      <c r="GM5" s="237"/>
      <c r="GN5" s="237"/>
      <c r="GO5" s="237"/>
      <c r="GP5" s="237"/>
      <c r="GQ5" s="237"/>
      <c r="GR5" s="237"/>
      <c r="GS5" s="237"/>
      <c r="GT5" s="237"/>
      <c r="GU5" s="237"/>
      <c r="GV5" s="237"/>
      <c r="GW5" s="237"/>
      <c r="GX5" s="237"/>
      <c r="GY5" s="237"/>
      <c r="GZ5" s="237"/>
      <c r="HA5" s="237"/>
      <c r="HB5" s="237"/>
      <c r="HC5" s="237"/>
      <c r="HD5" s="237"/>
      <c r="HE5" s="237"/>
      <c r="HF5" s="237"/>
      <c r="HG5" s="237"/>
      <c r="HH5" s="237"/>
      <c r="HI5" s="237"/>
      <c r="HJ5" s="237"/>
      <c r="HK5" s="237"/>
      <c r="HL5" s="237"/>
      <c r="HM5" s="237"/>
      <c r="HN5" s="237"/>
      <c r="HO5" s="237"/>
      <c r="HP5" s="237"/>
      <c r="HQ5" s="237"/>
      <c r="HR5" s="237"/>
      <c r="HS5" s="237"/>
      <c r="HT5" s="237"/>
      <c r="HU5" s="237"/>
      <c r="HV5" s="237"/>
      <c r="HW5" s="237"/>
      <c r="HX5" s="237"/>
      <c r="HY5" s="237"/>
      <c r="HZ5" s="237"/>
      <c r="IA5" s="237"/>
      <c r="IB5" s="237"/>
      <c r="IC5" s="237"/>
      <c r="ID5" s="237"/>
      <c r="IE5" s="237"/>
      <c r="IF5" s="237"/>
      <c r="IG5" s="237"/>
      <c r="IH5" s="237"/>
      <c r="II5" s="237"/>
      <c r="IJ5" s="237"/>
      <c r="IK5" s="237"/>
      <c r="IL5" s="237"/>
      <c r="IM5" s="237"/>
      <c r="IN5" s="237"/>
      <c r="IO5" s="237"/>
      <c r="IP5" s="237"/>
      <c r="IQ5" s="237"/>
      <c r="IR5" s="237"/>
      <c r="IS5" s="237"/>
      <c r="IT5" s="237"/>
      <c r="IU5" s="237"/>
      <c r="IV5" s="237"/>
      <c r="IW5" s="237"/>
      <c r="IX5" s="237"/>
      <c r="IY5" s="237"/>
      <c r="IZ5" s="237"/>
      <c r="JA5" s="237"/>
      <c r="JB5" s="237"/>
      <c r="JC5" s="237"/>
      <c r="JD5" s="237"/>
      <c r="JE5" s="237"/>
      <c r="JF5" s="237"/>
      <c r="JG5" s="237"/>
      <c r="JH5" s="237"/>
      <c r="JI5" s="237"/>
      <c r="JJ5" s="237"/>
      <c r="JK5" s="237"/>
      <c r="JL5" s="237"/>
      <c r="JM5" s="237"/>
      <c r="JN5" s="237"/>
      <c r="JO5" s="237"/>
      <c r="JP5" s="237"/>
      <c r="JQ5" s="237"/>
      <c r="JR5" s="237"/>
      <c r="JS5" s="237"/>
      <c r="JT5" s="237"/>
      <c r="JU5" s="237"/>
      <c r="JV5" s="237"/>
      <c r="JW5" s="237"/>
      <c r="JX5" s="237"/>
      <c r="JY5" s="237"/>
      <c r="JZ5" s="237"/>
      <c r="KA5" s="237"/>
      <c r="KB5" s="237"/>
      <c r="KC5" s="237"/>
      <c r="KD5" s="237"/>
      <c r="KE5" s="237"/>
      <c r="KF5" s="237"/>
      <c r="KG5" s="237"/>
      <c r="KH5" s="237"/>
      <c r="KI5" s="237"/>
      <c r="KJ5" s="237"/>
      <c r="KK5" s="237"/>
      <c r="KL5" s="237"/>
      <c r="KM5" s="237"/>
      <c r="KN5" s="237"/>
      <c r="KO5" s="237"/>
      <c r="KP5" s="237"/>
      <c r="KQ5" s="237"/>
      <c r="KR5" s="237"/>
      <c r="KS5" s="237"/>
      <c r="KT5" s="237"/>
      <c r="KU5" s="237"/>
      <c r="KV5" s="237"/>
      <c r="KW5" s="237"/>
      <c r="KX5" s="237"/>
      <c r="KY5" s="237"/>
      <c r="KZ5" s="237"/>
      <c r="LA5" s="237"/>
      <c r="LB5" s="237"/>
      <c r="LC5" s="237"/>
      <c r="LD5" s="237"/>
      <c r="LE5" s="237"/>
      <c r="LF5" s="237"/>
      <c r="LG5" s="237"/>
      <c r="LH5" s="237"/>
      <c r="LI5" s="237"/>
      <c r="LJ5" s="237"/>
      <c r="LK5" s="237"/>
      <c r="LL5" s="237"/>
      <c r="LM5" s="237"/>
      <c r="LN5" s="237"/>
      <c r="LO5" s="237"/>
      <c r="LP5" s="237"/>
      <c r="LQ5" s="237"/>
      <c r="LR5" s="237"/>
      <c r="LS5" s="237"/>
      <c r="LT5" s="237"/>
      <c r="LU5" s="237"/>
      <c r="LV5" s="237"/>
      <c r="LW5" s="237"/>
      <c r="LX5" s="237"/>
      <c r="LY5" s="237"/>
      <c r="LZ5" s="237"/>
      <c r="MA5" s="237"/>
      <c r="MB5" s="237"/>
      <c r="MC5" s="237"/>
      <c r="MD5" s="237"/>
      <c r="ME5" s="237"/>
      <c r="MF5" s="237"/>
      <c r="MG5" s="237"/>
      <c r="MH5" s="237"/>
      <c r="MI5" s="237"/>
      <c r="MJ5" s="237"/>
      <c r="MK5" s="237"/>
      <c r="ML5" s="237"/>
      <c r="MM5" s="237"/>
      <c r="MN5" s="237"/>
      <c r="MO5" s="237"/>
      <c r="MP5" s="237"/>
      <c r="MQ5" s="237"/>
      <c r="MR5" s="237"/>
      <c r="MS5" s="237"/>
      <c r="MT5" s="237"/>
      <c r="MU5" s="237"/>
      <c r="MV5" s="237"/>
      <c r="MW5" s="237"/>
      <c r="MX5" s="237"/>
      <c r="MY5" s="237"/>
      <c r="MZ5" s="237"/>
      <c r="NA5" s="237"/>
      <c r="NB5" s="237"/>
      <c r="NC5" s="237"/>
      <c r="ND5" s="237"/>
      <c r="NE5" s="237"/>
      <c r="NF5" s="237"/>
      <c r="NG5" s="237"/>
      <c r="NH5" s="237"/>
      <c r="NI5" s="237"/>
      <c r="NJ5" s="237"/>
      <c r="NK5" s="237"/>
      <c r="NL5" s="237"/>
      <c r="NM5" s="237"/>
      <c r="NN5" s="237"/>
      <c r="NO5" s="237"/>
      <c r="NP5" s="237"/>
      <c r="NQ5" s="237"/>
      <c r="NR5" s="237"/>
      <c r="NS5" s="237"/>
      <c r="NT5" s="237"/>
      <c r="NU5" s="237"/>
      <c r="NV5" s="237"/>
      <c r="NW5" s="237"/>
      <c r="NX5" s="237"/>
      <c r="NY5" s="237"/>
      <c r="NZ5" s="237"/>
      <c r="OA5" s="237"/>
      <c r="OB5" s="237"/>
      <c r="OC5" s="237"/>
      <c r="OD5" s="237"/>
      <c r="OE5" s="237"/>
      <c r="OF5" s="237"/>
      <c r="OG5" s="237"/>
      <c r="OH5" s="237"/>
      <c r="OI5" s="237"/>
      <c r="OJ5" s="237"/>
      <c r="OK5" s="237"/>
      <c r="OL5" s="237"/>
      <c r="OM5" s="237"/>
      <c r="ON5" s="237"/>
      <c r="OO5" s="237"/>
      <c r="OP5" s="237"/>
      <c r="OQ5" s="237"/>
      <c r="OR5" s="237"/>
      <c r="OS5" s="237"/>
      <c r="OT5" s="237"/>
      <c r="OU5" s="237"/>
      <c r="OV5" s="237"/>
      <c r="OW5" s="237"/>
      <c r="OX5" s="237"/>
      <c r="OY5" s="237"/>
      <c r="OZ5" s="237"/>
      <c r="PA5" s="237"/>
      <c r="PB5" s="237"/>
      <c r="PC5" s="237"/>
      <c r="PD5" s="237"/>
      <c r="PE5" s="237"/>
      <c r="PF5" s="237"/>
      <c r="PG5" s="237"/>
      <c r="PH5" s="237"/>
      <c r="PI5" s="237"/>
      <c r="PJ5" s="237"/>
      <c r="PK5" s="237"/>
      <c r="PL5" s="237"/>
      <c r="PM5" s="237"/>
      <c r="PN5" s="237"/>
      <c r="PO5" s="237"/>
      <c r="PP5" s="237"/>
      <c r="PQ5" s="237"/>
      <c r="PR5" s="237"/>
      <c r="PS5" s="237"/>
      <c r="PT5" s="237"/>
      <c r="PU5" s="237"/>
      <c r="PV5" s="237"/>
      <c r="PW5" s="237"/>
      <c r="PX5" s="237"/>
      <c r="PY5" s="237"/>
      <c r="PZ5" s="237"/>
      <c r="QA5" s="237"/>
      <c r="QB5" s="237"/>
      <c r="QC5" s="237"/>
      <c r="QD5" s="237"/>
      <c r="QE5" s="237"/>
      <c r="QF5" s="237"/>
      <c r="QG5" s="237"/>
      <c r="QH5" s="237"/>
      <c r="QI5" s="237"/>
      <c r="QJ5" s="237"/>
      <c r="QK5" s="237"/>
      <c r="QL5" s="237"/>
      <c r="QM5" s="237"/>
      <c r="QN5" s="237"/>
      <c r="QO5" s="237"/>
      <c r="QP5" s="237"/>
      <c r="QQ5" s="237"/>
      <c r="QR5" s="237"/>
      <c r="QS5" s="237"/>
      <c r="QT5" s="237"/>
      <c r="QU5" s="237"/>
      <c r="QV5" s="237"/>
      <c r="QW5" s="237"/>
      <c r="QX5" s="237"/>
      <c r="QY5" s="237"/>
      <c r="QZ5" s="237"/>
      <c r="RA5" s="237"/>
      <c r="RB5" s="237"/>
      <c r="RC5" s="237"/>
      <c r="RD5" s="237"/>
      <c r="RE5" s="237"/>
      <c r="RF5" s="237"/>
      <c r="RG5" s="237"/>
      <c r="RH5" s="237"/>
      <c r="RI5" s="237"/>
      <c r="RJ5" s="237"/>
      <c r="RK5" s="237"/>
      <c r="RL5" s="237"/>
      <c r="RM5" s="237"/>
      <c r="RN5" s="237"/>
      <c r="RO5" s="237"/>
      <c r="RP5" s="237"/>
      <c r="RQ5" s="237"/>
      <c r="RR5" s="237"/>
      <c r="RS5" s="237"/>
      <c r="RT5" s="237"/>
      <c r="RU5" s="237"/>
      <c r="RV5" s="237"/>
      <c r="RW5" s="237"/>
      <c r="RX5" s="237"/>
      <c r="RY5" s="237"/>
      <c r="RZ5" s="237"/>
      <c r="SA5" s="237"/>
      <c r="SB5" s="237"/>
      <c r="SC5" s="237"/>
      <c r="SD5" s="237"/>
      <c r="SE5" s="237"/>
      <c r="SF5" s="237"/>
      <c r="SG5" s="237"/>
      <c r="SH5" s="237"/>
      <c r="SI5" s="237"/>
      <c r="SJ5" s="237"/>
      <c r="SK5" s="237"/>
      <c r="SL5" s="237"/>
      <c r="SM5" s="237"/>
      <c r="SN5" s="237"/>
      <c r="SO5" s="237"/>
      <c r="SP5" s="237"/>
      <c r="SQ5" s="237"/>
      <c r="SR5" s="237"/>
      <c r="SS5" s="237"/>
      <c r="ST5" s="237"/>
      <c r="SU5" s="237"/>
      <c r="SV5" s="237"/>
      <c r="SW5" s="237"/>
      <c r="SX5" s="237"/>
      <c r="SY5" s="237"/>
      <c r="SZ5" s="237"/>
      <c r="TA5" s="237"/>
      <c r="TB5" s="237"/>
      <c r="TC5" s="237"/>
      <c r="TD5" s="237"/>
      <c r="TE5" s="237"/>
      <c r="TF5" s="237"/>
      <c r="TG5" s="237"/>
      <c r="TH5" s="237"/>
      <c r="TI5" s="237"/>
      <c r="TJ5" s="237"/>
      <c r="TK5" s="237"/>
      <c r="TL5" s="237"/>
      <c r="TM5" s="237"/>
      <c r="TN5" s="237"/>
      <c r="TO5" s="237"/>
      <c r="TP5" s="237"/>
      <c r="TQ5" s="237"/>
      <c r="TR5" s="237"/>
      <c r="TS5" s="237"/>
      <c r="TT5" s="237"/>
      <c r="TU5" s="237"/>
      <c r="TV5" s="237"/>
      <c r="TW5" s="237"/>
      <c r="TX5" s="237"/>
      <c r="TY5" s="237"/>
      <c r="TZ5" s="237"/>
      <c r="UA5" s="237"/>
      <c r="UB5" s="237"/>
      <c r="UC5" s="237"/>
      <c r="UD5" s="237"/>
      <c r="UE5" s="237"/>
      <c r="UF5" s="237"/>
      <c r="UG5" s="237"/>
      <c r="UH5" s="237"/>
      <c r="UI5" s="237"/>
      <c r="UJ5" s="237"/>
      <c r="UK5" s="237"/>
      <c r="UL5" s="237"/>
      <c r="UM5" s="237"/>
      <c r="UN5" s="237"/>
      <c r="UO5" s="237"/>
      <c r="UP5" s="237"/>
      <c r="UQ5" s="237"/>
      <c r="UR5" s="237"/>
      <c r="US5" s="237"/>
      <c r="UT5" s="237"/>
      <c r="UU5" s="237"/>
      <c r="UV5" s="237"/>
      <c r="UW5" s="237"/>
      <c r="UX5" s="237"/>
      <c r="UY5" s="237"/>
      <c r="UZ5" s="237"/>
      <c r="VA5" s="237"/>
      <c r="VB5" s="237"/>
      <c r="VC5" s="237"/>
      <c r="VD5" s="237"/>
      <c r="VE5" s="237"/>
      <c r="VF5" s="237"/>
      <c r="VG5" s="237"/>
      <c r="VH5" s="237"/>
      <c r="VI5" s="237"/>
      <c r="VJ5" s="237"/>
      <c r="VK5" s="237"/>
      <c r="VL5" s="237"/>
      <c r="VM5" s="237"/>
      <c r="VN5" s="237"/>
      <c r="VO5" s="237"/>
      <c r="VP5" s="237"/>
      <c r="VQ5" s="237"/>
      <c r="VR5" s="237"/>
      <c r="VS5" s="237"/>
      <c r="VT5" s="237"/>
      <c r="VU5" s="237"/>
      <c r="VV5" s="237"/>
      <c r="VW5" s="237"/>
      <c r="VX5" s="237"/>
      <c r="VY5" s="237"/>
      <c r="VZ5" s="237"/>
      <c r="WA5" s="237"/>
      <c r="WB5" s="237"/>
      <c r="WC5" s="237"/>
      <c r="WD5" s="237"/>
      <c r="WE5" s="237"/>
      <c r="WF5" s="237"/>
      <c r="WG5" s="237"/>
      <c r="WH5" s="237"/>
      <c r="WI5" s="237"/>
      <c r="WJ5" s="237"/>
      <c r="WK5" s="237"/>
      <c r="WL5" s="237"/>
      <c r="WM5" s="237"/>
      <c r="WN5" s="237"/>
      <c r="WO5" s="237"/>
      <c r="WP5" s="237"/>
      <c r="WQ5" s="237"/>
      <c r="WR5" s="237"/>
      <c r="WS5" s="237"/>
      <c r="WT5" s="237"/>
      <c r="WU5" s="237"/>
      <c r="WV5" s="237"/>
      <c r="WW5" s="237"/>
      <c r="WX5" s="237"/>
      <c r="WY5" s="237"/>
      <c r="WZ5" s="237"/>
      <c r="XA5" s="237"/>
      <c r="XB5" s="237"/>
      <c r="XC5" s="237"/>
      <c r="XD5" s="237"/>
      <c r="XE5" s="237"/>
      <c r="XF5" s="237"/>
      <c r="XG5" s="237"/>
      <c r="XH5" s="237"/>
      <c r="XI5" s="237"/>
      <c r="XJ5" s="237"/>
      <c r="XK5" s="237"/>
      <c r="XL5" s="237"/>
      <c r="XM5" s="237"/>
      <c r="XN5" s="237"/>
      <c r="XO5" s="237"/>
      <c r="XP5" s="237"/>
      <c r="XQ5" s="237"/>
      <c r="XR5" s="237"/>
      <c r="XS5" s="237"/>
      <c r="XT5" s="237"/>
      <c r="XU5" s="237"/>
      <c r="XV5" s="237"/>
      <c r="XW5" s="237"/>
      <c r="XX5" s="237"/>
      <c r="XY5" s="237"/>
      <c r="XZ5" s="237"/>
      <c r="YA5" s="237"/>
      <c r="YB5" s="237"/>
      <c r="YC5" s="237"/>
      <c r="YD5" s="237"/>
      <c r="YE5" s="237"/>
      <c r="YF5" s="237"/>
      <c r="YG5" s="237"/>
      <c r="YH5" s="237"/>
      <c r="YI5" s="237"/>
      <c r="YJ5" s="237"/>
      <c r="YK5" s="237"/>
      <c r="YL5" s="237"/>
      <c r="YM5" s="237"/>
      <c r="YN5" s="237"/>
      <c r="YO5" s="237"/>
      <c r="YP5" s="237"/>
      <c r="YQ5" s="237"/>
      <c r="YR5" s="237"/>
      <c r="YS5" s="237"/>
      <c r="YT5" s="237"/>
      <c r="YU5" s="237"/>
      <c r="YV5" s="237"/>
      <c r="YW5" s="237"/>
      <c r="YX5" s="237"/>
      <c r="YY5" s="237"/>
      <c r="YZ5" s="237"/>
      <c r="ZA5" s="237"/>
      <c r="ZB5" s="237"/>
      <c r="ZC5" s="237"/>
      <c r="ZD5" s="237"/>
      <c r="ZE5" s="237"/>
      <c r="ZF5" s="237"/>
      <c r="ZG5" s="237"/>
      <c r="ZH5" s="237"/>
      <c r="ZI5" s="237"/>
      <c r="ZJ5" s="237"/>
      <c r="ZK5" s="237"/>
      <c r="ZL5" s="237"/>
      <c r="ZM5" s="237"/>
      <c r="ZN5" s="237"/>
      <c r="ZO5" s="237"/>
      <c r="ZP5" s="237"/>
      <c r="ZQ5" s="237"/>
      <c r="ZR5" s="237"/>
      <c r="ZS5" s="237"/>
      <c r="ZT5" s="237"/>
      <c r="ZU5" s="237"/>
      <c r="ZV5" s="237"/>
      <c r="ZW5" s="237"/>
      <c r="ZX5" s="237"/>
      <c r="ZY5" s="237"/>
      <c r="ZZ5" s="237"/>
      <c r="AAA5" s="237"/>
      <c r="AAB5" s="237"/>
      <c r="AAC5" s="237"/>
      <c r="AAD5" s="237"/>
      <c r="AAE5" s="237"/>
      <c r="AAF5" s="237"/>
      <c r="AAG5" s="237"/>
      <c r="AAH5" s="237"/>
      <c r="AAI5" s="237"/>
      <c r="AAJ5" s="237"/>
      <c r="AAK5" s="237"/>
      <c r="AAL5" s="237"/>
      <c r="AAM5" s="237"/>
      <c r="AAN5" s="237"/>
      <c r="AAO5" s="237"/>
      <c r="AAP5" s="237"/>
      <c r="AAQ5" s="237"/>
      <c r="AAR5" s="237"/>
      <c r="AAS5" s="237"/>
      <c r="AAT5" s="237"/>
      <c r="AAU5" s="237"/>
      <c r="AAV5" s="237"/>
      <c r="AAW5" s="237"/>
      <c r="AAX5" s="237"/>
      <c r="AAY5" s="237"/>
      <c r="AAZ5" s="237"/>
      <c r="ABA5" s="237"/>
      <c r="ABB5" s="237"/>
      <c r="ABC5" s="237"/>
      <c r="ABD5" s="237"/>
      <c r="ABE5" s="237"/>
      <c r="ABF5" s="237"/>
      <c r="ABG5" s="237"/>
      <c r="ABH5" s="237"/>
      <c r="ABI5" s="237"/>
      <c r="ABJ5" s="237"/>
      <c r="ABK5" s="237"/>
      <c r="ABL5" s="237"/>
      <c r="ABM5" s="237"/>
      <c r="ABN5" s="237"/>
      <c r="ABO5" s="237"/>
      <c r="ABP5" s="237"/>
      <c r="ABQ5" s="237"/>
      <c r="ABR5" s="237"/>
      <c r="ABS5" s="237"/>
      <c r="ABT5" s="237"/>
      <c r="ABU5" s="237"/>
      <c r="ABV5" s="237"/>
      <c r="ABW5" s="237"/>
      <c r="ABX5" s="237"/>
      <c r="ABY5" s="237"/>
      <c r="ABZ5" s="237"/>
      <c r="ACA5" s="237"/>
      <c r="ACB5" s="237"/>
      <c r="ACC5" s="237"/>
      <c r="ACD5" s="237"/>
      <c r="ACE5" s="237"/>
      <c r="ACF5" s="237"/>
      <c r="ACG5" s="237"/>
      <c r="ACH5" s="237"/>
      <c r="ACI5" s="237"/>
      <c r="ACJ5" s="237"/>
      <c r="ACK5" s="237"/>
      <c r="ACL5" s="237"/>
      <c r="ACM5" s="237"/>
      <c r="ACN5" s="237"/>
      <c r="ACO5" s="237"/>
      <c r="ACP5" s="237"/>
      <c r="ACQ5" s="237"/>
      <c r="ACR5" s="237"/>
      <c r="ACS5" s="237"/>
      <c r="ACT5" s="237"/>
      <c r="ACU5" s="237"/>
      <c r="ACV5" s="237"/>
      <c r="ACW5" s="237"/>
      <c r="ACX5" s="237"/>
      <c r="ACY5" s="237"/>
      <c r="ACZ5" s="237"/>
      <c r="ADA5" s="237"/>
      <c r="ADB5" s="237"/>
      <c r="ADC5" s="237"/>
      <c r="ADD5" s="237"/>
      <c r="ADE5" s="237"/>
      <c r="ADF5" s="237"/>
      <c r="ADG5" s="237"/>
      <c r="ADH5" s="237"/>
      <c r="ADI5" s="237"/>
      <c r="ADJ5" s="237"/>
      <c r="ADK5" s="237"/>
      <c r="ADL5" s="237"/>
      <c r="ADM5" s="237"/>
      <c r="ADN5" s="237"/>
      <c r="ADO5" s="237"/>
      <c r="ADP5" s="237"/>
      <c r="ADQ5" s="237"/>
      <c r="ADR5" s="237"/>
      <c r="ADS5" s="237"/>
      <c r="ADT5" s="237"/>
      <c r="ADU5" s="237"/>
      <c r="ADV5" s="237"/>
      <c r="ADW5" s="237"/>
      <c r="ADX5" s="237"/>
      <c r="ADY5" s="237"/>
      <c r="ADZ5" s="237"/>
      <c r="AEA5" s="237"/>
      <c r="AEB5" s="237"/>
      <c r="AEC5" s="237"/>
      <c r="AED5" s="237"/>
      <c r="AEE5" s="237"/>
      <c r="AEF5" s="237"/>
      <c r="AEG5" s="237"/>
      <c r="AEH5" s="237"/>
      <c r="AEI5" s="237"/>
      <c r="AEJ5" s="237"/>
      <c r="AEK5" s="237"/>
      <c r="AEL5" s="237"/>
      <c r="AEM5" s="237"/>
      <c r="AEN5" s="237"/>
      <c r="AEO5" s="237"/>
      <c r="AEP5" s="237"/>
      <c r="AEQ5" s="237"/>
      <c r="AER5" s="237"/>
      <c r="AES5" s="237"/>
      <c r="AET5" s="237"/>
      <c r="AEU5" s="237"/>
      <c r="AEV5" s="237"/>
      <c r="AEW5" s="237"/>
      <c r="AEX5" s="237"/>
      <c r="AEY5" s="237"/>
      <c r="AEZ5" s="237"/>
      <c r="AFA5" s="237"/>
      <c r="AFB5" s="237"/>
      <c r="AFC5" s="237"/>
      <c r="AFD5" s="237"/>
      <c r="AFE5" s="237"/>
      <c r="AFF5" s="237"/>
      <c r="AFG5" s="237"/>
      <c r="AFH5" s="237"/>
      <c r="AFI5" s="237"/>
      <c r="AFJ5" s="237"/>
      <c r="AFK5" s="237"/>
      <c r="AFL5" s="237"/>
      <c r="AFM5" s="237"/>
      <c r="AFN5" s="237"/>
      <c r="AFO5" s="237"/>
      <c r="AFP5" s="237"/>
      <c r="AFQ5" s="237"/>
      <c r="AFR5" s="237"/>
      <c r="AFS5" s="237"/>
      <c r="AFT5" s="237"/>
      <c r="AFU5" s="237"/>
      <c r="AFV5" s="237"/>
      <c r="AFW5" s="237"/>
      <c r="AFX5" s="237"/>
      <c r="AFY5" s="237"/>
      <c r="AFZ5" s="237"/>
      <c r="AGA5" s="237"/>
      <c r="AGB5" s="237"/>
      <c r="AGC5" s="237"/>
      <c r="AGD5" s="237"/>
      <c r="AGE5" s="237"/>
      <c r="AGF5" s="237"/>
      <c r="AGG5" s="237"/>
      <c r="AGH5" s="237"/>
      <c r="AGI5" s="237"/>
      <c r="AGJ5" s="237"/>
      <c r="AGK5" s="237"/>
      <c r="AGL5" s="237"/>
      <c r="AGM5" s="237"/>
      <c r="AGN5" s="237"/>
      <c r="AGO5" s="237"/>
      <c r="AGP5" s="237"/>
      <c r="AGQ5" s="237"/>
      <c r="AGR5" s="237"/>
      <c r="AGS5" s="237"/>
      <c r="AGT5" s="237"/>
      <c r="AGU5" s="237"/>
      <c r="AGV5" s="237"/>
      <c r="AGW5" s="237"/>
      <c r="AGX5" s="237"/>
      <c r="AGY5" s="237"/>
      <c r="AGZ5" s="237"/>
      <c r="AHA5" s="237"/>
      <c r="AHB5" s="237"/>
      <c r="AHC5" s="237"/>
      <c r="AHD5" s="237"/>
      <c r="AHE5" s="237"/>
      <c r="AHF5" s="237"/>
      <c r="AHG5" s="237"/>
      <c r="AHH5" s="237"/>
      <c r="AHI5" s="237"/>
      <c r="AHJ5" s="237"/>
      <c r="AHK5" s="237"/>
      <c r="AHL5" s="237"/>
      <c r="AHM5" s="237"/>
      <c r="AHN5" s="237"/>
      <c r="AHO5" s="237"/>
      <c r="AHP5" s="237"/>
      <c r="AHQ5" s="237"/>
      <c r="AHR5" s="237"/>
      <c r="AHS5" s="237"/>
      <c r="AHT5" s="237"/>
      <c r="AHU5" s="237"/>
      <c r="AHV5" s="237"/>
      <c r="AHW5" s="237"/>
      <c r="AHX5" s="237"/>
      <c r="AHY5" s="237"/>
      <c r="AHZ5" s="237"/>
      <c r="AIA5" s="237"/>
      <c r="AIB5" s="237"/>
      <c r="AIC5" s="237"/>
      <c r="AID5" s="237"/>
      <c r="AIE5" s="237"/>
      <c r="AIF5" s="237"/>
      <c r="AIG5" s="237"/>
      <c r="AIH5" s="237"/>
      <c r="AII5" s="237"/>
      <c r="AIJ5" s="237"/>
      <c r="AIK5" s="237"/>
      <c r="AIL5" s="237"/>
      <c r="AIM5" s="237"/>
      <c r="AIN5" s="237"/>
      <c r="AIO5" s="237"/>
      <c r="AIP5" s="237"/>
      <c r="AIQ5" s="237"/>
      <c r="AIR5" s="237"/>
      <c r="AIS5" s="237"/>
      <c r="AIT5" s="237"/>
      <c r="AIU5" s="237"/>
      <c r="AIV5" s="237"/>
      <c r="AIW5" s="237"/>
      <c r="AIX5" s="237"/>
      <c r="AIY5" s="237"/>
      <c r="AIZ5" s="237"/>
      <c r="AJA5" s="237"/>
      <c r="AJB5" s="237"/>
      <c r="AJC5" s="237"/>
      <c r="AJD5" s="237"/>
      <c r="AJE5" s="237"/>
      <c r="AJF5" s="237"/>
      <c r="AJG5" s="237"/>
      <c r="AJH5" s="237"/>
      <c r="AJI5" s="237"/>
      <c r="AJJ5" s="237"/>
      <c r="AJK5" s="237"/>
      <c r="AJL5" s="237"/>
      <c r="AJM5" s="237"/>
      <c r="AJN5" s="237"/>
      <c r="AJO5" s="237"/>
      <c r="AJP5" s="237"/>
      <c r="AJQ5" s="237"/>
      <c r="AJR5" s="237"/>
      <c r="AJS5" s="237"/>
      <c r="AJT5" s="237"/>
      <c r="AJU5" s="237"/>
      <c r="AJV5" s="237"/>
      <c r="AJW5" s="237"/>
      <c r="AJX5" s="237"/>
      <c r="AJY5" s="237"/>
      <c r="AJZ5" s="237"/>
      <c r="AKA5" s="237"/>
      <c r="AKB5" s="237"/>
      <c r="AKC5" s="237"/>
      <c r="AKD5" s="237"/>
      <c r="AKE5" s="237"/>
      <c r="AKF5" s="237"/>
      <c r="AKG5" s="237"/>
      <c r="AKH5" s="237"/>
      <c r="AKI5" s="237"/>
      <c r="AKJ5" s="237"/>
      <c r="AKK5" s="237"/>
      <c r="AKL5" s="237"/>
      <c r="AKM5" s="237"/>
      <c r="AKN5" s="237"/>
      <c r="AKO5" s="237"/>
      <c r="AKP5" s="237"/>
      <c r="AKQ5" s="237"/>
      <c r="AKR5" s="237"/>
      <c r="AKS5" s="237"/>
      <c r="AKT5" s="237"/>
      <c r="AKU5" s="237"/>
      <c r="AKV5" s="237"/>
      <c r="AKW5" s="237"/>
      <c r="AKX5" s="237"/>
      <c r="AKY5" s="237"/>
      <c r="AKZ5" s="237"/>
      <c r="ALA5" s="237"/>
      <c r="ALB5" s="237"/>
      <c r="ALC5" s="237"/>
      <c r="ALD5" s="237"/>
      <c r="ALE5" s="237"/>
      <c r="ALF5" s="237"/>
      <c r="ALG5" s="237"/>
      <c r="ALH5" s="237"/>
      <c r="ALI5" s="237"/>
      <c r="ALJ5" s="237"/>
      <c r="ALK5" s="237"/>
      <c r="ALL5" s="237"/>
      <c r="ALM5" s="237"/>
      <c r="ALN5" s="237"/>
      <c r="ALO5" s="237"/>
      <c r="ALP5" s="237"/>
      <c r="ALQ5" s="237"/>
      <c r="ALR5" s="237"/>
      <c r="ALS5" s="237"/>
      <c r="ALT5" s="237"/>
      <c r="ALU5" s="237"/>
      <c r="ALV5" s="237"/>
      <c r="ALW5" s="237"/>
      <c r="ALX5" s="237"/>
      <c r="ALY5" s="237"/>
      <c r="ALZ5" s="237"/>
      <c r="AMA5" s="237"/>
      <c r="AMB5" s="237"/>
      <c r="AMC5" s="237"/>
      <c r="AMD5" s="237"/>
      <c r="AME5" s="237"/>
      <c r="AMF5" s="237"/>
      <c r="AMG5" s="237"/>
      <c r="AMH5" s="237"/>
      <c r="AMI5" s="237"/>
      <c r="AMJ5" s="237"/>
    </row>
    <row r="6" spans="1:1024" s="125" customFormat="1" ht="12.75">
      <c r="B6" s="618" t="s">
        <v>3430</v>
      </c>
      <c r="C6" s="619"/>
      <c r="D6" s="620"/>
      <c r="E6" s="350">
        <f>'Consolidated Financials'!H65</f>
        <v>143956731</v>
      </c>
      <c r="F6" s="212">
        <f>'Consolidated Financials'!I65</f>
        <v>157790509</v>
      </c>
      <c r="G6" s="212">
        <f>'Consolidated Financials'!J65</f>
        <v>0</v>
      </c>
      <c r="H6" s="213">
        <f>'Consolidated Financials'!K65</f>
        <v>0</v>
      </c>
    </row>
    <row r="7" spans="1:1024" ht="15">
      <c r="B7" s="618" t="s">
        <v>3431</v>
      </c>
      <c r="C7" s="619"/>
      <c r="D7" s="620"/>
      <c r="E7" s="371"/>
      <c r="F7" s="371"/>
      <c r="G7" s="371"/>
      <c r="H7" s="372"/>
      <c r="J7" s="371"/>
    </row>
    <row r="8" spans="1:1024" s="125" customFormat="1" ht="12.75">
      <c r="B8" s="788"/>
      <c r="C8" s="619" t="s">
        <v>3432</v>
      </c>
      <c r="D8" s="620"/>
      <c r="E8" s="212">
        <f>'Consolidated Financials'!H57</f>
        <v>19976454</v>
      </c>
      <c r="F8" s="212">
        <f>'Consolidated Financials'!I57</f>
        <v>38913031</v>
      </c>
      <c r="G8" s="212">
        <f>'Consolidated Financials'!J57</f>
        <v>0</v>
      </c>
      <c r="H8" s="213">
        <f>'Consolidated Financials'!K57</f>
        <v>0</v>
      </c>
    </row>
    <row r="9" spans="1:1024" s="125" customFormat="1" ht="12.75">
      <c r="B9" s="789"/>
      <c r="C9" s="619" t="s">
        <v>3433</v>
      </c>
      <c r="D9" s="620"/>
      <c r="E9" s="212">
        <f>'Consolidated Financials'!H61</f>
        <v>0</v>
      </c>
      <c r="F9" s="212">
        <f>'Consolidated Financials'!I61</f>
        <v>0</v>
      </c>
      <c r="G9" s="212">
        <f>'Consolidated Financials'!J61</f>
        <v>0</v>
      </c>
      <c r="H9" s="213">
        <f>'Consolidated Financials'!K61</f>
        <v>0</v>
      </c>
    </row>
    <row r="10" spans="1:1024" s="125" customFormat="1" ht="12.75">
      <c r="B10" s="789"/>
      <c r="C10" s="619" t="s">
        <v>3434</v>
      </c>
      <c r="D10" s="620"/>
      <c r="E10" s="212">
        <f>'Consolidated Financials'!H76</f>
        <v>0</v>
      </c>
      <c r="F10" s="212">
        <f>'Consolidated Financials'!I76</f>
        <v>0</v>
      </c>
      <c r="G10" s="212">
        <f>'Consolidated Financials'!J76</f>
        <v>0</v>
      </c>
      <c r="H10" s="213">
        <f>'Consolidated Financials'!K76</f>
        <v>0</v>
      </c>
    </row>
    <row r="11" spans="1:1024" s="125" customFormat="1" ht="12.75">
      <c r="B11" s="789"/>
      <c r="C11" s="619" t="s">
        <v>3435</v>
      </c>
      <c r="D11" s="620"/>
      <c r="E11" s="212">
        <f>'Consolidated Financials'!H77</f>
        <v>0</v>
      </c>
      <c r="F11" s="212">
        <f>'Consolidated Financials'!I77</f>
        <v>0</v>
      </c>
      <c r="G11" s="212">
        <f>'Consolidated Financials'!J77</f>
        <v>0</v>
      </c>
      <c r="H11" s="213">
        <f>'Consolidated Financials'!K77</f>
        <v>0</v>
      </c>
    </row>
    <row r="12" spans="1:1024" s="125" customFormat="1" ht="12.75">
      <c r="B12" s="789"/>
      <c r="C12" s="777" t="s">
        <v>3436</v>
      </c>
      <c r="D12" s="778"/>
      <c r="E12" s="212">
        <f>'Consolidated Financials'!H78</f>
        <v>0</v>
      </c>
      <c r="F12" s="212">
        <f>'Consolidated Financials'!I78</f>
        <v>0</v>
      </c>
      <c r="G12" s="212">
        <f>'Consolidated Financials'!J78</f>
        <v>0</v>
      </c>
      <c r="H12" s="213">
        <f>'Consolidated Financials'!K78</f>
        <v>0</v>
      </c>
    </row>
    <row r="13" spans="1:1024" s="125" customFormat="1" ht="31.5" customHeight="1">
      <c r="B13" s="795" t="s">
        <v>3437</v>
      </c>
      <c r="C13" s="796"/>
      <c r="D13" s="797"/>
      <c r="E13" s="374">
        <f>SUM(E6,E8:E12)</f>
        <v>163933185</v>
      </c>
      <c r="F13" s="374">
        <f>SUM(F6,F8:F12)</f>
        <v>196703540</v>
      </c>
      <c r="G13" s="374">
        <f>SUM(G6,G8:G12)</f>
        <v>0</v>
      </c>
      <c r="H13" s="375">
        <f>SUM(H6,H8:H12)</f>
        <v>0</v>
      </c>
    </row>
    <row r="14" spans="1:1024" s="125" customFormat="1" ht="7.5" customHeight="1">
      <c r="B14" s="765"/>
      <c r="C14" s="766"/>
      <c r="D14" s="766"/>
      <c r="E14" s="766"/>
      <c r="F14" s="766"/>
      <c r="G14" s="766"/>
      <c r="H14" s="767"/>
    </row>
    <row r="15" spans="1:1024" s="125" customFormat="1" ht="12.75">
      <c r="B15" s="788"/>
      <c r="C15" s="775" t="s">
        <v>3438</v>
      </c>
      <c r="D15" s="776"/>
      <c r="E15" s="212">
        <f>'Consolidated Financials'!G203-'Consolidated Financials'!H203</f>
        <v>-38739</v>
      </c>
      <c r="F15" s="212">
        <f>'Consolidated Financials'!H203-'Consolidated Financials'!I203</f>
        <v>-70597579</v>
      </c>
      <c r="G15" s="212">
        <f>'Consolidated Financials'!I203-'Consolidated Financials'!J203</f>
        <v>80739210</v>
      </c>
      <c r="H15" s="213">
        <f>'Consolidated Financials'!J203-'Consolidated Financials'!K203</f>
        <v>0</v>
      </c>
    </row>
    <row r="16" spans="1:1024" s="125" customFormat="1" ht="12.75">
      <c r="B16" s="789"/>
      <c r="C16" s="775" t="s">
        <v>3439</v>
      </c>
      <c r="D16" s="776"/>
      <c r="E16" s="212">
        <f>'Consolidated Financials'!G208-'Consolidated Financials'!H208</f>
        <v>45870147</v>
      </c>
      <c r="F16" s="212">
        <f>'Consolidated Financials'!H208-'Consolidated Financials'!I208</f>
        <v>-134328524</v>
      </c>
      <c r="G16" s="212">
        <f>'Consolidated Financials'!I208-'Consolidated Financials'!J208</f>
        <v>286091722</v>
      </c>
      <c r="H16" s="213">
        <f>'Consolidated Financials'!J208-'Consolidated Financials'!K208</f>
        <v>0</v>
      </c>
    </row>
    <row r="17" spans="1:1024" s="125" customFormat="1" ht="12.75">
      <c r="B17" s="789"/>
      <c r="C17" s="768" t="s">
        <v>3440</v>
      </c>
      <c r="D17" s="769"/>
      <c r="E17" s="344">
        <f>SUM(E18:E19)</f>
        <v>-17800663</v>
      </c>
      <c r="F17" s="344">
        <f>SUM(F18:F19)</f>
        <v>29904845</v>
      </c>
      <c r="G17" s="344">
        <f>SUM(G18:G19)</f>
        <v>86953396</v>
      </c>
      <c r="H17" s="345">
        <f>SUM(H18:H19)</f>
        <v>0</v>
      </c>
    </row>
    <row r="18" spans="1:1024" s="218" customFormat="1" ht="14.25" customHeight="1">
      <c r="B18" s="789"/>
      <c r="C18" s="784"/>
      <c r="D18" s="226" t="s">
        <v>3441</v>
      </c>
      <c r="E18" s="227">
        <f>'Consolidated Financials'!G183-'Consolidated Financials'!H183</f>
        <v>0</v>
      </c>
      <c r="F18" s="227">
        <f>'Consolidated Financials'!H183-'Consolidated Financials'!I183</f>
        <v>0</v>
      </c>
      <c r="G18" s="227">
        <f>'Consolidated Financials'!I183-'Consolidated Financials'!J183</f>
        <v>0</v>
      </c>
      <c r="H18" s="228">
        <f>'Consolidated Financials'!J183-'Consolidated Financials'!K183</f>
        <v>0</v>
      </c>
    </row>
    <row r="19" spans="1:1024" s="218" customFormat="1" ht="14.25" customHeight="1">
      <c r="B19" s="789"/>
      <c r="C19" s="785"/>
      <c r="D19" s="226" t="s">
        <v>3442</v>
      </c>
      <c r="E19" s="227">
        <f>'Consolidated Financials'!G187-'Consolidated Financials'!H187</f>
        <v>-17800663</v>
      </c>
      <c r="F19" s="227">
        <f>'Consolidated Financials'!H187-'Consolidated Financials'!I187</f>
        <v>29904845</v>
      </c>
      <c r="G19" s="227">
        <f>'Consolidated Financials'!I187-'Consolidated Financials'!J187</f>
        <v>86953396</v>
      </c>
      <c r="H19" s="228">
        <f>'Consolidated Financials'!J187-'Consolidated Financials'!K187</f>
        <v>0</v>
      </c>
    </row>
    <row r="20" spans="1:1024" s="125" customFormat="1" ht="12.75">
      <c r="B20" s="789"/>
      <c r="C20" s="768" t="s">
        <v>3443</v>
      </c>
      <c r="D20" s="769"/>
      <c r="E20" s="344">
        <f>SUM(E21:E22)</f>
        <v>-37229191</v>
      </c>
      <c r="F20" s="344">
        <f>SUM(F21:F22)</f>
        <v>60486319</v>
      </c>
      <c r="G20" s="344">
        <f>SUM(G21:G22)</f>
        <v>47453519</v>
      </c>
      <c r="H20" s="345">
        <f>SUM(H21:H22)</f>
        <v>0</v>
      </c>
    </row>
    <row r="21" spans="1:1024" s="218" customFormat="1" ht="14.25" customHeight="1">
      <c r="B21" s="789"/>
      <c r="C21" s="784"/>
      <c r="D21" s="226" t="s">
        <v>3444</v>
      </c>
      <c r="E21" s="227">
        <f>'Consolidated Financials'!G215-'Consolidated Financials'!H215</f>
        <v>0</v>
      </c>
      <c r="F21" s="227">
        <f>'Consolidated Financials'!H215-'Consolidated Financials'!I215</f>
        <v>0</v>
      </c>
      <c r="G21" s="227">
        <f>'Consolidated Financials'!I215-'Consolidated Financials'!J215</f>
        <v>0</v>
      </c>
      <c r="H21" s="228">
        <f>'Consolidated Financials'!J215-'Consolidated Financials'!K215</f>
        <v>0</v>
      </c>
    </row>
    <row r="22" spans="1:1024" s="218" customFormat="1" ht="14.25" customHeight="1">
      <c r="B22" s="789"/>
      <c r="C22" s="785"/>
      <c r="D22" s="226" t="s">
        <v>3445</v>
      </c>
      <c r="E22" s="227">
        <f>'Consolidated Financials'!G219-'Consolidated Financials'!H219</f>
        <v>-37229191</v>
      </c>
      <c r="F22" s="227">
        <f>'Consolidated Financials'!H219-'Consolidated Financials'!I219</f>
        <v>60486319</v>
      </c>
      <c r="G22" s="227">
        <f>'Consolidated Financials'!I219-'Consolidated Financials'!J219</f>
        <v>47453519</v>
      </c>
      <c r="H22" s="228">
        <f>'Consolidated Financials'!J219-'Consolidated Financials'!K219</f>
        <v>0</v>
      </c>
    </row>
    <row r="23" spans="1:1024" s="125" customFormat="1" ht="12.75">
      <c r="B23" s="789"/>
      <c r="C23" s="619" t="s">
        <v>3446</v>
      </c>
      <c r="D23" s="620"/>
      <c r="E23" s="212">
        <f>'Consolidated Financials'!G189-'Consolidated Financials'!H189</f>
        <v>0</v>
      </c>
      <c r="F23" s="212">
        <f>'Consolidated Financials'!H189-'Consolidated Financials'!I189</f>
        <v>0</v>
      </c>
      <c r="G23" s="212">
        <f>'Consolidated Financials'!I189-'Consolidated Financials'!J189</f>
        <v>0</v>
      </c>
      <c r="H23" s="213">
        <f>'Consolidated Financials'!J189-'Consolidated Financials'!K189</f>
        <v>0</v>
      </c>
    </row>
    <row r="24" spans="1:1024" s="125" customFormat="1" ht="12.75">
      <c r="B24" s="789"/>
      <c r="C24" s="619" t="s">
        <v>3447</v>
      </c>
      <c r="D24" s="620"/>
      <c r="E24" s="212">
        <f>'Consolidated Financials'!G220-'Consolidated Financials'!H220</f>
        <v>-4505643</v>
      </c>
      <c r="F24" s="212">
        <f>'Consolidated Financials'!H220-'Consolidated Financials'!I220</f>
        <v>-56789287</v>
      </c>
      <c r="G24" s="212">
        <f>'Consolidated Financials'!I220-'Consolidated Financials'!J220</f>
        <v>64924232</v>
      </c>
      <c r="H24" s="213">
        <f>'Consolidated Financials'!J220-'Consolidated Financials'!K220</f>
        <v>0</v>
      </c>
    </row>
    <row r="25" spans="1:1024" s="125" customFormat="1" ht="12.75">
      <c r="B25" s="789"/>
      <c r="C25" s="619" t="s">
        <v>3448</v>
      </c>
      <c r="D25" s="620"/>
      <c r="E25" s="212">
        <f>'Consolidated Financials'!H152+'Consolidated Financials'!H137-'Consolidated Financials'!G152-'Consolidated Financials'!G137</f>
        <v>5782966</v>
      </c>
      <c r="F25" s="212">
        <f>'Consolidated Financials'!I152+'Consolidated Financials'!I137-'Consolidated Financials'!H152-'Consolidated Financials'!H137</f>
        <v>75193339</v>
      </c>
      <c r="G25" s="212">
        <f>'Consolidated Financials'!J152+'Consolidated Financials'!J137-'Consolidated Financials'!I152-'Consolidated Financials'!I137</f>
        <v>-214306252</v>
      </c>
      <c r="H25" s="213">
        <f>'Consolidated Financials'!K152-'Consolidated Financials'!J152</f>
        <v>0</v>
      </c>
    </row>
    <row r="26" spans="1:1024" s="125" customFormat="1" ht="12.75">
      <c r="B26" s="789"/>
      <c r="C26" s="619" t="s">
        <v>3449</v>
      </c>
      <c r="D26" s="620"/>
      <c r="E26" s="212">
        <f>'Consolidated Financials'!H134-'Consolidated Financials'!G134</f>
        <v>2279261</v>
      </c>
      <c r="F26" s="212">
        <f>'Consolidated Financials'!I134-'Consolidated Financials'!H134</f>
        <v>987889</v>
      </c>
      <c r="G26" s="212">
        <f>'Consolidated Financials'!J134-'Consolidated Financials'!I134</f>
        <v>-13003417</v>
      </c>
      <c r="H26" s="213">
        <f>'Consolidated Financials'!K134-'Consolidated Financials'!J134</f>
        <v>0</v>
      </c>
    </row>
    <row r="27" spans="1:1024" s="125" customFormat="1" ht="12.75">
      <c r="B27" s="789"/>
      <c r="C27" s="619" t="s">
        <v>3450</v>
      </c>
      <c r="D27" s="620"/>
      <c r="E27" s="212">
        <f>'Consolidated Financials'!H157-'Consolidated Financials'!G157</f>
        <v>12936480</v>
      </c>
      <c r="F27" s="212">
        <f>'Consolidated Financials'!I157-'Consolidated Financials'!H157</f>
        <v>-8989793</v>
      </c>
      <c r="G27" s="212">
        <f>'Consolidated Financials'!J157-'Consolidated Financials'!I157</f>
        <v>-36414187</v>
      </c>
      <c r="H27" s="213">
        <f>'Consolidated Financials'!K157-'Consolidated Financials'!J157</f>
        <v>0</v>
      </c>
    </row>
    <row r="28" spans="1:1024" s="125" customFormat="1" ht="12.75">
      <c r="B28" s="789"/>
      <c r="C28" s="619" t="s">
        <v>3451</v>
      </c>
      <c r="D28" s="620"/>
      <c r="E28" s="212">
        <f>'Consolidated Financials'!H140-'Consolidated Financials'!G140</f>
        <v>0</v>
      </c>
      <c r="F28" s="212">
        <f>'Consolidated Financials'!I140-'Consolidated Financials'!H140</f>
        <v>0</v>
      </c>
      <c r="G28" s="212">
        <f>'Consolidated Financials'!J140-'Consolidated Financials'!I140</f>
        <v>0</v>
      </c>
      <c r="H28" s="213">
        <f>'Consolidated Financials'!K140-'Consolidated Financials'!J140</f>
        <v>0</v>
      </c>
    </row>
    <row r="29" spans="1:1024" s="125" customFormat="1" ht="12.75">
      <c r="B29" s="790"/>
      <c r="C29" s="619" t="s">
        <v>3452</v>
      </c>
      <c r="D29" s="620"/>
      <c r="E29" s="212">
        <f>'Consolidated Financials'!H158-'Consolidated Financials'!G158</f>
        <v>10840594</v>
      </c>
      <c r="F29" s="212">
        <f>'Consolidated Financials'!I158-'Consolidated Financials'!H158</f>
        <v>7154094</v>
      </c>
      <c r="G29" s="212">
        <f>'Consolidated Financials'!J158-'Consolidated Financials'!I158</f>
        <v>-45890375</v>
      </c>
      <c r="H29" s="213">
        <f>'Consolidated Financials'!K158-'Consolidated Financials'!J158</f>
        <v>0</v>
      </c>
    </row>
    <row r="30" spans="1:1024" ht="17.25" customHeight="1">
      <c r="A30" s="368"/>
      <c r="B30" s="798" t="s">
        <v>3453</v>
      </c>
      <c r="C30" s="799"/>
      <c r="D30" s="800"/>
      <c r="E30" s="374">
        <f>SUM(E13,E15:E16,E17,E20,E23:E29)</f>
        <v>182068397</v>
      </c>
      <c r="F30" s="374">
        <f>SUM(F13,F15:F16,F17,F20,F23:F29)</f>
        <v>99724843</v>
      </c>
      <c r="G30" s="374">
        <f>SUM(G13,G15:G16,G17,G20,G23:G29)</f>
        <v>256547848</v>
      </c>
      <c r="H30" s="375">
        <f>SUM(H13,H15:H16,H17,H20,H23:H29)</f>
        <v>0</v>
      </c>
      <c r="I30" s="368"/>
      <c r="J30" s="368"/>
      <c r="K30" s="368"/>
      <c r="L30" s="368"/>
      <c r="M30" s="368"/>
      <c r="N30" s="368"/>
      <c r="O30" s="368"/>
      <c r="P30" s="368"/>
      <c r="Q30" s="368"/>
      <c r="R30" s="368"/>
      <c r="S30" s="368"/>
      <c r="T30" s="368"/>
      <c r="U30" s="368"/>
      <c r="V30" s="368"/>
      <c r="W30" s="368"/>
      <c r="X30" s="368"/>
      <c r="Y30" s="368"/>
      <c r="Z30" s="368"/>
      <c r="AA30" s="368"/>
      <c r="AB30" s="368"/>
      <c r="AC30" s="368"/>
      <c r="AD30" s="368"/>
      <c r="AE30" s="368"/>
      <c r="AF30" s="368"/>
      <c r="AG30" s="368"/>
      <c r="AH30" s="368"/>
      <c r="AI30" s="368"/>
      <c r="AJ30" s="368"/>
      <c r="AK30" s="368"/>
      <c r="AL30" s="368"/>
      <c r="AM30" s="368"/>
      <c r="AN30" s="368"/>
      <c r="AO30" s="368"/>
      <c r="AP30" s="368"/>
      <c r="AQ30" s="368"/>
      <c r="AR30" s="368"/>
      <c r="AS30" s="368"/>
      <c r="AT30" s="368"/>
      <c r="AU30" s="368"/>
      <c r="AV30" s="368"/>
      <c r="AW30" s="368"/>
      <c r="AX30" s="368"/>
      <c r="AY30" s="368"/>
      <c r="AZ30" s="368"/>
      <c r="BA30" s="368"/>
      <c r="BB30" s="368"/>
      <c r="BC30" s="368"/>
      <c r="BD30" s="368"/>
      <c r="BE30" s="368"/>
      <c r="BF30" s="368"/>
      <c r="BG30" s="368"/>
      <c r="BH30" s="368"/>
      <c r="BI30" s="368"/>
      <c r="BJ30" s="368"/>
      <c r="BK30" s="368"/>
      <c r="BL30" s="368"/>
      <c r="BM30" s="368"/>
      <c r="BN30" s="368"/>
      <c r="BO30" s="368"/>
      <c r="BP30" s="368"/>
      <c r="BQ30" s="368"/>
      <c r="BR30" s="368"/>
      <c r="BS30" s="368"/>
      <c r="BT30" s="368"/>
      <c r="BU30" s="368"/>
      <c r="BV30" s="368"/>
      <c r="BW30" s="368"/>
      <c r="BX30" s="368"/>
      <c r="BY30" s="368"/>
      <c r="BZ30" s="368"/>
      <c r="CA30" s="368"/>
      <c r="CB30" s="368"/>
      <c r="CC30" s="368"/>
      <c r="CD30" s="368"/>
      <c r="CE30" s="368"/>
      <c r="CF30" s="368"/>
      <c r="CG30" s="368"/>
      <c r="CH30" s="368"/>
      <c r="CI30" s="368"/>
      <c r="CJ30" s="368"/>
      <c r="CK30" s="368"/>
      <c r="CL30" s="368"/>
      <c r="CM30" s="368"/>
      <c r="CN30" s="368"/>
      <c r="CO30" s="368"/>
      <c r="CP30" s="368"/>
      <c r="CQ30" s="368"/>
      <c r="CR30" s="368"/>
      <c r="CS30" s="368"/>
      <c r="CT30" s="368"/>
      <c r="CU30" s="368"/>
      <c r="CV30" s="368"/>
      <c r="CW30" s="368"/>
      <c r="CX30" s="368"/>
      <c r="CY30" s="368"/>
      <c r="CZ30" s="368"/>
      <c r="DA30" s="368"/>
      <c r="DB30" s="368"/>
      <c r="DC30" s="368"/>
      <c r="DD30" s="368"/>
      <c r="DE30" s="368"/>
      <c r="DF30" s="368"/>
      <c r="DG30" s="368"/>
      <c r="DH30" s="368"/>
      <c r="DI30" s="368"/>
      <c r="DJ30" s="368"/>
      <c r="DK30" s="368"/>
      <c r="DL30" s="368"/>
      <c r="DM30" s="368"/>
      <c r="DN30" s="368"/>
      <c r="DO30" s="368"/>
      <c r="DP30" s="368"/>
      <c r="DQ30" s="368"/>
      <c r="DR30" s="368"/>
      <c r="DS30" s="368"/>
      <c r="DT30" s="368"/>
      <c r="DU30" s="368"/>
      <c r="DV30" s="368"/>
      <c r="DW30" s="368"/>
      <c r="DX30" s="368"/>
      <c r="DY30" s="368"/>
      <c r="DZ30" s="368"/>
      <c r="EA30" s="368"/>
      <c r="EB30" s="368"/>
      <c r="EC30" s="368"/>
      <c r="ED30" s="368"/>
      <c r="EE30" s="368"/>
      <c r="EF30" s="368"/>
      <c r="EG30" s="368"/>
      <c r="EH30" s="368"/>
      <c r="EI30" s="368"/>
      <c r="EJ30" s="368"/>
      <c r="EK30" s="368"/>
      <c r="EL30" s="368"/>
      <c r="EM30" s="368"/>
      <c r="EN30" s="368"/>
      <c r="EO30" s="368"/>
      <c r="EP30" s="368"/>
      <c r="EQ30" s="368"/>
      <c r="ER30" s="368"/>
      <c r="ES30" s="368"/>
      <c r="ET30" s="368"/>
      <c r="EU30" s="368"/>
      <c r="EV30" s="368"/>
      <c r="EW30" s="368"/>
      <c r="EX30" s="368"/>
      <c r="EY30" s="368"/>
      <c r="EZ30" s="368"/>
      <c r="FA30" s="368"/>
      <c r="FB30" s="368"/>
      <c r="FC30" s="368"/>
      <c r="FD30" s="368"/>
      <c r="FE30" s="368"/>
      <c r="FF30" s="368"/>
      <c r="FG30" s="368"/>
      <c r="FH30" s="368"/>
      <c r="FI30" s="368"/>
      <c r="FJ30" s="368"/>
      <c r="FK30" s="368"/>
      <c r="FL30" s="368"/>
      <c r="FM30" s="368"/>
      <c r="FN30" s="368"/>
      <c r="FO30" s="368"/>
      <c r="FP30" s="368"/>
      <c r="FQ30" s="368"/>
      <c r="FR30" s="368"/>
      <c r="FS30" s="368"/>
      <c r="FT30" s="368"/>
      <c r="FU30" s="368"/>
      <c r="FV30" s="368"/>
      <c r="FW30" s="368"/>
      <c r="FX30" s="368"/>
      <c r="FY30" s="368"/>
      <c r="FZ30" s="368"/>
      <c r="GA30" s="368"/>
      <c r="GB30" s="368"/>
      <c r="GC30" s="368"/>
      <c r="GD30" s="368"/>
      <c r="GE30" s="368"/>
      <c r="GF30" s="368"/>
      <c r="GG30" s="368"/>
      <c r="GH30" s="368"/>
      <c r="GI30" s="368"/>
      <c r="GJ30" s="368"/>
      <c r="GK30" s="368"/>
      <c r="GL30" s="368"/>
      <c r="GM30" s="368"/>
      <c r="GN30" s="368"/>
      <c r="GO30" s="368"/>
      <c r="GP30" s="368"/>
      <c r="GQ30" s="368"/>
      <c r="GR30" s="368"/>
      <c r="GS30" s="368"/>
      <c r="GT30" s="368"/>
      <c r="GU30" s="368"/>
      <c r="GV30" s="368"/>
      <c r="GW30" s="368"/>
      <c r="GX30" s="368"/>
      <c r="GY30" s="368"/>
      <c r="GZ30" s="368"/>
      <c r="HA30" s="368"/>
      <c r="HB30" s="368"/>
      <c r="HC30" s="368"/>
      <c r="HD30" s="368"/>
      <c r="HE30" s="368"/>
      <c r="HF30" s="368"/>
      <c r="HG30" s="368"/>
      <c r="HH30" s="368"/>
      <c r="HI30" s="368"/>
      <c r="HJ30" s="368"/>
      <c r="HK30" s="368"/>
      <c r="HL30" s="368"/>
      <c r="HM30" s="368"/>
      <c r="HN30" s="368"/>
      <c r="HO30" s="368"/>
      <c r="HP30" s="368"/>
      <c r="HQ30" s="368"/>
      <c r="HR30" s="368"/>
      <c r="HS30" s="368"/>
      <c r="HT30" s="368"/>
      <c r="HU30" s="368"/>
      <c r="HV30" s="368"/>
      <c r="HW30" s="368"/>
      <c r="HX30" s="368"/>
      <c r="HY30" s="368"/>
      <c r="HZ30" s="368"/>
      <c r="IA30" s="368"/>
      <c r="IB30" s="368"/>
      <c r="IC30" s="368"/>
      <c r="ID30" s="368"/>
      <c r="IE30" s="368"/>
      <c r="IF30" s="368"/>
      <c r="IG30" s="368"/>
      <c r="IH30" s="368"/>
      <c r="II30" s="368"/>
      <c r="IJ30" s="368"/>
      <c r="IK30" s="368"/>
      <c r="IL30" s="368"/>
      <c r="IM30" s="368"/>
      <c r="IN30" s="368"/>
      <c r="IO30" s="368"/>
      <c r="IP30" s="368"/>
      <c r="IQ30" s="368"/>
      <c r="IR30" s="368"/>
      <c r="IS30" s="368"/>
      <c r="IT30" s="368"/>
      <c r="IU30" s="368"/>
      <c r="IV30" s="368"/>
      <c r="IW30" s="368"/>
      <c r="IX30" s="368"/>
      <c r="IY30" s="368"/>
      <c r="IZ30" s="368"/>
      <c r="JA30" s="368"/>
      <c r="JB30" s="368"/>
      <c r="JC30" s="368"/>
      <c r="JD30" s="368"/>
      <c r="JE30" s="368"/>
      <c r="JF30" s="368"/>
      <c r="JG30" s="368"/>
      <c r="JH30" s="368"/>
      <c r="JI30" s="368"/>
      <c r="JJ30" s="368"/>
      <c r="JK30" s="368"/>
      <c r="JL30" s="368"/>
      <c r="JM30" s="368"/>
      <c r="JN30" s="368"/>
      <c r="JO30" s="368"/>
      <c r="JP30" s="368"/>
      <c r="JQ30" s="368"/>
      <c r="JR30" s="368"/>
      <c r="JS30" s="368"/>
      <c r="JT30" s="368"/>
      <c r="JU30" s="368"/>
      <c r="JV30" s="368"/>
      <c r="JW30" s="368"/>
      <c r="JX30" s="368"/>
      <c r="JY30" s="368"/>
      <c r="JZ30" s="368"/>
      <c r="KA30" s="368"/>
      <c r="KB30" s="368"/>
      <c r="KC30" s="368"/>
      <c r="KD30" s="368"/>
      <c r="KE30" s="368"/>
      <c r="KF30" s="368"/>
      <c r="KG30" s="368"/>
      <c r="KH30" s="368"/>
      <c r="KI30" s="368"/>
      <c r="KJ30" s="368"/>
      <c r="KK30" s="368"/>
      <c r="KL30" s="368"/>
      <c r="KM30" s="368"/>
      <c r="KN30" s="368"/>
      <c r="KO30" s="368"/>
      <c r="KP30" s="368"/>
      <c r="KQ30" s="368"/>
      <c r="KR30" s="368"/>
      <c r="KS30" s="368"/>
      <c r="KT30" s="368"/>
      <c r="KU30" s="368"/>
      <c r="KV30" s="368"/>
      <c r="KW30" s="368"/>
      <c r="KX30" s="368"/>
      <c r="KY30" s="368"/>
      <c r="KZ30" s="368"/>
      <c r="LA30" s="368"/>
      <c r="LB30" s="368"/>
      <c r="LC30" s="368"/>
      <c r="LD30" s="368"/>
      <c r="LE30" s="368"/>
      <c r="LF30" s="368"/>
      <c r="LG30" s="368"/>
      <c r="LH30" s="368"/>
      <c r="LI30" s="368"/>
      <c r="LJ30" s="368"/>
      <c r="LK30" s="368"/>
      <c r="LL30" s="368"/>
      <c r="LM30" s="368"/>
      <c r="LN30" s="368"/>
      <c r="LO30" s="368"/>
      <c r="LP30" s="368"/>
      <c r="LQ30" s="368"/>
      <c r="LR30" s="368"/>
      <c r="LS30" s="368"/>
      <c r="LT30" s="368"/>
      <c r="LU30" s="368"/>
      <c r="LV30" s="368"/>
      <c r="LW30" s="368"/>
      <c r="LX30" s="368"/>
      <c r="LY30" s="368"/>
      <c r="LZ30" s="368"/>
      <c r="MA30" s="368"/>
      <c r="MB30" s="368"/>
      <c r="MC30" s="368"/>
      <c r="MD30" s="368"/>
      <c r="ME30" s="368"/>
      <c r="MF30" s="368"/>
      <c r="MG30" s="368"/>
      <c r="MH30" s="368"/>
      <c r="MI30" s="368"/>
      <c r="MJ30" s="368"/>
      <c r="MK30" s="368"/>
      <c r="ML30" s="368"/>
      <c r="MM30" s="368"/>
      <c r="MN30" s="368"/>
      <c r="MO30" s="368"/>
      <c r="MP30" s="368"/>
      <c r="MQ30" s="368"/>
      <c r="MR30" s="368"/>
      <c r="MS30" s="368"/>
      <c r="MT30" s="368"/>
      <c r="MU30" s="368"/>
      <c r="MV30" s="368"/>
      <c r="MW30" s="368"/>
      <c r="MX30" s="368"/>
      <c r="MY30" s="368"/>
      <c r="MZ30" s="368"/>
      <c r="NA30" s="368"/>
      <c r="NB30" s="368"/>
      <c r="NC30" s="368"/>
      <c r="ND30" s="368"/>
      <c r="NE30" s="368"/>
      <c r="NF30" s="368"/>
      <c r="NG30" s="368"/>
      <c r="NH30" s="368"/>
      <c r="NI30" s="368"/>
      <c r="NJ30" s="368"/>
      <c r="NK30" s="368"/>
      <c r="NL30" s="368"/>
      <c r="NM30" s="368"/>
      <c r="NN30" s="368"/>
      <c r="NO30" s="368"/>
      <c r="NP30" s="368"/>
      <c r="NQ30" s="368"/>
      <c r="NR30" s="368"/>
      <c r="NS30" s="368"/>
      <c r="NT30" s="368"/>
      <c r="NU30" s="368"/>
      <c r="NV30" s="368"/>
      <c r="NW30" s="368"/>
      <c r="NX30" s="368"/>
      <c r="NY30" s="368"/>
      <c r="NZ30" s="368"/>
      <c r="OA30" s="368"/>
      <c r="OB30" s="368"/>
      <c r="OC30" s="368"/>
      <c r="OD30" s="368"/>
      <c r="OE30" s="368"/>
      <c r="OF30" s="368"/>
      <c r="OG30" s="368"/>
      <c r="OH30" s="368"/>
      <c r="OI30" s="368"/>
      <c r="OJ30" s="368"/>
      <c r="OK30" s="368"/>
      <c r="OL30" s="368"/>
      <c r="OM30" s="368"/>
      <c r="ON30" s="368"/>
      <c r="OO30" s="368"/>
      <c r="OP30" s="368"/>
      <c r="OQ30" s="368"/>
      <c r="OR30" s="368"/>
      <c r="OS30" s="368"/>
      <c r="OT30" s="368"/>
      <c r="OU30" s="368"/>
      <c r="OV30" s="368"/>
      <c r="OW30" s="368"/>
      <c r="OX30" s="368"/>
      <c r="OY30" s="368"/>
      <c r="OZ30" s="368"/>
      <c r="PA30" s="368"/>
      <c r="PB30" s="368"/>
      <c r="PC30" s="368"/>
      <c r="PD30" s="368"/>
      <c r="PE30" s="368"/>
      <c r="PF30" s="368"/>
      <c r="PG30" s="368"/>
      <c r="PH30" s="368"/>
      <c r="PI30" s="368"/>
      <c r="PJ30" s="368"/>
      <c r="PK30" s="368"/>
      <c r="PL30" s="368"/>
      <c r="PM30" s="368"/>
      <c r="PN30" s="368"/>
      <c r="PO30" s="368"/>
      <c r="PP30" s="368"/>
      <c r="PQ30" s="368"/>
      <c r="PR30" s="368"/>
      <c r="PS30" s="368"/>
      <c r="PT30" s="368"/>
      <c r="PU30" s="368"/>
      <c r="PV30" s="368"/>
      <c r="PW30" s="368"/>
      <c r="PX30" s="368"/>
      <c r="PY30" s="368"/>
      <c r="PZ30" s="368"/>
      <c r="QA30" s="368"/>
      <c r="QB30" s="368"/>
      <c r="QC30" s="368"/>
      <c r="QD30" s="368"/>
      <c r="QE30" s="368"/>
      <c r="QF30" s="368"/>
      <c r="QG30" s="368"/>
      <c r="QH30" s="368"/>
      <c r="QI30" s="368"/>
      <c r="QJ30" s="368"/>
      <c r="QK30" s="368"/>
      <c r="QL30" s="368"/>
      <c r="QM30" s="368"/>
      <c r="QN30" s="368"/>
      <c r="QO30" s="368"/>
      <c r="QP30" s="368"/>
      <c r="QQ30" s="368"/>
      <c r="QR30" s="368"/>
      <c r="QS30" s="368"/>
      <c r="QT30" s="368"/>
      <c r="QU30" s="368"/>
      <c r="QV30" s="368"/>
      <c r="QW30" s="368"/>
      <c r="QX30" s="368"/>
      <c r="QY30" s="368"/>
      <c r="QZ30" s="368"/>
      <c r="RA30" s="368"/>
      <c r="RB30" s="368"/>
      <c r="RC30" s="368"/>
      <c r="RD30" s="368"/>
      <c r="RE30" s="368"/>
      <c r="RF30" s="368"/>
      <c r="RG30" s="368"/>
      <c r="RH30" s="368"/>
      <c r="RI30" s="368"/>
      <c r="RJ30" s="368"/>
      <c r="RK30" s="368"/>
      <c r="RL30" s="368"/>
      <c r="RM30" s="368"/>
      <c r="RN30" s="368"/>
      <c r="RO30" s="368"/>
      <c r="RP30" s="368"/>
      <c r="RQ30" s="368"/>
      <c r="RR30" s="368"/>
      <c r="RS30" s="368"/>
      <c r="RT30" s="368"/>
      <c r="RU30" s="368"/>
      <c r="RV30" s="368"/>
      <c r="RW30" s="368"/>
      <c r="RX30" s="368"/>
      <c r="RY30" s="368"/>
      <c r="RZ30" s="368"/>
      <c r="SA30" s="368"/>
      <c r="SB30" s="368"/>
      <c r="SC30" s="368"/>
      <c r="SD30" s="368"/>
      <c r="SE30" s="368"/>
      <c r="SF30" s="368"/>
      <c r="SG30" s="368"/>
      <c r="SH30" s="368"/>
      <c r="SI30" s="368"/>
      <c r="SJ30" s="368"/>
      <c r="SK30" s="368"/>
      <c r="SL30" s="368"/>
      <c r="SM30" s="368"/>
      <c r="SN30" s="368"/>
      <c r="SO30" s="368"/>
      <c r="SP30" s="368"/>
      <c r="SQ30" s="368"/>
      <c r="SR30" s="368"/>
      <c r="SS30" s="368"/>
      <c r="ST30" s="368"/>
      <c r="SU30" s="368"/>
      <c r="SV30" s="368"/>
      <c r="SW30" s="368"/>
      <c r="SX30" s="368"/>
      <c r="SY30" s="368"/>
      <c r="SZ30" s="368"/>
      <c r="TA30" s="368"/>
      <c r="TB30" s="368"/>
      <c r="TC30" s="368"/>
      <c r="TD30" s="368"/>
      <c r="TE30" s="368"/>
      <c r="TF30" s="368"/>
      <c r="TG30" s="368"/>
      <c r="TH30" s="368"/>
      <c r="TI30" s="368"/>
      <c r="TJ30" s="368"/>
      <c r="TK30" s="368"/>
      <c r="TL30" s="368"/>
      <c r="TM30" s="368"/>
      <c r="TN30" s="368"/>
      <c r="TO30" s="368"/>
      <c r="TP30" s="368"/>
      <c r="TQ30" s="368"/>
      <c r="TR30" s="368"/>
      <c r="TS30" s="368"/>
      <c r="TT30" s="368"/>
      <c r="TU30" s="368"/>
      <c r="TV30" s="368"/>
      <c r="TW30" s="368"/>
      <c r="TX30" s="368"/>
      <c r="TY30" s="368"/>
      <c r="TZ30" s="368"/>
      <c r="UA30" s="368"/>
      <c r="UB30" s="368"/>
      <c r="UC30" s="368"/>
      <c r="UD30" s="368"/>
      <c r="UE30" s="368"/>
      <c r="UF30" s="368"/>
      <c r="UG30" s="368"/>
      <c r="UH30" s="368"/>
      <c r="UI30" s="368"/>
      <c r="UJ30" s="368"/>
      <c r="UK30" s="368"/>
      <c r="UL30" s="368"/>
      <c r="UM30" s="368"/>
      <c r="UN30" s="368"/>
      <c r="UO30" s="368"/>
      <c r="UP30" s="368"/>
      <c r="UQ30" s="368"/>
      <c r="UR30" s="368"/>
      <c r="US30" s="368"/>
      <c r="UT30" s="368"/>
      <c r="UU30" s="368"/>
      <c r="UV30" s="368"/>
      <c r="UW30" s="368"/>
      <c r="UX30" s="368"/>
      <c r="UY30" s="368"/>
      <c r="UZ30" s="368"/>
      <c r="VA30" s="368"/>
      <c r="VB30" s="368"/>
      <c r="VC30" s="368"/>
      <c r="VD30" s="368"/>
      <c r="VE30" s="368"/>
      <c r="VF30" s="368"/>
      <c r="VG30" s="368"/>
      <c r="VH30" s="368"/>
      <c r="VI30" s="368"/>
      <c r="VJ30" s="368"/>
      <c r="VK30" s="368"/>
      <c r="VL30" s="368"/>
      <c r="VM30" s="368"/>
      <c r="VN30" s="368"/>
      <c r="VO30" s="368"/>
      <c r="VP30" s="368"/>
      <c r="VQ30" s="368"/>
      <c r="VR30" s="368"/>
      <c r="VS30" s="368"/>
      <c r="VT30" s="368"/>
      <c r="VU30" s="368"/>
      <c r="VV30" s="368"/>
      <c r="VW30" s="368"/>
      <c r="VX30" s="368"/>
      <c r="VY30" s="368"/>
      <c r="VZ30" s="368"/>
      <c r="WA30" s="368"/>
      <c r="WB30" s="368"/>
      <c r="WC30" s="368"/>
      <c r="WD30" s="368"/>
      <c r="WE30" s="368"/>
      <c r="WF30" s="368"/>
      <c r="WG30" s="368"/>
      <c r="WH30" s="368"/>
      <c r="WI30" s="368"/>
      <c r="WJ30" s="368"/>
      <c r="WK30" s="368"/>
      <c r="WL30" s="368"/>
      <c r="WM30" s="368"/>
      <c r="WN30" s="368"/>
      <c r="WO30" s="368"/>
      <c r="WP30" s="368"/>
      <c r="WQ30" s="368"/>
      <c r="WR30" s="368"/>
      <c r="WS30" s="368"/>
      <c r="WT30" s="368"/>
      <c r="WU30" s="368"/>
      <c r="WV30" s="368"/>
      <c r="WW30" s="368"/>
      <c r="WX30" s="368"/>
      <c r="WY30" s="368"/>
      <c r="WZ30" s="368"/>
      <c r="XA30" s="368"/>
      <c r="XB30" s="368"/>
      <c r="XC30" s="368"/>
      <c r="XD30" s="368"/>
      <c r="XE30" s="368"/>
      <c r="XF30" s="368"/>
      <c r="XG30" s="368"/>
      <c r="XH30" s="368"/>
      <c r="XI30" s="368"/>
      <c r="XJ30" s="368"/>
      <c r="XK30" s="368"/>
      <c r="XL30" s="368"/>
      <c r="XM30" s="368"/>
      <c r="XN30" s="368"/>
      <c r="XO30" s="368"/>
      <c r="XP30" s="368"/>
      <c r="XQ30" s="368"/>
      <c r="XR30" s="368"/>
      <c r="XS30" s="368"/>
      <c r="XT30" s="368"/>
      <c r="XU30" s="368"/>
      <c r="XV30" s="368"/>
      <c r="XW30" s="368"/>
      <c r="XX30" s="368"/>
      <c r="XY30" s="368"/>
      <c r="XZ30" s="368"/>
      <c r="YA30" s="368"/>
      <c r="YB30" s="368"/>
      <c r="YC30" s="368"/>
      <c r="YD30" s="368"/>
      <c r="YE30" s="368"/>
      <c r="YF30" s="368"/>
      <c r="YG30" s="368"/>
      <c r="YH30" s="368"/>
      <c r="YI30" s="368"/>
      <c r="YJ30" s="368"/>
      <c r="YK30" s="368"/>
      <c r="YL30" s="368"/>
      <c r="YM30" s="368"/>
      <c r="YN30" s="368"/>
      <c r="YO30" s="368"/>
      <c r="YP30" s="368"/>
      <c r="YQ30" s="368"/>
      <c r="YR30" s="368"/>
      <c r="YS30" s="368"/>
      <c r="YT30" s="368"/>
      <c r="YU30" s="368"/>
      <c r="YV30" s="368"/>
      <c r="YW30" s="368"/>
      <c r="YX30" s="368"/>
      <c r="YY30" s="368"/>
      <c r="YZ30" s="368"/>
      <c r="ZA30" s="368"/>
      <c r="ZB30" s="368"/>
      <c r="ZC30" s="368"/>
      <c r="ZD30" s="368"/>
      <c r="ZE30" s="368"/>
      <c r="ZF30" s="368"/>
      <c r="ZG30" s="368"/>
      <c r="ZH30" s="368"/>
      <c r="ZI30" s="368"/>
      <c r="ZJ30" s="368"/>
      <c r="ZK30" s="368"/>
      <c r="ZL30" s="368"/>
      <c r="ZM30" s="368"/>
      <c r="ZN30" s="368"/>
      <c r="ZO30" s="368"/>
      <c r="ZP30" s="368"/>
      <c r="ZQ30" s="368"/>
      <c r="ZR30" s="368"/>
      <c r="ZS30" s="368"/>
      <c r="ZT30" s="368"/>
      <c r="ZU30" s="368"/>
      <c r="ZV30" s="368"/>
      <c r="ZW30" s="368"/>
      <c r="ZX30" s="368"/>
      <c r="ZY30" s="368"/>
      <c r="ZZ30" s="368"/>
      <c r="AAA30" s="368"/>
      <c r="AAB30" s="368"/>
      <c r="AAC30" s="368"/>
      <c r="AAD30" s="368"/>
      <c r="AAE30" s="368"/>
      <c r="AAF30" s="368"/>
      <c r="AAG30" s="368"/>
      <c r="AAH30" s="368"/>
      <c r="AAI30" s="368"/>
      <c r="AAJ30" s="368"/>
      <c r="AAK30" s="368"/>
      <c r="AAL30" s="368"/>
      <c r="AAM30" s="368"/>
      <c r="AAN30" s="368"/>
      <c r="AAO30" s="368"/>
      <c r="AAP30" s="368"/>
      <c r="AAQ30" s="368"/>
      <c r="AAR30" s="368"/>
      <c r="AAS30" s="368"/>
      <c r="AAT30" s="368"/>
      <c r="AAU30" s="368"/>
      <c r="AAV30" s="368"/>
      <c r="AAW30" s="368"/>
      <c r="AAX30" s="368"/>
      <c r="AAY30" s="368"/>
      <c r="AAZ30" s="368"/>
      <c r="ABA30" s="368"/>
      <c r="ABB30" s="368"/>
      <c r="ABC30" s="368"/>
      <c r="ABD30" s="368"/>
      <c r="ABE30" s="368"/>
      <c r="ABF30" s="368"/>
      <c r="ABG30" s="368"/>
      <c r="ABH30" s="368"/>
      <c r="ABI30" s="368"/>
      <c r="ABJ30" s="368"/>
      <c r="ABK30" s="368"/>
      <c r="ABL30" s="368"/>
      <c r="ABM30" s="368"/>
      <c r="ABN30" s="368"/>
      <c r="ABO30" s="368"/>
      <c r="ABP30" s="368"/>
      <c r="ABQ30" s="368"/>
      <c r="ABR30" s="368"/>
      <c r="ABS30" s="368"/>
      <c r="ABT30" s="368"/>
      <c r="ABU30" s="368"/>
      <c r="ABV30" s="368"/>
      <c r="ABW30" s="368"/>
      <c r="ABX30" s="368"/>
      <c r="ABY30" s="368"/>
      <c r="ABZ30" s="368"/>
      <c r="ACA30" s="368"/>
      <c r="ACB30" s="368"/>
      <c r="ACC30" s="368"/>
      <c r="ACD30" s="368"/>
      <c r="ACE30" s="368"/>
      <c r="ACF30" s="368"/>
      <c r="ACG30" s="368"/>
      <c r="ACH30" s="368"/>
      <c r="ACI30" s="368"/>
      <c r="ACJ30" s="368"/>
      <c r="ACK30" s="368"/>
      <c r="ACL30" s="368"/>
      <c r="ACM30" s="368"/>
      <c r="ACN30" s="368"/>
      <c r="ACO30" s="368"/>
      <c r="ACP30" s="368"/>
      <c r="ACQ30" s="368"/>
      <c r="ACR30" s="368"/>
      <c r="ACS30" s="368"/>
      <c r="ACT30" s="368"/>
      <c r="ACU30" s="368"/>
      <c r="ACV30" s="368"/>
      <c r="ACW30" s="368"/>
      <c r="ACX30" s="368"/>
      <c r="ACY30" s="368"/>
      <c r="ACZ30" s="368"/>
      <c r="ADA30" s="368"/>
      <c r="ADB30" s="368"/>
      <c r="ADC30" s="368"/>
      <c r="ADD30" s="368"/>
      <c r="ADE30" s="368"/>
      <c r="ADF30" s="368"/>
      <c r="ADG30" s="368"/>
      <c r="ADH30" s="368"/>
      <c r="ADI30" s="368"/>
      <c r="ADJ30" s="368"/>
      <c r="ADK30" s="368"/>
      <c r="ADL30" s="368"/>
      <c r="ADM30" s="368"/>
      <c r="ADN30" s="368"/>
      <c r="ADO30" s="368"/>
      <c r="ADP30" s="368"/>
      <c r="ADQ30" s="368"/>
      <c r="ADR30" s="368"/>
      <c r="ADS30" s="368"/>
      <c r="ADT30" s="368"/>
      <c r="ADU30" s="368"/>
      <c r="ADV30" s="368"/>
      <c r="ADW30" s="368"/>
      <c r="ADX30" s="368"/>
      <c r="ADY30" s="368"/>
      <c r="ADZ30" s="368"/>
      <c r="AEA30" s="368"/>
      <c r="AEB30" s="368"/>
      <c r="AEC30" s="368"/>
      <c r="AED30" s="368"/>
      <c r="AEE30" s="368"/>
      <c r="AEF30" s="368"/>
      <c r="AEG30" s="368"/>
      <c r="AEH30" s="368"/>
      <c r="AEI30" s="368"/>
      <c r="AEJ30" s="368"/>
      <c r="AEK30" s="368"/>
      <c r="AEL30" s="368"/>
      <c r="AEM30" s="368"/>
      <c r="AEN30" s="368"/>
      <c r="AEO30" s="368"/>
      <c r="AEP30" s="368"/>
      <c r="AEQ30" s="368"/>
      <c r="AER30" s="368"/>
      <c r="AES30" s="368"/>
      <c r="AET30" s="368"/>
      <c r="AEU30" s="368"/>
      <c r="AEV30" s="368"/>
      <c r="AEW30" s="368"/>
      <c r="AEX30" s="368"/>
      <c r="AEY30" s="368"/>
      <c r="AEZ30" s="368"/>
      <c r="AFA30" s="368"/>
      <c r="AFB30" s="368"/>
      <c r="AFC30" s="368"/>
      <c r="AFD30" s="368"/>
      <c r="AFE30" s="368"/>
      <c r="AFF30" s="368"/>
      <c r="AFG30" s="368"/>
      <c r="AFH30" s="368"/>
      <c r="AFI30" s="368"/>
      <c r="AFJ30" s="368"/>
      <c r="AFK30" s="368"/>
      <c r="AFL30" s="368"/>
      <c r="AFM30" s="368"/>
      <c r="AFN30" s="368"/>
      <c r="AFO30" s="368"/>
      <c r="AFP30" s="368"/>
      <c r="AFQ30" s="368"/>
      <c r="AFR30" s="368"/>
      <c r="AFS30" s="368"/>
      <c r="AFT30" s="368"/>
      <c r="AFU30" s="368"/>
      <c r="AFV30" s="368"/>
      <c r="AFW30" s="368"/>
      <c r="AFX30" s="368"/>
      <c r="AFY30" s="368"/>
      <c r="AFZ30" s="368"/>
      <c r="AGA30" s="368"/>
      <c r="AGB30" s="368"/>
      <c r="AGC30" s="368"/>
      <c r="AGD30" s="368"/>
      <c r="AGE30" s="368"/>
      <c r="AGF30" s="368"/>
      <c r="AGG30" s="368"/>
      <c r="AGH30" s="368"/>
      <c r="AGI30" s="368"/>
      <c r="AGJ30" s="368"/>
      <c r="AGK30" s="368"/>
      <c r="AGL30" s="368"/>
      <c r="AGM30" s="368"/>
      <c r="AGN30" s="368"/>
      <c r="AGO30" s="368"/>
      <c r="AGP30" s="368"/>
      <c r="AGQ30" s="368"/>
      <c r="AGR30" s="368"/>
      <c r="AGS30" s="368"/>
      <c r="AGT30" s="368"/>
      <c r="AGU30" s="368"/>
      <c r="AGV30" s="368"/>
      <c r="AGW30" s="368"/>
      <c r="AGX30" s="368"/>
      <c r="AGY30" s="368"/>
      <c r="AGZ30" s="368"/>
      <c r="AHA30" s="368"/>
      <c r="AHB30" s="368"/>
      <c r="AHC30" s="368"/>
      <c r="AHD30" s="368"/>
      <c r="AHE30" s="368"/>
      <c r="AHF30" s="368"/>
      <c r="AHG30" s="368"/>
      <c r="AHH30" s="368"/>
      <c r="AHI30" s="368"/>
      <c r="AHJ30" s="368"/>
      <c r="AHK30" s="368"/>
      <c r="AHL30" s="368"/>
      <c r="AHM30" s="368"/>
      <c r="AHN30" s="368"/>
      <c r="AHO30" s="368"/>
      <c r="AHP30" s="368"/>
      <c r="AHQ30" s="368"/>
      <c r="AHR30" s="368"/>
      <c r="AHS30" s="368"/>
      <c r="AHT30" s="368"/>
      <c r="AHU30" s="368"/>
      <c r="AHV30" s="368"/>
      <c r="AHW30" s="368"/>
      <c r="AHX30" s="368"/>
      <c r="AHY30" s="368"/>
      <c r="AHZ30" s="368"/>
      <c r="AIA30" s="368"/>
      <c r="AIB30" s="368"/>
      <c r="AIC30" s="368"/>
      <c r="AID30" s="368"/>
      <c r="AIE30" s="368"/>
      <c r="AIF30" s="368"/>
      <c r="AIG30" s="368"/>
      <c r="AIH30" s="368"/>
      <c r="AII30" s="368"/>
      <c r="AIJ30" s="368"/>
      <c r="AIK30" s="368"/>
      <c r="AIL30" s="368"/>
      <c r="AIM30" s="368"/>
      <c r="AIN30" s="368"/>
      <c r="AIO30" s="368"/>
      <c r="AIP30" s="368"/>
      <c r="AIQ30" s="368"/>
      <c r="AIR30" s="368"/>
      <c r="AIS30" s="368"/>
      <c r="AIT30" s="368"/>
      <c r="AIU30" s="368"/>
      <c r="AIV30" s="368"/>
      <c r="AIW30" s="368"/>
      <c r="AIX30" s="368"/>
      <c r="AIY30" s="368"/>
      <c r="AIZ30" s="368"/>
      <c r="AJA30" s="368"/>
      <c r="AJB30" s="368"/>
      <c r="AJC30" s="368"/>
      <c r="AJD30" s="368"/>
      <c r="AJE30" s="368"/>
      <c r="AJF30" s="368"/>
      <c r="AJG30" s="368"/>
      <c r="AJH30" s="368"/>
      <c r="AJI30" s="368"/>
      <c r="AJJ30" s="368"/>
      <c r="AJK30" s="368"/>
      <c r="AJL30" s="368"/>
      <c r="AJM30" s="368"/>
      <c r="AJN30" s="368"/>
      <c r="AJO30" s="368"/>
      <c r="AJP30" s="368"/>
      <c r="AJQ30" s="368"/>
      <c r="AJR30" s="368"/>
      <c r="AJS30" s="368"/>
      <c r="AJT30" s="368"/>
      <c r="AJU30" s="368"/>
      <c r="AJV30" s="368"/>
      <c r="AJW30" s="368"/>
      <c r="AJX30" s="368"/>
      <c r="AJY30" s="368"/>
      <c r="AJZ30" s="368"/>
      <c r="AKA30" s="368"/>
      <c r="AKB30" s="368"/>
      <c r="AKC30" s="368"/>
      <c r="AKD30" s="368"/>
      <c r="AKE30" s="368"/>
      <c r="AKF30" s="368"/>
      <c r="AKG30" s="368"/>
      <c r="AKH30" s="368"/>
      <c r="AKI30" s="368"/>
      <c r="AKJ30" s="368"/>
      <c r="AKK30" s="368"/>
      <c r="AKL30" s="368"/>
      <c r="AKM30" s="368"/>
      <c r="AKN30" s="368"/>
      <c r="AKO30" s="368"/>
      <c r="AKP30" s="368"/>
      <c r="AKQ30" s="368"/>
      <c r="AKR30" s="368"/>
      <c r="AKS30" s="368"/>
      <c r="AKT30" s="368"/>
      <c r="AKU30" s="368"/>
      <c r="AKV30" s="368"/>
      <c r="AKW30" s="368"/>
      <c r="AKX30" s="368"/>
      <c r="AKY30" s="368"/>
      <c r="AKZ30" s="368"/>
      <c r="ALA30" s="368"/>
      <c r="ALB30" s="368"/>
      <c r="ALC30" s="368"/>
      <c r="ALD30" s="368"/>
      <c r="ALE30" s="368"/>
      <c r="ALF30" s="368"/>
      <c r="ALG30" s="368"/>
      <c r="ALH30" s="368"/>
      <c r="ALI30" s="368"/>
      <c r="ALJ30" s="368"/>
      <c r="ALK30" s="368"/>
      <c r="ALL30" s="368"/>
      <c r="ALM30" s="368"/>
      <c r="ALN30" s="368"/>
      <c r="ALO30" s="368"/>
      <c r="ALP30" s="368"/>
      <c r="ALQ30" s="368"/>
      <c r="ALR30" s="368"/>
      <c r="ALS30" s="368"/>
      <c r="ALT30" s="368"/>
      <c r="ALU30" s="368"/>
      <c r="ALV30" s="368"/>
      <c r="ALW30" s="368"/>
      <c r="ALX30" s="368"/>
      <c r="ALY30" s="368"/>
      <c r="ALZ30" s="368"/>
      <c r="AMA30" s="368"/>
      <c r="AMB30" s="368"/>
      <c r="AMC30" s="368"/>
      <c r="AMD30" s="368"/>
      <c r="AME30" s="368"/>
      <c r="AMF30" s="368"/>
      <c r="AMG30" s="368"/>
      <c r="AMH30" s="368"/>
      <c r="AMI30" s="368"/>
      <c r="AMJ30" s="368"/>
    </row>
    <row r="31" spans="1:1024" ht="7.5" customHeight="1">
      <c r="A31" s="368"/>
      <c r="B31" s="765"/>
      <c r="C31" s="766"/>
      <c r="D31" s="766"/>
      <c r="E31" s="766"/>
      <c r="F31" s="766"/>
      <c r="G31" s="766"/>
      <c r="H31" s="767"/>
      <c r="I31" s="368"/>
      <c r="J31" s="368"/>
      <c r="K31" s="368"/>
      <c r="L31" s="368"/>
      <c r="M31" s="368"/>
      <c r="N31" s="368"/>
      <c r="O31" s="368"/>
      <c r="P31" s="368"/>
      <c r="Q31" s="368"/>
      <c r="R31" s="368"/>
      <c r="S31" s="368"/>
      <c r="T31" s="368"/>
      <c r="U31" s="368"/>
      <c r="V31" s="368"/>
      <c r="W31" s="368"/>
      <c r="X31" s="368"/>
      <c r="Y31" s="368"/>
      <c r="Z31" s="368"/>
      <c r="AA31" s="368"/>
      <c r="AB31" s="368"/>
      <c r="AC31" s="368"/>
      <c r="AD31" s="368"/>
      <c r="AE31" s="368"/>
      <c r="AF31" s="368"/>
      <c r="AG31" s="368"/>
      <c r="AH31" s="368"/>
      <c r="AI31" s="368"/>
      <c r="AJ31" s="368"/>
      <c r="AK31" s="368"/>
      <c r="AL31" s="368"/>
      <c r="AM31" s="368"/>
      <c r="AN31" s="368"/>
      <c r="AO31" s="368"/>
      <c r="AP31" s="368"/>
      <c r="AQ31" s="368"/>
      <c r="AR31" s="368"/>
      <c r="AS31" s="368"/>
      <c r="AT31" s="368"/>
      <c r="AU31" s="368"/>
      <c r="AV31" s="368"/>
      <c r="AW31" s="368"/>
      <c r="AX31" s="368"/>
      <c r="AY31" s="368"/>
      <c r="AZ31" s="368"/>
      <c r="BA31" s="368"/>
      <c r="BB31" s="368"/>
      <c r="BC31" s="368"/>
      <c r="BD31" s="368"/>
      <c r="BE31" s="368"/>
      <c r="BF31" s="368"/>
      <c r="BG31" s="368"/>
      <c r="BH31" s="368"/>
      <c r="BI31" s="368"/>
      <c r="BJ31" s="368"/>
      <c r="BK31" s="368"/>
      <c r="BL31" s="368"/>
      <c r="BM31" s="368"/>
      <c r="BN31" s="368"/>
      <c r="BO31" s="368"/>
      <c r="BP31" s="368"/>
      <c r="BQ31" s="368"/>
      <c r="BR31" s="368"/>
      <c r="BS31" s="368"/>
      <c r="BT31" s="368"/>
      <c r="BU31" s="368"/>
      <c r="BV31" s="368"/>
      <c r="BW31" s="368"/>
      <c r="BX31" s="368"/>
      <c r="BY31" s="368"/>
      <c r="BZ31" s="368"/>
      <c r="CA31" s="368"/>
      <c r="CB31" s="368"/>
      <c r="CC31" s="368"/>
      <c r="CD31" s="368"/>
      <c r="CE31" s="368"/>
      <c r="CF31" s="368"/>
      <c r="CG31" s="368"/>
      <c r="CH31" s="368"/>
      <c r="CI31" s="368"/>
      <c r="CJ31" s="368"/>
      <c r="CK31" s="368"/>
      <c r="CL31" s="368"/>
      <c r="CM31" s="368"/>
      <c r="CN31" s="368"/>
      <c r="CO31" s="368"/>
      <c r="CP31" s="368"/>
      <c r="CQ31" s="368"/>
      <c r="CR31" s="368"/>
      <c r="CS31" s="368"/>
      <c r="CT31" s="368"/>
      <c r="CU31" s="368"/>
      <c r="CV31" s="368"/>
      <c r="CW31" s="368"/>
      <c r="CX31" s="368"/>
      <c r="CY31" s="368"/>
      <c r="CZ31" s="368"/>
      <c r="DA31" s="368"/>
      <c r="DB31" s="368"/>
      <c r="DC31" s="368"/>
      <c r="DD31" s="368"/>
      <c r="DE31" s="368"/>
      <c r="DF31" s="368"/>
      <c r="DG31" s="368"/>
      <c r="DH31" s="368"/>
      <c r="DI31" s="368"/>
      <c r="DJ31" s="368"/>
      <c r="DK31" s="368"/>
      <c r="DL31" s="368"/>
      <c r="DM31" s="368"/>
      <c r="DN31" s="368"/>
      <c r="DO31" s="368"/>
      <c r="DP31" s="368"/>
      <c r="DQ31" s="368"/>
      <c r="DR31" s="368"/>
      <c r="DS31" s="368"/>
      <c r="DT31" s="368"/>
      <c r="DU31" s="368"/>
      <c r="DV31" s="368"/>
      <c r="DW31" s="368"/>
      <c r="DX31" s="368"/>
      <c r="DY31" s="368"/>
      <c r="DZ31" s="368"/>
      <c r="EA31" s="368"/>
      <c r="EB31" s="368"/>
      <c r="EC31" s="368"/>
      <c r="ED31" s="368"/>
      <c r="EE31" s="368"/>
      <c r="EF31" s="368"/>
      <c r="EG31" s="368"/>
      <c r="EH31" s="368"/>
      <c r="EI31" s="368"/>
      <c r="EJ31" s="368"/>
      <c r="EK31" s="368"/>
      <c r="EL31" s="368"/>
      <c r="EM31" s="368"/>
      <c r="EN31" s="368"/>
      <c r="EO31" s="368"/>
      <c r="EP31" s="368"/>
      <c r="EQ31" s="368"/>
      <c r="ER31" s="368"/>
      <c r="ES31" s="368"/>
      <c r="ET31" s="368"/>
      <c r="EU31" s="368"/>
      <c r="EV31" s="368"/>
      <c r="EW31" s="368"/>
      <c r="EX31" s="368"/>
      <c r="EY31" s="368"/>
      <c r="EZ31" s="368"/>
      <c r="FA31" s="368"/>
      <c r="FB31" s="368"/>
      <c r="FC31" s="368"/>
      <c r="FD31" s="368"/>
      <c r="FE31" s="368"/>
      <c r="FF31" s="368"/>
      <c r="FG31" s="368"/>
      <c r="FH31" s="368"/>
      <c r="FI31" s="368"/>
      <c r="FJ31" s="368"/>
      <c r="FK31" s="368"/>
      <c r="FL31" s="368"/>
      <c r="FM31" s="368"/>
      <c r="FN31" s="368"/>
      <c r="FO31" s="368"/>
      <c r="FP31" s="368"/>
      <c r="FQ31" s="368"/>
      <c r="FR31" s="368"/>
      <c r="FS31" s="368"/>
      <c r="FT31" s="368"/>
      <c r="FU31" s="368"/>
      <c r="FV31" s="368"/>
      <c r="FW31" s="368"/>
      <c r="FX31" s="368"/>
      <c r="FY31" s="368"/>
      <c r="FZ31" s="368"/>
      <c r="GA31" s="368"/>
      <c r="GB31" s="368"/>
      <c r="GC31" s="368"/>
      <c r="GD31" s="368"/>
      <c r="GE31" s="368"/>
      <c r="GF31" s="368"/>
      <c r="GG31" s="368"/>
      <c r="GH31" s="368"/>
      <c r="GI31" s="368"/>
      <c r="GJ31" s="368"/>
      <c r="GK31" s="368"/>
      <c r="GL31" s="368"/>
      <c r="GM31" s="368"/>
      <c r="GN31" s="368"/>
      <c r="GO31" s="368"/>
      <c r="GP31" s="368"/>
      <c r="GQ31" s="368"/>
      <c r="GR31" s="368"/>
      <c r="GS31" s="368"/>
      <c r="GT31" s="368"/>
      <c r="GU31" s="368"/>
      <c r="GV31" s="368"/>
      <c r="GW31" s="368"/>
      <c r="GX31" s="368"/>
      <c r="GY31" s="368"/>
      <c r="GZ31" s="368"/>
      <c r="HA31" s="368"/>
      <c r="HB31" s="368"/>
      <c r="HC31" s="368"/>
      <c r="HD31" s="368"/>
      <c r="HE31" s="368"/>
      <c r="HF31" s="368"/>
      <c r="HG31" s="368"/>
      <c r="HH31" s="368"/>
      <c r="HI31" s="368"/>
      <c r="HJ31" s="368"/>
      <c r="HK31" s="368"/>
      <c r="HL31" s="368"/>
      <c r="HM31" s="368"/>
      <c r="HN31" s="368"/>
      <c r="HO31" s="368"/>
      <c r="HP31" s="368"/>
      <c r="HQ31" s="368"/>
      <c r="HR31" s="368"/>
      <c r="HS31" s="368"/>
      <c r="HT31" s="368"/>
      <c r="HU31" s="368"/>
      <c r="HV31" s="368"/>
      <c r="HW31" s="368"/>
      <c r="HX31" s="368"/>
      <c r="HY31" s="368"/>
      <c r="HZ31" s="368"/>
      <c r="IA31" s="368"/>
      <c r="IB31" s="368"/>
      <c r="IC31" s="368"/>
      <c r="ID31" s="368"/>
      <c r="IE31" s="368"/>
      <c r="IF31" s="368"/>
      <c r="IG31" s="368"/>
      <c r="IH31" s="368"/>
      <c r="II31" s="368"/>
      <c r="IJ31" s="368"/>
      <c r="IK31" s="368"/>
      <c r="IL31" s="368"/>
      <c r="IM31" s="368"/>
      <c r="IN31" s="368"/>
      <c r="IO31" s="368"/>
      <c r="IP31" s="368"/>
      <c r="IQ31" s="368"/>
      <c r="IR31" s="368"/>
      <c r="IS31" s="368"/>
      <c r="IT31" s="368"/>
      <c r="IU31" s="368"/>
      <c r="IV31" s="368"/>
      <c r="IW31" s="368"/>
      <c r="IX31" s="368"/>
      <c r="IY31" s="368"/>
      <c r="IZ31" s="368"/>
      <c r="JA31" s="368"/>
      <c r="JB31" s="368"/>
      <c r="JC31" s="368"/>
      <c r="JD31" s="368"/>
      <c r="JE31" s="368"/>
      <c r="JF31" s="368"/>
      <c r="JG31" s="368"/>
      <c r="JH31" s="368"/>
      <c r="JI31" s="368"/>
      <c r="JJ31" s="368"/>
      <c r="JK31" s="368"/>
      <c r="JL31" s="368"/>
      <c r="JM31" s="368"/>
      <c r="JN31" s="368"/>
      <c r="JO31" s="368"/>
      <c r="JP31" s="368"/>
      <c r="JQ31" s="368"/>
      <c r="JR31" s="368"/>
      <c r="JS31" s="368"/>
      <c r="JT31" s="368"/>
      <c r="JU31" s="368"/>
      <c r="JV31" s="368"/>
      <c r="JW31" s="368"/>
      <c r="JX31" s="368"/>
      <c r="JY31" s="368"/>
      <c r="JZ31" s="368"/>
      <c r="KA31" s="368"/>
      <c r="KB31" s="368"/>
      <c r="KC31" s="368"/>
      <c r="KD31" s="368"/>
      <c r="KE31" s="368"/>
      <c r="KF31" s="368"/>
      <c r="KG31" s="368"/>
      <c r="KH31" s="368"/>
      <c r="KI31" s="368"/>
      <c r="KJ31" s="368"/>
      <c r="KK31" s="368"/>
      <c r="KL31" s="368"/>
      <c r="KM31" s="368"/>
      <c r="KN31" s="368"/>
      <c r="KO31" s="368"/>
      <c r="KP31" s="368"/>
      <c r="KQ31" s="368"/>
      <c r="KR31" s="368"/>
      <c r="KS31" s="368"/>
      <c r="KT31" s="368"/>
      <c r="KU31" s="368"/>
      <c r="KV31" s="368"/>
      <c r="KW31" s="368"/>
      <c r="KX31" s="368"/>
      <c r="KY31" s="368"/>
      <c r="KZ31" s="368"/>
      <c r="LA31" s="368"/>
      <c r="LB31" s="368"/>
      <c r="LC31" s="368"/>
      <c r="LD31" s="368"/>
      <c r="LE31" s="368"/>
      <c r="LF31" s="368"/>
      <c r="LG31" s="368"/>
      <c r="LH31" s="368"/>
      <c r="LI31" s="368"/>
      <c r="LJ31" s="368"/>
      <c r="LK31" s="368"/>
      <c r="LL31" s="368"/>
      <c r="LM31" s="368"/>
      <c r="LN31" s="368"/>
      <c r="LO31" s="368"/>
      <c r="LP31" s="368"/>
      <c r="LQ31" s="368"/>
      <c r="LR31" s="368"/>
      <c r="LS31" s="368"/>
      <c r="LT31" s="368"/>
      <c r="LU31" s="368"/>
      <c r="LV31" s="368"/>
      <c r="LW31" s="368"/>
      <c r="LX31" s="368"/>
      <c r="LY31" s="368"/>
      <c r="LZ31" s="368"/>
      <c r="MA31" s="368"/>
      <c r="MB31" s="368"/>
      <c r="MC31" s="368"/>
      <c r="MD31" s="368"/>
      <c r="ME31" s="368"/>
      <c r="MF31" s="368"/>
      <c r="MG31" s="368"/>
      <c r="MH31" s="368"/>
      <c r="MI31" s="368"/>
      <c r="MJ31" s="368"/>
      <c r="MK31" s="368"/>
      <c r="ML31" s="368"/>
      <c r="MM31" s="368"/>
      <c r="MN31" s="368"/>
      <c r="MO31" s="368"/>
      <c r="MP31" s="368"/>
      <c r="MQ31" s="368"/>
      <c r="MR31" s="368"/>
      <c r="MS31" s="368"/>
      <c r="MT31" s="368"/>
      <c r="MU31" s="368"/>
      <c r="MV31" s="368"/>
      <c r="MW31" s="368"/>
      <c r="MX31" s="368"/>
      <c r="MY31" s="368"/>
      <c r="MZ31" s="368"/>
      <c r="NA31" s="368"/>
      <c r="NB31" s="368"/>
      <c r="NC31" s="368"/>
      <c r="ND31" s="368"/>
      <c r="NE31" s="368"/>
      <c r="NF31" s="368"/>
      <c r="NG31" s="368"/>
      <c r="NH31" s="368"/>
      <c r="NI31" s="368"/>
      <c r="NJ31" s="368"/>
      <c r="NK31" s="368"/>
      <c r="NL31" s="368"/>
      <c r="NM31" s="368"/>
      <c r="NN31" s="368"/>
      <c r="NO31" s="368"/>
      <c r="NP31" s="368"/>
      <c r="NQ31" s="368"/>
      <c r="NR31" s="368"/>
      <c r="NS31" s="368"/>
      <c r="NT31" s="368"/>
      <c r="NU31" s="368"/>
      <c r="NV31" s="368"/>
      <c r="NW31" s="368"/>
      <c r="NX31" s="368"/>
      <c r="NY31" s="368"/>
      <c r="NZ31" s="368"/>
      <c r="OA31" s="368"/>
      <c r="OB31" s="368"/>
      <c r="OC31" s="368"/>
      <c r="OD31" s="368"/>
      <c r="OE31" s="368"/>
      <c r="OF31" s="368"/>
      <c r="OG31" s="368"/>
      <c r="OH31" s="368"/>
      <c r="OI31" s="368"/>
      <c r="OJ31" s="368"/>
      <c r="OK31" s="368"/>
      <c r="OL31" s="368"/>
      <c r="OM31" s="368"/>
      <c r="ON31" s="368"/>
      <c r="OO31" s="368"/>
      <c r="OP31" s="368"/>
      <c r="OQ31" s="368"/>
      <c r="OR31" s="368"/>
      <c r="OS31" s="368"/>
      <c r="OT31" s="368"/>
      <c r="OU31" s="368"/>
      <c r="OV31" s="368"/>
      <c r="OW31" s="368"/>
      <c r="OX31" s="368"/>
      <c r="OY31" s="368"/>
      <c r="OZ31" s="368"/>
      <c r="PA31" s="368"/>
      <c r="PB31" s="368"/>
      <c r="PC31" s="368"/>
      <c r="PD31" s="368"/>
      <c r="PE31" s="368"/>
      <c r="PF31" s="368"/>
      <c r="PG31" s="368"/>
      <c r="PH31" s="368"/>
      <c r="PI31" s="368"/>
      <c r="PJ31" s="368"/>
      <c r="PK31" s="368"/>
      <c r="PL31" s="368"/>
      <c r="PM31" s="368"/>
      <c r="PN31" s="368"/>
      <c r="PO31" s="368"/>
      <c r="PP31" s="368"/>
      <c r="PQ31" s="368"/>
      <c r="PR31" s="368"/>
      <c r="PS31" s="368"/>
      <c r="PT31" s="368"/>
      <c r="PU31" s="368"/>
      <c r="PV31" s="368"/>
      <c r="PW31" s="368"/>
      <c r="PX31" s="368"/>
      <c r="PY31" s="368"/>
      <c r="PZ31" s="368"/>
      <c r="QA31" s="368"/>
      <c r="QB31" s="368"/>
      <c r="QC31" s="368"/>
      <c r="QD31" s="368"/>
      <c r="QE31" s="368"/>
      <c r="QF31" s="368"/>
      <c r="QG31" s="368"/>
      <c r="QH31" s="368"/>
      <c r="QI31" s="368"/>
      <c r="QJ31" s="368"/>
      <c r="QK31" s="368"/>
      <c r="QL31" s="368"/>
      <c r="QM31" s="368"/>
      <c r="QN31" s="368"/>
      <c r="QO31" s="368"/>
      <c r="QP31" s="368"/>
      <c r="QQ31" s="368"/>
      <c r="QR31" s="368"/>
      <c r="QS31" s="368"/>
      <c r="QT31" s="368"/>
      <c r="QU31" s="368"/>
      <c r="QV31" s="368"/>
      <c r="QW31" s="368"/>
      <c r="QX31" s="368"/>
      <c r="QY31" s="368"/>
      <c r="QZ31" s="368"/>
      <c r="RA31" s="368"/>
      <c r="RB31" s="368"/>
      <c r="RC31" s="368"/>
      <c r="RD31" s="368"/>
      <c r="RE31" s="368"/>
      <c r="RF31" s="368"/>
      <c r="RG31" s="368"/>
      <c r="RH31" s="368"/>
      <c r="RI31" s="368"/>
      <c r="RJ31" s="368"/>
      <c r="RK31" s="368"/>
      <c r="RL31" s="368"/>
      <c r="RM31" s="368"/>
      <c r="RN31" s="368"/>
      <c r="RO31" s="368"/>
      <c r="RP31" s="368"/>
      <c r="RQ31" s="368"/>
      <c r="RR31" s="368"/>
      <c r="RS31" s="368"/>
      <c r="RT31" s="368"/>
      <c r="RU31" s="368"/>
      <c r="RV31" s="368"/>
      <c r="RW31" s="368"/>
      <c r="RX31" s="368"/>
      <c r="RY31" s="368"/>
      <c r="RZ31" s="368"/>
      <c r="SA31" s="368"/>
      <c r="SB31" s="368"/>
      <c r="SC31" s="368"/>
      <c r="SD31" s="368"/>
      <c r="SE31" s="368"/>
      <c r="SF31" s="368"/>
      <c r="SG31" s="368"/>
      <c r="SH31" s="368"/>
      <c r="SI31" s="368"/>
      <c r="SJ31" s="368"/>
      <c r="SK31" s="368"/>
      <c r="SL31" s="368"/>
      <c r="SM31" s="368"/>
      <c r="SN31" s="368"/>
      <c r="SO31" s="368"/>
      <c r="SP31" s="368"/>
      <c r="SQ31" s="368"/>
      <c r="SR31" s="368"/>
      <c r="SS31" s="368"/>
      <c r="ST31" s="368"/>
      <c r="SU31" s="368"/>
      <c r="SV31" s="368"/>
      <c r="SW31" s="368"/>
      <c r="SX31" s="368"/>
      <c r="SY31" s="368"/>
      <c r="SZ31" s="368"/>
      <c r="TA31" s="368"/>
      <c r="TB31" s="368"/>
      <c r="TC31" s="368"/>
      <c r="TD31" s="368"/>
      <c r="TE31" s="368"/>
      <c r="TF31" s="368"/>
      <c r="TG31" s="368"/>
      <c r="TH31" s="368"/>
      <c r="TI31" s="368"/>
      <c r="TJ31" s="368"/>
      <c r="TK31" s="368"/>
      <c r="TL31" s="368"/>
      <c r="TM31" s="368"/>
      <c r="TN31" s="368"/>
      <c r="TO31" s="368"/>
      <c r="TP31" s="368"/>
      <c r="TQ31" s="368"/>
      <c r="TR31" s="368"/>
      <c r="TS31" s="368"/>
      <c r="TT31" s="368"/>
      <c r="TU31" s="368"/>
      <c r="TV31" s="368"/>
      <c r="TW31" s="368"/>
      <c r="TX31" s="368"/>
      <c r="TY31" s="368"/>
      <c r="TZ31" s="368"/>
      <c r="UA31" s="368"/>
      <c r="UB31" s="368"/>
      <c r="UC31" s="368"/>
      <c r="UD31" s="368"/>
      <c r="UE31" s="368"/>
      <c r="UF31" s="368"/>
      <c r="UG31" s="368"/>
      <c r="UH31" s="368"/>
      <c r="UI31" s="368"/>
      <c r="UJ31" s="368"/>
      <c r="UK31" s="368"/>
      <c r="UL31" s="368"/>
      <c r="UM31" s="368"/>
      <c r="UN31" s="368"/>
      <c r="UO31" s="368"/>
      <c r="UP31" s="368"/>
      <c r="UQ31" s="368"/>
      <c r="UR31" s="368"/>
      <c r="US31" s="368"/>
      <c r="UT31" s="368"/>
      <c r="UU31" s="368"/>
      <c r="UV31" s="368"/>
      <c r="UW31" s="368"/>
      <c r="UX31" s="368"/>
      <c r="UY31" s="368"/>
      <c r="UZ31" s="368"/>
      <c r="VA31" s="368"/>
      <c r="VB31" s="368"/>
      <c r="VC31" s="368"/>
      <c r="VD31" s="368"/>
      <c r="VE31" s="368"/>
      <c r="VF31" s="368"/>
      <c r="VG31" s="368"/>
      <c r="VH31" s="368"/>
      <c r="VI31" s="368"/>
      <c r="VJ31" s="368"/>
      <c r="VK31" s="368"/>
      <c r="VL31" s="368"/>
      <c r="VM31" s="368"/>
      <c r="VN31" s="368"/>
      <c r="VO31" s="368"/>
      <c r="VP31" s="368"/>
      <c r="VQ31" s="368"/>
      <c r="VR31" s="368"/>
      <c r="VS31" s="368"/>
      <c r="VT31" s="368"/>
      <c r="VU31" s="368"/>
      <c r="VV31" s="368"/>
      <c r="VW31" s="368"/>
      <c r="VX31" s="368"/>
      <c r="VY31" s="368"/>
      <c r="VZ31" s="368"/>
      <c r="WA31" s="368"/>
      <c r="WB31" s="368"/>
      <c r="WC31" s="368"/>
      <c r="WD31" s="368"/>
      <c r="WE31" s="368"/>
      <c r="WF31" s="368"/>
      <c r="WG31" s="368"/>
      <c r="WH31" s="368"/>
      <c r="WI31" s="368"/>
      <c r="WJ31" s="368"/>
      <c r="WK31" s="368"/>
      <c r="WL31" s="368"/>
      <c r="WM31" s="368"/>
      <c r="WN31" s="368"/>
      <c r="WO31" s="368"/>
      <c r="WP31" s="368"/>
      <c r="WQ31" s="368"/>
      <c r="WR31" s="368"/>
      <c r="WS31" s="368"/>
      <c r="WT31" s="368"/>
      <c r="WU31" s="368"/>
      <c r="WV31" s="368"/>
      <c r="WW31" s="368"/>
      <c r="WX31" s="368"/>
      <c r="WY31" s="368"/>
      <c r="WZ31" s="368"/>
      <c r="XA31" s="368"/>
      <c r="XB31" s="368"/>
      <c r="XC31" s="368"/>
      <c r="XD31" s="368"/>
      <c r="XE31" s="368"/>
      <c r="XF31" s="368"/>
      <c r="XG31" s="368"/>
      <c r="XH31" s="368"/>
      <c r="XI31" s="368"/>
      <c r="XJ31" s="368"/>
      <c r="XK31" s="368"/>
      <c r="XL31" s="368"/>
      <c r="XM31" s="368"/>
      <c r="XN31" s="368"/>
      <c r="XO31" s="368"/>
      <c r="XP31" s="368"/>
      <c r="XQ31" s="368"/>
      <c r="XR31" s="368"/>
      <c r="XS31" s="368"/>
      <c r="XT31" s="368"/>
      <c r="XU31" s="368"/>
      <c r="XV31" s="368"/>
      <c r="XW31" s="368"/>
      <c r="XX31" s="368"/>
      <c r="XY31" s="368"/>
      <c r="XZ31" s="368"/>
      <c r="YA31" s="368"/>
      <c r="YB31" s="368"/>
      <c r="YC31" s="368"/>
      <c r="YD31" s="368"/>
      <c r="YE31" s="368"/>
      <c r="YF31" s="368"/>
      <c r="YG31" s="368"/>
      <c r="YH31" s="368"/>
      <c r="YI31" s="368"/>
      <c r="YJ31" s="368"/>
      <c r="YK31" s="368"/>
      <c r="YL31" s="368"/>
      <c r="YM31" s="368"/>
      <c r="YN31" s="368"/>
      <c r="YO31" s="368"/>
      <c r="YP31" s="368"/>
      <c r="YQ31" s="368"/>
      <c r="YR31" s="368"/>
      <c r="YS31" s="368"/>
      <c r="YT31" s="368"/>
      <c r="YU31" s="368"/>
      <c r="YV31" s="368"/>
      <c r="YW31" s="368"/>
      <c r="YX31" s="368"/>
      <c r="YY31" s="368"/>
      <c r="YZ31" s="368"/>
      <c r="ZA31" s="368"/>
      <c r="ZB31" s="368"/>
      <c r="ZC31" s="368"/>
      <c r="ZD31" s="368"/>
      <c r="ZE31" s="368"/>
      <c r="ZF31" s="368"/>
      <c r="ZG31" s="368"/>
      <c r="ZH31" s="368"/>
      <c r="ZI31" s="368"/>
      <c r="ZJ31" s="368"/>
      <c r="ZK31" s="368"/>
      <c r="ZL31" s="368"/>
      <c r="ZM31" s="368"/>
      <c r="ZN31" s="368"/>
      <c r="ZO31" s="368"/>
      <c r="ZP31" s="368"/>
      <c r="ZQ31" s="368"/>
      <c r="ZR31" s="368"/>
      <c r="ZS31" s="368"/>
      <c r="ZT31" s="368"/>
      <c r="ZU31" s="368"/>
      <c r="ZV31" s="368"/>
      <c r="ZW31" s="368"/>
      <c r="ZX31" s="368"/>
      <c r="ZY31" s="368"/>
      <c r="ZZ31" s="368"/>
      <c r="AAA31" s="368"/>
      <c r="AAB31" s="368"/>
      <c r="AAC31" s="368"/>
      <c r="AAD31" s="368"/>
      <c r="AAE31" s="368"/>
      <c r="AAF31" s="368"/>
      <c r="AAG31" s="368"/>
      <c r="AAH31" s="368"/>
      <c r="AAI31" s="368"/>
      <c r="AAJ31" s="368"/>
      <c r="AAK31" s="368"/>
      <c r="AAL31" s="368"/>
      <c r="AAM31" s="368"/>
      <c r="AAN31" s="368"/>
      <c r="AAO31" s="368"/>
      <c r="AAP31" s="368"/>
      <c r="AAQ31" s="368"/>
      <c r="AAR31" s="368"/>
      <c r="AAS31" s="368"/>
      <c r="AAT31" s="368"/>
      <c r="AAU31" s="368"/>
      <c r="AAV31" s="368"/>
      <c r="AAW31" s="368"/>
      <c r="AAX31" s="368"/>
      <c r="AAY31" s="368"/>
      <c r="AAZ31" s="368"/>
      <c r="ABA31" s="368"/>
      <c r="ABB31" s="368"/>
      <c r="ABC31" s="368"/>
      <c r="ABD31" s="368"/>
      <c r="ABE31" s="368"/>
      <c r="ABF31" s="368"/>
      <c r="ABG31" s="368"/>
      <c r="ABH31" s="368"/>
      <c r="ABI31" s="368"/>
      <c r="ABJ31" s="368"/>
      <c r="ABK31" s="368"/>
      <c r="ABL31" s="368"/>
      <c r="ABM31" s="368"/>
      <c r="ABN31" s="368"/>
      <c r="ABO31" s="368"/>
      <c r="ABP31" s="368"/>
      <c r="ABQ31" s="368"/>
      <c r="ABR31" s="368"/>
      <c r="ABS31" s="368"/>
      <c r="ABT31" s="368"/>
      <c r="ABU31" s="368"/>
      <c r="ABV31" s="368"/>
      <c r="ABW31" s="368"/>
      <c r="ABX31" s="368"/>
      <c r="ABY31" s="368"/>
      <c r="ABZ31" s="368"/>
      <c r="ACA31" s="368"/>
      <c r="ACB31" s="368"/>
      <c r="ACC31" s="368"/>
      <c r="ACD31" s="368"/>
      <c r="ACE31" s="368"/>
      <c r="ACF31" s="368"/>
      <c r="ACG31" s="368"/>
      <c r="ACH31" s="368"/>
      <c r="ACI31" s="368"/>
      <c r="ACJ31" s="368"/>
      <c r="ACK31" s="368"/>
      <c r="ACL31" s="368"/>
      <c r="ACM31" s="368"/>
      <c r="ACN31" s="368"/>
      <c r="ACO31" s="368"/>
      <c r="ACP31" s="368"/>
      <c r="ACQ31" s="368"/>
      <c r="ACR31" s="368"/>
      <c r="ACS31" s="368"/>
      <c r="ACT31" s="368"/>
      <c r="ACU31" s="368"/>
      <c r="ACV31" s="368"/>
      <c r="ACW31" s="368"/>
      <c r="ACX31" s="368"/>
      <c r="ACY31" s="368"/>
      <c r="ACZ31" s="368"/>
      <c r="ADA31" s="368"/>
      <c r="ADB31" s="368"/>
      <c r="ADC31" s="368"/>
      <c r="ADD31" s="368"/>
      <c r="ADE31" s="368"/>
      <c r="ADF31" s="368"/>
      <c r="ADG31" s="368"/>
      <c r="ADH31" s="368"/>
      <c r="ADI31" s="368"/>
      <c r="ADJ31" s="368"/>
      <c r="ADK31" s="368"/>
      <c r="ADL31" s="368"/>
      <c r="ADM31" s="368"/>
      <c r="ADN31" s="368"/>
      <c r="ADO31" s="368"/>
      <c r="ADP31" s="368"/>
      <c r="ADQ31" s="368"/>
      <c r="ADR31" s="368"/>
      <c r="ADS31" s="368"/>
      <c r="ADT31" s="368"/>
      <c r="ADU31" s="368"/>
      <c r="ADV31" s="368"/>
      <c r="ADW31" s="368"/>
      <c r="ADX31" s="368"/>
      <c r="ADY31" s="368"/>
      <c r="ADZ31" s="368"/>
      <c r="AEA31" s="368"/>
      <c r="AEB31" s="368"/>
      <c r="AEC31" s="368"/>
      <c r="AED31" s="368"/>
      <c r="AEE31" s="368"/>
      <c r="AEF31" s="368"/>
      <c r="AEG31" s="368"/>
      <c r="AEH31" s="368"/>
      <c r="AEI31" s="368"/>
      <c r="AEJ31" s="368"/>
      <c r="AEK31" s="368"/>
      <c r="AEL31" s="368"/>
      <c r="AEM31" s="368"/>
      <c r="AEN31" s="368"/>
      <c r="AEO31" s="368"/>
      <c r="AEP31" s="368"/>
      <c r="AEQ31" s="368"/>
      <c r="AER31" s="368"/>
      <c r="AES31" s="368"/>
      <c r="AET31" s="368"/>
      <c r="AEU31" s="368"/>
      <c r="AEV31" s="368"/>
      <c r="AEW31" s="368"/>
      <c r="AEX31" s="368"/>
      <c r="AEY31" s="368"/>
      <c r="AEZ31" s="368"/>
      <c r="AFA31" s="368"/>
      <c r="AFB31" s="368"/>
      <c r="AFC31" s="368"/>
      <c r="AFD31" s="368"/>
      <c r="AFE31" s="368"/>
      <c r="AFF31" s="368"/>
      <c r="AFG31" s="368"/>
      <c r="AFH31" s="368"/>
      <c r="AFI31" s="368"/>
      <c r="AFJ31" s="368"/>
      <c r="AFK31" s="368"/>
      <c r="AFL31" s="368"/>
      <c r="AFM31" s="368"/>
      <c r="AFN31" s="368"/>
      <c r="AFO31" s="368"/>
      <c r="AFP31" s="368"/>
      <c r="AFQ31" s="368"/>
      <c r="AFR31" s="368"/>
      <c r="AFS31" s="368"/>
      <c r="AFT31" s="368"/>
      <c r="AFU31" s="368"/>
      <c r="AFV31" s="368"/>
      <c r="AFW31" s="368"/>
      <c r="AFX31" s="368"/>
      <c r="AFY31" s="368"/>
      <c r="AFZ31" s="368"/>
      <c r="AGA31" s="368"/>
      <c r="AGB31" s="368"/>
      <c r="AGC31" s="368"/>
      <c r="AGD31" s="368"/>
      <c r="AGE31" s="368"/>
      <c r="AGF31" s="368"/>
      <c r="AGG31" s="368"/>
      <c r="AGH31" s="368"/>
      <c r="AGI31" s="368"/>
      <c r="AGJ31" s="368"/>
      <c r="AGK31" s="368"/>
      <c r="AGL31" s="368"/>
      <c r="AGM31" s="368"/>
      <c r="AGN31" s="368"/>
      <c r="AGO31" s="368"/>
      <c r="AGP31" s="368"/>
      <c r="AGQ31" s="368"/>
      <c r="AGR31" s="368"/>
      <c r="AGS31" s="368"/>
      <c r="AGT31" s="368"/>
      <c r="AGU31" s="368"/>
      <c r="AGV31" s="368"/>
      <c r="AGW31" s="368"/>
      <c r="AGX31" s="368"/>
      <c r="AGY31" s="368"/>
      <c r="AGZ31" s="368"/>
      <c r="AHA31" s="368"/>
      <c r="AHB31" s="368"/>
      <c r="AHC31" s="368"/>
      <c r="AHD31" s="368"/>
      <c r="AHE31" s="368"/>
      <c r="AHF31" s="368"/>
      <c r="AHG31" s="368"/>
      <c r="AHH31" s="368"/>
      <c r="AHI31" s="368"/>
      <c r="AHJ31" s="368"/>
      <c r="AHK31" s="368"/>
      <c r="AHL31" s="368"/>
      <c r="AHM31" s="368"/>
      <c r="AHN31" s="368"/>
      <c r="AHO31" s="368"/>
      <c r="AHP31" s="368"/>
      <c r="AHQ31" s="368"/>
      <c r="AHR31" s="368"/>
      <c r="AHS31" s="368"/>
      <c r="AHT31" s="368"/>
      <c r="AHU31" s="368"/>
      <c r="AHV31" s="368"/>
      <c r="AHW31" s="368"/>
      <c r="AHX31" s="368"/>
      <c r="AHY31" s="368"/>
      <c r="AHZ31" s="368"/>
      <c r="AIA31" s="368"/>
      <c r="AIB31" s="368"/>
      <c r="AIC31" s="368"/>
      <c r="AID31" s="368"/>
      <c r="AIE31" s="368"/>
      <c r="AIF31" s="368"/>
      <c r="AIG31" s="368"/>
      <c r="AIH31" s="368"/>
      <c r="AII31" s="368"/>
      <c r="AIJ31" s="368"/>
      <c r="AIK31" s="368"/>
      <c r="AIL31" s="368"/>
      <c r="AIM31" s="368"/>
      <c r="AIN31" s="368"/>
      <c r="AIO31" s="368"/>
      <c r="AIP31" s="368"/>
      <c r="AIQ31" s="368"/>
      <c r="AIR31" s="368"/>
      <c r="AIS31" s="368"/>
      <c r="AIT31" s="368"/>
      <c r="AIU31" s="368"/>
      <c r="AIV31" s="368"/>
      <c r="AIW31" s="368"/>
      <c r="AIX31" s="368"/>
      <c r="AIY31" s="368"/>
      <c r="AIZ31" s="368"/>
      <c r="AJA31" s="368"/>
      <c r="AJB31" s="368"/>
      <c r="AJC31" s="368"/>
      <c r="AJD31" s="368"/>
      <c r="AJE31" s="368"/>
      <c r="AJF31" s="368"/>
      <c r="AJG31" s="368"/>
      <c r="AJH31" s="368"/>
      <c r="AJI31" s="368"/>
      <c r="AJJ31" s="368"/>
      <c r="AJK31" s="368"/>
      <c r="AJL31" s="368"/>
      <c r="AJM31" s="368"/>
      <c r="AJN31" s="368"/>
      <c r="AJO31" s="368"/>
      <c r="AJP31" s="368"/>
      <c r="AJQ31" s="368"/>
      <c r="AJR31" s="368"/>
      <c r="AJS31" s="368"/>
      <c r="AJT31" s="368"/>
      <c r="AJU31" s="368"/>
      <c r="AJV31" s="368"/>
      <c r="AJW31" s="368"/>
      <c r="AJX31" s="368"/>
      <c r="AJY31" s="368"/>
      <c r="AJZ31" s="368"/>
      <c r="AKA31" s="368"/>
      <c r="AKB31" s="368"/>
      <c r="AKC31" s="368"/>
      <c r="AKD31" s="368"/>
      <c r="AKE31" s="368"/>
      <c r="AKF31" s="368"/>
      <c r="AKG31" s="368"/>
      <c r="AKH31" s="368"/>
      <c r="AKI31" s="368"/>
      <c r="AKJ31" s="368"/>
      <c r="AKK31" s="368"/>
      <c r="AKL31" s="368"/>
      <c r="AKM31" s="368"/>
      <c r="AKN31" s="368"/>
      <c r="AKO31" s="368"/>
      <c r="AKP31" s="368"/>
      <c r="AKQ31" s="368"/>
      <c r="AKR31" s="368"/>
      <c r="AKS31" s="368"/>
      <c r="AKT31" s="368"/>
      <c r="AKU31" s="368"/>
      <c r="AKV31" s="368"/>
      <c r="AKW31" s="368"/>
      <c r="AKX31" s="368"/>
      <c r="AKY31" s="368"/>
      <c r="AKZ31" s="368"/>
      <c r="ALA31" s="368"/>
      <c r="ALB31" s="368"/>
      <c r="ALC31" s="368"/>
      <c r="ALD31" s="368"/>
      <c r="ALE31" s="368"/>
      <c r="ALF31" s="368"/>
      <c r="ALG31" s="368"/>
      <c r="ALH31" s="368"/>
      <c r="ALI31" s="368"/>
      <c r="ALJ31" s="368"/>
      <c r="ALK31" s="368"/>
      <c r="ALL31" s="368"/>
      <c r="ALM31" s="368"/>
      <c r="ALN31" s="368"/>
      <c r="ALO31" s="368"/>
      <c r="ALP31" s="368"/>
      <c r="ALQ31" s="368"/>
      <c r="ALR31" s="368"/>
      <c r="ALS31" s="368"/>
      <c r="ALT31" s="368"/>
      <c r="ALU31" s="368"/>
      <c r="ALV31" s="368"/>
      <c r="ALW31" s="368"/>
      <c r="ALX31" s="368"/>
      <c r="ALY31" s="368"/>
      <c r="ALZ31" s="368"/>
      <c r="AMA31" s="368"/>
      <c r="AMB31" s="368"/>
      <c r="AMC31" s="368"/>
      <c r="AMD31" s="368"/>
      <c r="AME31" s="368"/>
      <c r="AMF31" s="368"/>
      <c r="AMG31" s="368"/>
      <c r="AMH31" s="368"/>
      <c r="AMI31" s="368"/>
      <c r="AMJ31" s="368"/>
    </row>
    <row r="32" spans="1:1024" s="125" customFormat="1" ht="12.75">
      <c r="B32" s="773"/>
      <c r="C32" s="619" t="s">
        <v>3454</v>
      </c>
      <c r="D32" s="620"/>
      <c r="E32" s="212">
        <f>'Consolidated Financials'!H80+'Consolidated Financials'!H79</f>
        <v>84752</v>
      </c>
      <c r="F32" s="212">
        <f>'Consolidated Financials'!I80+'Consolidated Financials'!I79</f>
        <v>0</v>
      </c>
      <c r="G32" s="212">
        <f>'Consolidated Financials'!J80+'Consolidated Financials'!J79</f>
        <v>0</v>
      </c>
      <c r="H32" s="213">
        <f>'Consolidated Financials'!K80+'Consolidated Financials'!K79</f>
        <v>0</v>
      </c>
    </row>
    <row r="33" spans="1:1024" s="125" customFormat="1" ht="14.25" customHeight="1">
      <c r="B33" s="618"/>
      <c r="C33" s="621" t="s">
        <v>3455</v>
      </c>
      <c r="D33" s="622"/>
      <c r="E33" s="212">
        <f>-'Consolidated Financials'!H83</f>
        <v>0</v>
      </c>
      <c r="F33" s="212">
        <f>-'Consolidated Financials'!I83</f>
        <v>0</v>
      </c>
      <c r="G33" s="212">
        <f>-'Consolidated Financials'!J83</f>
        <v>0</v>
      </c>
      <c r="H33" s="213">
        <f>-'Consolidated Financials'!K83</f>
        <v>0</v>
      </c>
    </row>
    <row r="34" spans="1:1024" ht="15">
      <c r="B34" s="618"/>
      <c r="C34" s="619" t="s">
        <v>3456</v>
      </c>
      <c r="D34" s="620"/>
      <c r="E34" s="212">
        <f>-'Consolidated Financials'!H87</f>
        <v>-32705920</v>
      </c>
      <c r="F34" s="212">
        <f>-'Consolidated Financials'!I87</f>
        <v>-35595769</v>
      </c>
      <c r="G34" s="212">
        <f>-'Consolidated Financials'!J87</f>
        <v>0</v>
      </c>
      <c r="H34" s="213">
        <f>-'Consolidated Financials'!K87</f>
        <v>0</v>
      </c>
      <c r="J34" s="371"/>
    </row>
    <row r="35" spans="1:1024" ht="15">
      <c r="B35" s="774"/>
      <c r="C35" s="125" t="s">
        <v>3457</v>
      </c>
      <c r="D35" s="312"/>
      <c r="E35" s="212">
        <f>'Consolidated Financials'!G188-'Consolidated Financials'!H188+'Consolidated Financials'!H133-'Consolidated Financials'!G133-'Consolidated Financials'!H88</f>
        <v>0</v>
      </c>
      <c r="F35" s="212">
        <f>'Consolidated Financials'!H188-'Consolidated Financials'!I188+'Consolidated Financials'!I133-'Consolidated Financials'!H133-'Consolidated Financials'!I88</f>
        <v>0</v>
      </c>
      <c r="G35" s="212">
        <f>'Consolidated Financials'!I188-'Consolidated Financials'!J188+'Consolidated Financials'!J133-'Consolidated Financials'!I133-'Consolidated Financials'!J88</f>
        <v>-413930</v>
      </c>
      <c r="H35" s="213">
        <f>'Consolidated Financials'!J188-'Consolidated Financials'!K188+'Consolidated Financials'!K133-'Consolidated Financials'!J133-'Consolidated Financials'!K88</f>
        <v>0</v>
      </c>
      <c r="J35" s="371"/>
    </row>
    <row r="36" spans="1:1024" ht="17.25" customHeight="1">
      <c r="A36" s="368"/>
      <c r="B36" s="792" t="s">
        <v>3458</v>
      </c>
      <c r="C36" s="793"/>
      <c r="D36" s="794"/>
      <c r="E36" s="379">
        <f>SUM(E32:E35,E30)</f>
        <v>149447229</v>
      </c>
      <c r="F36" s="379">
        <f>SUM(F32:F35,F30)</f>
        <v>64129074</v>
      </c>
      <c r="G36" s="379">
        <f>SUM(G32:G35,G30)</f>
        <v>256133918</v>
      </c>
      <c r="H36" s="380">
        <f>SUM(H32:H35,H30)</f>
        <v>0</v>
      </c>
      <c r="I36" s="368"/>
      <c r="J36" s="368"/>
      <c r="K36" s="368"/>
      <c r="L36" s="368"/>
      <c r="M36" s="368"/>
      <c r="N36" s="368"/>
      <c r="O36" s="368"/>
      <c r="P36" s="368"/>
      <c r="Q36" s="368"/>
      <c r="R36" s="368"/>
      <c r="S36" s="368"/>
      <c r="T36" s="368"/>
      <c r="U36" s="368"/>
      <c r="V36" s="368"/>
      <c r="W36" s="368"/>
      <c r="X36" s="368"/>
      <c r="Y36" s="368"/>
      <c r="Z36" s="368"/>
      <c r="AA36" s="368"/>
      <c r="AB36" s="368"/>
      <c r="AC36" s="368"/>
      <c r="AD36" s="368"/>
      <c r="AE36" s="368"/>
      <c r="AF36" s="368"/>
      <c r="AG36" s="368"/>
      <c r="AH36" s="368"/>
      <c r="AI36" s="368"/>
      <c r="AJ36" s="368"/>
      <c r="AK36" s="368"/>
      <c r="AL36" s="368"/>
      <c r="AM36" s="368"/>
      <c r="AN36" s="368"/>
      <c r="AO36" s="368"/>
      <c r="AP36" s="368"/>
      <c r="AQ36" s="368"/>
      <c r="AR36" s="368"/>
      <c r="AS36" s="368"/>
      <c r="AT36" s="368"/>
      <c r="AU36" s="368"/>
      <c r="AV36" s="368"/>
      <c r="AW36" s="368"/>
      <c r="AX36" s="368"/>
      <c r="AY36" s="368"/>
      <c r="AZ36" s="368"/>
      <c r="BA36" s="368"/>
      <c r="BB36" s="368"/>
      <c r="BC36" s="368"/>
      <c r="BD36" s="368"/>
      <c r="BE36" s="368"/>
      <c r="BF36" s="368"/>
      <c r="BG36" s="368"/>
      <c r="BH36" s="368"/>
      <c r="BI36" s="368"/>
      <c r="BJ36" s="368"/>
      <c r="BK36" s="368"/>
      <c r="BL36" s="368"/>
      <c r="BM36" s="368"/>
      <c r="BN36" s="368"/>
      <c r="BO36" s="368"/>
      <c r="BP36" s="368"/>
      <c r="BQ36" s="368"/>
      <c r="BR36" s="368"/>
      <c r="BS36" s="368"/>
      <c r="BT36" s="368"/>
      <c r="BU36" s="368"/>
      <c r="BV36" s="368"/>
      <c r="BW36" s="368"/>
      <c r="BX36" s="368"/>
      <c r="BY36" s="368"/>
      <c r="BZ36" s="368"/>
      <c r="CA36" s="368"/>
      <c r="CB36" s="368"/>
      <c r="CC36" s="368"/>
      <c r="CD36" s="368"/>
      <c r="CE36" s="368"/>
      <c r="CF36" s="368"/>
      <c r="CG36" s="368"/>
      <c r="CH36" s="368"/>
      <c r="CI36" s="368"/>
      <c r="CJ36" s="368"/>
      <c r="CK36" s="368"/>
      <c r="CL36" s="368"/>
      <c r="CM36" s="368"/>
      <c r="CN36" s="368"/>
      <c r="CO36" s="368"/>
      <c r="CP36" s="368"/>
      <c r="CQ36" s="368"/>
      <c r="CR36" s="368"/>
      <c r="CS36" s="368"/>
      <c r="CT36" s="368"/>
      <c r="CU36" s="368"/>
      <c r="CV36" s="368"/>
      <c r="CW36" s="368"/>
      <c r="CX36" s="368"/>
      <c r="CY36" s="368"/>
      <c r="CZ36" s="368"/>
      <c r="DA36" s="368"/>
      <c r="DB36" s="368"/>
      <c r="DC36" s="368"/>
      <c r="DD36" s="368"/>
      <c r="DE36" s="368"/>
      <c r="DF36" s="368"/>
      <c r="DG36" s="368"/>
      <c r="DH36" s="368"/>
      <c r="DI36" s="368"/>
      <c r="DJ36" s="368"/>
      <c r="DK36" s="368"/>
      <c r="DL36" s="368"/>
      <c r="DM36" s="368"/>
      <c r="DN36" s="368"/>
      <c r="DO36" s="368"/>
      <c r="DP36" s="368"/>
      <c r="DQ36" s="368"/>
      <c r="DR36" s="368"/>
      <c r="DS36" s="368"/>
      <c r="DT36" s="368"/>
      <c r="DU36" s="368"/>
      <c r="DV36" s="368"/>
      <c r="DW36" s="368"/>
      <c r="DX36" s="368"/>
      <c r="DY36" s="368"/>
      <c r="DZ36" s="368"/>
      <c r="EA36" s="368"/>
      <c r="EB36" s="368"/>
      <c r="EC36" s="368"/>
      <c r="ED36" s="368"/>
      <c r="EE36" s="368"/>
      <c r="EF36" s="368"/>
      <c r="EG36" s="368"/>
      <c r="EH36" s="368"/>
      <c r="EI36" s="368"/>
      <c r="EJ36" s="368"/>
      <c r="EK36" s="368"/>
      <c r="EL36" s="368"/>
      <c r="EM36" s="368"/>
      <c r="EN36" s="368"/>
      <c r="EO36" s="368"/>
      <c r="EP36" s="368"/>
      <c r="EQ36" s="368"/>
      <c r="ER36" s="368"/>
      <c r="ES36" s="368"/>
      <c r="ET36" s="368"/>
      <c r="EU36" s="368"/>
      <c r="EV36" s="368"/>
      <c r="EW36" s="368"/>
      <c r="EX36" s="368"/>
      <c r="EY36" s="368"/>
      <c r="EZ36" s="368"/>
      <c r="FA36" s="368"/>
      <c r="FB36" s="368"/>
      <c r="FC36" s="368"/>
      <c r="FD36" s="368"/>
      <c r="FE36" s="368"/>
      <c r="FF36" s="368"/>
      <c r="FG36" s="368"/>
      <c r="FH36" s="368"/>
      <c r="FI36" s="368"/>
      <c r="FJ36" s="368"/>
      <c r="FK36" s="368"/>
      <c r="FL36" s="368"/>
      <c r="FM36" s="368"/>
      <c r="FN36" s="368"/>
      <c r="FO36" s="368"/>
      <c r="FP36" s="368"/>
      <c r="FQ36" s="368"/>
      <c r="FR36" s="368"/>
      <c r="FS36" s="368"/>
      <c r="FT36" s="368"/>
      <c r="FU36" s="368"/>
      <c r="FV36" s="368"/>
      <c r="FW36" s="368"/>
      <c r="FX36" s="368"/>
      <c r="FY36" s="368"/>
      <c r="FZ36" s="368"/>
      <c r="GA36" s="368"/>
      <c r="GB36" s="368"/>
      <c r="GC36" s="368"/>
      <c r="GD36" s="368"/>
      <c r="GE36" s="368"/>
      <c r="GF36" s="368"/>
      <c r="GG36" s="368"/>
      <c r="GH36" s="368"/>
      <c r="GI36" s="368"/>
      <c r="GJ36" s="368"/>
      <c r="GK36" s="368"/>
      <c r="GL36" s="368"/>
      <c r="GM36" s="368"/>
      <c r="GN36" s="368"/>
      <c r="GO36" s="368"/>
      <c r="GP36" s="368"/>
      <c r="GQ36" s="368"/>
      <c r="GR36" s="368"/>
      <c r="GS36" s="368"/>
      <c r="GT36" s="368"/>
      <c r="GU36" s="368"/>
      <c r="GV36" s="368"/>
      <c r="GW36" s="368"/>
      <c r="GX36" s="368"/>
      <c r="GY36" s="368"/>
      <c r="GZ36" s="368"/>
      <c r="HA36" s="368"/>
      <c r="HB36" s="368"/>
      <c r="HC36" s="368"/>
      <c r="HD36" s="368"/>
      <c r="HE36" s="368"/>
      <c r="HF36" s="368"/>
      <c r="HG36" s="368"/>
      <c r="HH36" s="368"/>
      <c r="HI36" s="368"/>
      <c r="HJ36" s="368"/>
      <c r="HK36" s="368"/>
      <c r="HL36" s="368"/>
      <c r="HM36" s="368"/>
      <c r="HN36" s="368"/>
      <c r="HO36" s="368"/>
      <c r="HP36" s="368"/>
      <c r="HQ36" s="368"/>
      <c r="HR36" s="368"/>
      <c r="HS36" s="368"/>
      <c r="HT36" s="368"/>
      <c r="HU36" s="368"/>
      <c r="HV36" s="368"/>
      <c r="HW36" s="368"/>
      <c r="HX36" s="368"/>
      <c r="HY36" s="368"/>
      <c r="HZ36" s="368"/>
      <c r="IA36" s="368"/>
      <c r="IB36" s="368"/>
      <c r="IC36" s="368"/>
      <c r="ID36" s="368"/>
      <c r="IE36" s="368"/>
      <c r="IF36" s="368"/>
      <c r="IG36" s="368"/>
      <c r="IH36" s="368"/>
      <c r="II36" s="368"/>
      <c r="IJ36" s="368"/>
      <c r="IK36" s="368"/>
      <c r="IL36" s="368"/>
      <c r="IM36" s="368"/>
      <c r="IN36" s="368"/>
      <c r="IO36" s="368"/>
      <c r="IP36" s="368"/>
      <c r="IQ36" s="368"/>
      <c r="IR36" s="368"/>
      <c r="IS36" s="368"/>
      <c r="IT36" s="368"/>
      <c r="IU36" s="368"/>
      <c r="IV36" s="368"/>
      <c r="IW36" s="368"/>
      <c r="IX36" s="368"/>
      <c r="IY36" s="368"/>
      <c r="IZ36" s="368"/>
      <c r="JA36" s="368"/>
      <c r="JB36" s="368"/>
      <c r="JC36" s="368"/>
      <c r="JD36" s="368"/>
      <c r="JE36" s="368"/>
      <c r="JF36" s="368"/>
      <c r="JG36" s="368"/>
      <c r="JH36" s="368"/>
      <c r="JI36" s="368"/>
      <c r="JJ36" s="368"/>
      <c r="JK36" s="368"/>
      <c r="JL36" s="368"/>
      <c r="JM36" s="368"/>
      <c r="JN36" s="368"/>
      <c r="JO36" s="368"/>
      <c r="JP36" s="368"/>
      <c r="JQ36" s="368"/>
      <c r="JR36" s="368"/>
      <c r="JS36" s="368"/>
      <c r="JT36" s="368"/>
      <c r="JU36" s="368"/>
      <c r="JV36" s="368"/>
      <c r="JW36" s="368"/>
      <c r="JX36" s="368"/>
      <c r="JY36" s="368"/>
      <c r="JZ36" s="368"/>
      <c r="KA36" s="368"/>
      <c r="KB36" s="368"/>
      <c r="KC36" s="368"/>
      <c r="KD36" s="368"/>
      <c r="KE36" s="368"/>
      <c r="KF36" s="368"/>
      <c r="KG36" s="368"/>
      <c r="KH36" s="368"/>
      <c r="KI36" s="368"/>
      <c r="KJ36" s="368"/>
      <c r="KK36" s="368"/>
      <c r="KL36" s="368"/>
      <c r="KM36" s="368"/>
      <c r="KN36" s="368"/>
      <c r="KO36" s="368"/>
      <c r="KP36" s="368"/>
      <c r="KQ36" s="368"/>
      <c r="KR36" s="368"/>
      <c r="KS36" s="368"/>
      <c r="KT36" s="368"/>
      <c r="KU36" s="368"/>
      <c r="KV36" s="368"/>
      <c r="KW36" s="368"/>
      <c r="KX36" s="368"/>
      <c r="KY36" s="368"/>
      <c r="KZ36" s="368"/>
      <c r="LA36" s="368"/>
      <c r="LB36" s="368"/>
      <c r="LC36" s="368"/>
      <c r="LD36" s="368"/>
      <c r="LE36" s="368"/>
      <c r="LF36" s="368"/>
      <c r="LG36" s="368"/>
      <c r="LH36" s="368"/>
      <c r="LI36" s="368"/>
      <c r="LJ36" s="368"/>
      <c r="LK36" s="368"/>
      <c r="LL36" s="368"/>
      <c r="LM36" s="368"/>
      <c r="LN36" s="368"/>
      <c r="LO36" s="368"/>
      <c r="LP36" s="368"/>
      <c r="LQ36" s="368"/>
      <c r="LR36" s="368"/>
      <c r="LS36" s="368"/>
      <c r="LT36" s="368"/>
      <c r="LU36" s="368"/>
      <c r="LV36" s="368"/>
      <c r="LW36" s="368"/>
      <c r="LX36" s="368"/>
      <c r="LY36" s="368"/>
      <c r="LZ36" s="368"/>
      <c r="MA36" s="368"/>
      <c r="MB36" s="368"/>
      <c r="MC36" s="368"/>
      <c r="MD36" s="368"/>
      <c r="ME36" s="368"/>
      <c r="MF36" s="368"/>
      <c r="MG36" s="368"/>
      <c r="MH36" s="368"/>
      <c r="MI36" s="368"/>
      <c r="MJ36" s="368"/>
      <c r="MK36" s="368"/>
      <c r="ML36" s="368"/>
      <c r="MM36" s="368"/>
      <c r="MN36" s="368"/>
      <c r="MO36" s="368"/>
      <c r="MP36" s="368"/>
      <c r="MQ36" s="368"/>
      <c r="MR36" s="368"/>
      <c r="MS36" s="368"/>
      <c r="MT36" s="368"/>
      <c r="MU36" s="368"/>
      <c r="MV36" s="368"/>
      <c r="MW36" s="368"/>
      <c r="MX36" s="368"/>
      <c r="MY36" s="368"/>
      <c r="MZ36" s="368"/>
      <c r="NA36" s="368"/>
      <c r="NB36" s="368"/>
      <c r="NC36" s="368"/>
      <c r="ND36" s="368"/>
      <c r="NE36" s="368"/>
      <c r="NF36" s="368"/>
      <c r="NG36" s="368"/>
      <c r="NH36" s="368"/>
      <c r="NI36" s="368"/>
      <c r="NJ36" s="368"/>
      <c r="NK36" s="368"/>
      <c r="NL36" s="368"/>
      <c r="NM36" s="368"/>
      <c r="NN36" s="368"/>
      <c r="NO36" s="368"/>
      <c r="NP36" s="368"/>
      <c r="NQ36" s="368"/>
      <c r="NR36" s="368"/>
      <c r="NS36" s="368"/>
      <c r="NT36" s="368"/>
      <c r="NU36" s="368"/>
      <c r="NV36" s="368"/>
      <c r="NW36" s="368"/>
      <c r="NX36" s="368"/>
      <c r="NY36" s="368"/>
      <c r="NZ36" s="368"/>
      <c r="OA36" s="368"/>
      <c r="OB36" s="368"/>
      <c r="OC36" s="368"/>
      <c r="OD36" s="368"/>
      <c r="OE36" s="368"/>
      <c r="OF36" s="368"/>
      <c r="OG36" s="368"/>
      <c r="OH36" s="368"/>
      <c r="OI36" s="368"/>
      <c r="OJ36" s="368"/>
      <c r="OK36" s="368"/>
      <c r="OL36" s="368"/>
      <c r="OM36" s="368"/>
      <c r="ON36" s="368"/>
      <c r="OO36" s="368"/>
      <c r="OP36" s="368"/>
      <c r="OQ36" s="368"/>
      <c r="OR36" s="368"/>
      <c r="OS36" s="368"/>
      <c r="OT36" s="368"/>
      <c r="OU36" s="368"/>
      <c r="OV36" s="368"/>
      <c r="OW36" s="368"/>
      <c r="OX36" s="368"/>
      <c r="OY36" s="368"/>
      <c r="OZ36" s="368"/>
      <c r="PA36" s="368"/>
      <c r="PB36" s="368"/>
      <c r="PC36" s="368"/>
      <c r="PD36" s="368"/>
      <c r="PE36" s="368"/>
      <c r="PF36" s="368"/>
      <c r="PG36" s="368"/>
      <c r="PH36" s="368"/>
      <c r="PI36" s="368"/>
      <c r="PJ36" s="368"/>
      <c r="PK36" s="368"/>
      <c r="PL36" s="368"/>
      <c r="PM36" s="368"/>
      <c r="PN36" s="368"/>
      <c r="PO36" s="368"/>
      <c r="PP36" s="368"/>
      <c r="PQ36" s="368"/>
      <c r="PR36" s="368"/>
      <c r="PS36" s="368"/>
      <c r="PT36" s="368"/>
      <c r="PU36" s="368"/>
      <c r="PV36" s="368"/>
      <c r="PW36" s="368"/>
      <c r="PX36" s="368"/>
      <c r="PY36" s="368"/>
      <c r="PZ36" s="368"/>
      <c r="QA36" s="368"/>
      <c r="QB36" s="368"/>
      <c r="QC36" s="368"/>
      <c r="QD36" s="368"/>
      <c r="QE36" s="368"/>
      <c r="QF36" s="368"/>
      <c r="QG36" s="368"/>
      <c r="QH36" s="368"/>
      <c r="QI36" s="368"/>
      <c r="QJ36" s="368"/>
      <c r="QK36" s="368"/>
      <c r="QL36" s="368"/>
      <c r="QM36" s="368"/>
      <c r="QN36" s="368"/>
      <c r="QO36" s="368"/>
      <c r="QP36" s="368"/>
      <c r="QQ36" s="368"/>
      <c r="QR36" s="368"/>
      <c r="QS36" s="368"/>
      <c r="QT36" s="368"/>
      <c r="QU36" s="368"/>
      <c r="QV36" s="368"/>
      <c r="QW36" s="368"/>
      <c r="QX36" s="368"/>
      <c r="QY36" s="368"/>
      <c r="QZ36" s="368"/>
      <c r="RA36" s="368"/>
      <c r="RB36" s="368"/>
      <c r="RC36" s="368"/>
      <c r="RD36" s="368"/>
      <c r="RE36" s="368"/>
      <c r="RF36" s="368"/>
      <c r="RG36" s="368"/>
      <c r="RH36" s="368"/>
      <c r="RI36" s="368"/>
      <c r="RJ36" s="368"/>
      <c r="RK36" s="368"/>
      <c r="RL36" s="368"/>
      <c r="RM36" s="368"/>
      <c r="RN36" s="368"/>
      <c r="RO36" s="368"/>
      <c r="RP36" s="368"/>
      <c r="RQ36" s="368"/>
      <c r="RR36" s="368"/>
      <c r="RS36" s="368"/>
      <c r="RT36" s="368"/>
      <c r="RU36" s="368"/>
      <c r="RV36" s="368"/>
      <c r="RW36" s="368"/>
      <c r="RX36" s="368"/>
      <c r="RY36" s="368"/>
      <c r="RZ36" s="368"/>
      <c r="SA36" s="368"/>
      <c r="SB36" s="368"/>
      <c r="SC36" s="368"/>
      <c r="SD36" s="368"/>
      <c r="SE36" s="368"/>
      <c r="SF36" s="368"/>
      <c r="SG36" s="368"/>
      <c r="SH36" s="368"/>
      <c r="SI36" s="368"/>
      <c r="SJ36" s="368"/>
      <c r="SK36" s="368"/>
      <c r="SL36" s="368"/>
      <c r="SM36" s="368"/>
      <c r="SN36" s="368"/>
      <c r="SO36" s="368"/>
      <c r="SP36" s="368"/>
      <c r="SQ36" s="368"/>
      <c r="SR36" s="368"/>
      <c r="SS36" s="368"/>
      <c r="ST36" s="368"/>
      <c r="SU36" s="368"/>
      <c r="SV36" s="368"/>
      <c r="SW36" s="368"/>
      <c r="SX36" s="368"/>
      <c r="SY36" s="368"/>
      <c r="SZ36" s="368"/>
      <c r="TA36" s="368"/>
      <c r="TB36" s="368"/>
      <c r="TC36" s="368"/>
      <c r="TD36" s="368"/>
      <c r="TE36" s="368"/>
      <c r="TF36" s="368"/>
      <c r="TG36" s="368"/>
      <c r="TH36" s="368"/>
      <c r="TI36" s="368"/>
      <c r="TJ36" s="368"/>
      <c r="TK36" s="368"/>
      <c r="TL36" s="368"/>
      <c r="TM36" s="368"/>
      <c r="TN36" s="368"/>
      <c r="TO36" s="368"/>
      <c r="TP36" s="368"/>
      <c r="TQ36" s="368"/>
      <c r="TR36" s="368"/>
      <c r="TS36" s="368"/>
      <c r="TT36" s="368"/>
      <c r="TU36" s="368"/>
      <c r="TV36" s="368"/>
      <c r="TW36" s="368"/>
      <c r="TX36" s="368"/>
      <c r="TY36" s="368"/>
      <c r="TZ36" s="368"/>
      <c r="UA36" s="368"/>
      <c r="UB36" s="368"/>
      <c r="UC36" s="368"/>
      <c r="UD36" s="368"/>
      <c r="UE36" s="368"/>
      <c r="UF36" s="368"/>
      <c r="UG36" s="368"/>
      <c r="UH36" s="368"/>
      <c r="UI36" s="368"/>
      <c r="UJ36" s="368"/>
      <c r="UK36" s="368"/>
      <c r="UL36" s="368"/>
      <c r="UM36" s="368"/>
      <c r="UN36" s="368"/>
      <c r="UO36" s="368"/>
      <c r="UP36" s="368"/>
      <c r="UQ36" s="368"/>
      <c r="UR36" s="368"/>
      <c r="US36" s="368"/>
      <c r="UT36" s="368"/>
      <c r="UU36" s="368"/>
      <c r="UV36" s="368"/>
      <c r="UW36" s="368"/>
      <c r="UX36" s="368"/>
      <c r="UY36" s="368"/>
      <c r="UZ36" s="368"/>
      <c r="VA36" s="368"/>
      <c r="VB36" s="368"/>
      <c r="VC36" s="368"/>
      <c r="VD36" s="368"/>
      <c r="VE36" s="368"/>
      <c r="VF36" s="368"/>
      <c r="VG36" s="368"/>
      <c r="VH36" s="368"/>
      <c r="VI36" s="368"/>
      <c r="VJ36" s="368"/>
      <c r="VK36" s="368"/>
      <c r="VL36" s="368"/>
      <c r="VM36" s="368"/>
      <c r="VN36" s="368"/>
      <c r="VO36" s="368"/>
      <c r="VP36" s="368"/>
      <c r="VQ36" s="368"/>
      <c r="VR36" s="368"/>
      <c r="VS36" s="368"/>
      <c r="VT36" s="368"/>
      <c r="VU36" s="368"/>
      <c r="VV36" s="368"/>
      <c r="VW36" s="368"/>
      <c r="VX36" s="368"/>
      <c r="VY36" s="368"/>
      <c r="VZ36" s="368"/>
      <c r="WA36" s="368"/>
      <c r="WB36" s="368"/>
      <c r="WC36" s="368"/>
      <c r="WD36" s="368"/>
      <c r="WE36" s="368"/>
      <c r="WF36" s="368"/>
      <c r="WG36" s="368"/>
      <c r="WH36" s="368"/>
      <c r="WI36" s="368"/>
      <c r="WJ36" s="368"/>
      <c r="WK36" s="368"/>
      <c r="WL36" s="368"/>
      <c r="WM36" s="368"/>
      <c r="WN36" s="368"/>
      <c r="WO36" s="368"/>
      <c r="WP36" s="368"/>
      <c r="WQ36" s="368"/>
      <c r="WR36" s="368"/>
      <c r="WS36" s="368"/>
      <c r="WT36" s="368"/>
      <c r="WU36" s="368"/>
      <c r="WV36" s="368"/>
      <c r="WW36" s="368"/>
      <c r="WX36" s="368"/>
      <c r="WY36" s="368"/>
      <c r="WZ36" s="368"/>
      <c r="XA36" s="368"/>
      <c r="XB36" s="368"/>
      <c r="XC36" s="368"/>
      <c r="XD36" s="368"/>
      <c r="XE36" s="368"/>
      <c r="XF36" s="368"/>
      <c r="XG36" s="368"/>
      <c r="XH36" s="368"/>
      <c r="XI36" s="368"/>
      <c r="XJ36" s="368"/>
      <c r="XK36" s="368"/>
      <c r="XL36" s="368"/>
      <c r="XM36" s="368"/>
      <c r="XN36" s="368"/>
      <c r="XO36" s="368"/>
      <c r="XP36" s="368"/>
      <c r="XQ36" s="368"/>
      <c r="XR36" s="368"/>
      <c r="XS36" s="368"/>
      <c r="XT36" s="368"/>
      <c r="XU36" s="368"/>
      <c r="XV36" s="368"/>
      <c r="XW36" s="368"/>
      <c r="XX36" s="368"/>
      <c r="XY36" s="368"/>
      <c r="XZ36" s="368"/>
      <c r="YA36" s="368"/>
      <c r="YB36" s="368"/>
      <c r="YC36" s="368"/>
      <c r="YD36" s="368"/>
      <c r="YE36" s="368"/>
      <c r="YF36" s="368"/>
      <c r="YG36" s="368"/>
      <c r="YH36" s="368"/>
      <c r="YI36" s="368"/>
      <c r="YJ36" s="368"/>
      <c r="YK36" s="368"/>
      <c r="YL36" s="368"/>
      <c r="YM36" s="368"/>
      <c r="YN36" s="368"/>
      <c r="YO36" s="368"/>
      <c r="YP36" s="368"/>
      <c r="YQ36" s="368"/>
      <c r="YR36" s="368"/>
      <c r="YS36" s="368"/>
      <c r="YT36" s="368"/>
      <c r="YU36" s="368"/>
      <c r="YV36" s="368"/>
      <c r="YW36" s="368"/>
      <c r="YX36" s="368"/>
      <c r="YY36" s="368"/>
      <c r="YZ36" s="368"/>
      <c r="ZA36" s="368"/>
      <c r="ZB36" s="368"/>
      <c r="ZC36" s="368"/>
      <c r="ZD36" s="368"/>
      <c r="ZE36" s="368"/>
      <c r="ZF36" s="368"/>
      <c r="ZG36" s="368"/>
      <c r="ZH36" s="368"/>
      <c r="ZI36" s="368"/>
      <c r="ZJ36" s="368"/>
      <c r="ZK36" s="368"/>
      <c r="ZL36" s="368"/>
      <c r="ZM36" s="368"/>
      <c r="ZN36" s="368"/>
      <c r="ZO36" s="368"/>
      <c r="ZP36" s="368"/>
      <c r="ZQ36" s="368"/>
      <c r="ZR36" s="368"/>
      <c r="ZS36" s="368"/>
      <c r="ZT36" s="368"/>
      <c r="ZU36" s="368"/>
      <c r="ZV36" s="368"/>
      <c r="ZW36" s="368"/>
      <c r="ZX36" s="368"/>
      <c r="ZY36" s="368"/>
      <c r="ZZ36" s="368"/>
      <c r="AAA36" s="368"/>
      <c r="AAB36" s="368"/>
      <c r="AAC36" s="368"/>
      <c r="AAD36" s="368"/>
      <c r="AAE36" s="368"/>
      <c r="AAF36" s="368"/>
      <c r="AAG36" s="368"/>
      <c r="AAH36" s="368"/>
      <c r="AAI36" s="368"/>
      <c r="AAJ36" s="368"/>
      <c r="AAK36" s="368"/>
      <c r="AAL36" s="368"/>
      <c r="AAM36" s="368"/>
      <c r="AAN36" s="368"/>
      <c r="AAO36" s="368"/>
      <c r="AAP36" s="368"/>
      <c r="AAQ36" s="368"/>
      <c r="AAR36" s="368"/>
      <c r="AAS36" s="368"/>
      <c r="AAT36" s="368"/>
      <c r="AAU36" s="368"/>
      <c r="AAV36" s="368"/>
      <c r="AAW36" s="368"/>
      <c r="AAX36" s="368"/>
      <c r="AAY36" s="368"/>
      <c r="AAZ36" s="368"/>
      <c r="ABA36" s="368"/>
      <c r="ABB36" s="368"/>
      <c r="ABC36" s="368"/>
      <c r="ABD36" s="368"/>
      <c r="ABE36" s="368"/>
      <c r="ABF36" s="368"/>
      <c r="ABG36" s="368"/>
      <c r="ABH36" s="368"/>
      <c r="ABI36" s="368"/>
      <c r="ABJ36" s="368"/>
      <c r="ABK36" s="368"/>
      <c r="ABL36" s="368"/>
      <c r="ABM36" s="368"/>
      <c r="ABN36" s="368"/>
      <c r="ABO36" s="368"/>
      <c r="ABP36" s="368"/>
      <c r="ABQ36" s="368"/>
      <c r="ABR36" s="368"/>
      <c r="ABS36" s="368"/>
      <c r="ABT36" s="368"/>
      <c r="ABU36" s="368"/>
      <c r="ABV36" s="368"/>
      <c r="ABW36" s="368"/>
      <c r="ABX36" s="368"/>
      <c r="ABY36" s="368"/>
      <c r="ABZ36" s="368"/>
      <c r="ACA36" s="368"/>
      <c r="ACB36" s="368"/>
      <c r="ACC36" s="368"/>
      <c r="ACD36" s="368"/>
      <c r="ACE36" s="368"/>
      <c r="ACF36" s="368"/>
      <c r="ACG36" s="368"/>
      <c r="ACH36" s="368"/>
      <c r="ACI36" s="368"/>
      <c r="ACJ36" s="368"/>
      <c r="ACK36" s="368"/>
      <c r="ACL36" s="368"/>
      <c r="ACM36" s="368"/>
      <c r="ACN36" s="368"/>
      <c r="ACO36" s="368"/>
      <c r="ACP36" s="368"/>
      <c r="ACQ36" s="368"/>
      <c r="ACR36" s="368"/>
      <c r="ACS36" s="368"/>
      <c r="ACT36" s="368"/>
      <c r="ACU36" s="368"/>
      <c r="ACV36" s="368"/>
      <c r="ACW36" s="368"/>
      <c r="ACX36" s="368"/>
      <c r="ACY36" s="368"/>
      <c r="ACZ36" s="368"/>
      <c r="ADA36" s="368"/>
      <c r="ADB36" s="368"/>
      <c r="ADC36" s="368"/>
      <c r="ADD36" s="368"/>
      <c r="ADE36" s="368"/>
      <c r="ADF36" s="368"/>
      <c r="ADG36" s="368"/>
      <c r="ADH36" s="368"/>
      <c r="ADI36" s="368"/>
      <c r="ADJ36" s="368"/>
      <c r="ADK36" s="368"/>
      <c r="ADL36" s="368"/>
      <c r="ADM36" s="368"/>
      <c r="ADN36" s="368"/>
      <c r="ADO36" s="368"/>
      <c r="ADP36" s="368"/>
      <c r="ADQ36" s="368"/>
      <c r="ADR36" s="368"/>
      <c r="ADS36" s="368"/>
      <c r="ADT36" s="368"/>
      <c r="ADU36" s="368"/>
      <c r="ADV36" s="368"/>
      <c r="ADW36" s="368"/>
      <c r="ADX36" s="368"/>
      <c r="ADY36" s="368"/>
      <c r="ADZ36" s="368"/>
      <c r="AEA36" s="368"/>
      <c r="AEB36" s="368"/>
      <c r="AEC36" s="368"/>
      <c r="AED36" s="368"/>
      <c r="AEE36" s="368"/>
      <c r="AEF36" s="368"/>
      <c r="AEG36" s="368"/>
      <c r="AEH36" s="368"/>
      <c r="AEI36" s="368"/>
      <c r="AEJ36" s="368"/>
      <c r="AEK36" s="368"/>
      <c r="AEL36" s="368"/>
      <c r="AEM36" s="368"/>
      <c r="AEN36" s="368"/>
      <c r="AEO36" s="368"/>
      <c r="AEP36" s="368"/>
      <c r="AEQ36" s="368"/>
      <c r="AER36" s="368"/>
      <c r="AES36" s="368"/>
      <c r="AET36" s="368"/>
      <c r="AEU36" s="368"/>
      <c r="AEV36" s="368"/>
      <c r="AEW36" s="368"/>
      <c r="AEX36" s="368"/>
      <c r="AEY36" s="368"/>
      <c r="AEZ36" s="368"/>
      <c r="AFA36" s="368"/>
      <c r="AFB36" s="368"/>
      <c r="AFC36" s="368"/>
      <c r="AFD36" s="368"/>
      <c r="AFE36" s="368"/>
      <c r="AFF36" s="368"/>
      <c r="AFG36" s="368"/>
      <c r="AFH36" s="368"/>
      <c r="AFI36" s="368"/>
      <c r="AFJ36" s="368"/>
      <c r="AFK36" s="368"/>
      <c r="AFL36" s="368"/>
      <c r="AFM36" s="368"/>
      <c r="AFN36" s="368"/>
      <c r="AFO36" s="368"/>
      <c r="AFP36" s="368"/>
      <c r="AFQ36" s="368"/>
      <c r="AFR36" s="368"/>
      <c r="AFS36" s="368"/>
      <c r="AFT36" s="368"/>
      <c r="AFU36" s="368"/>
      <c r="AFV36" s="368"/>
      <c r="AFW36" s="368"/>
      <c r="AFX36" s="368"/>
      <c r="AFY36" s="368"/>
      <c r="AFZ36" s="368"/>
      <c r="AGA36" s="368"/>
      <c r="AGB36" s="368"/>
      <c r="AGC36" s="368"/>
      <c r="AGD36" s="368"/>
      <c r="AGE36" s="368"/>
      <c r="AGF36" s="368"/>
      <c r="AGG36" s="368"/>
      <c r="AGH36" s="368"/>
      <c r="AGI36" s="368"/>
      <c r="AGJ36" s="368"/>
      <c r="AGK36" s="368"/>
      <c r="AGL36" s="368"/>
      <c r="AGM36" s="368"/>
      <c r="AGN36" s="368"/>
      <c r="AGO36" s="368"/>
      <c r="AGP36" s="368"/>
      <c r="AGQ36" s="368"/>
      <c r="AGR36" s="368"/>
      <c r="AGS36" s="368"/>
      <c r="AGT36" s="368"/>
      <c r="AGU36" s="368"/>
      <c r="AGV36" s="368"/>
      <c r="AGW36" s="368"/>
      <c r="AGX36" s="368"/>
      <c r="AGY36" s="368"/>
      <c r="AGZ36" s="368"/>
      <c r="AHA36" s="368"/>
      <c r="AHB36" s="368"/>
      <c r="AHC36" s="368"/>
      <c r="AHD36" s="368"/>
      <c r="AHE36" s="368"/>
      <c r="AHF36" s="368"/>
      <c r="AHG36" s="368"/>
      <c r="AHH36" s="368"/>
      <c r="AHI36" s="368"/>
      <c r="AHJ36" s="368"/>
      <c r="AHK36" s="368"/>
      <c r="AHL36" s="368"/>
      <c r="AHM36" s="368"/>
      <c r="AHN36" s="368"/>
      <c r="AHO36" s="368"/>
      <c r="AHP36" s="368"/>
      <c r="AHQ36" s="368"/>
      <c r="AHR36" s="368"/>
      <c r="AHS36" s="368"/>
      <c r="AHT36" s="368"/>
      <c r="AHU36" s="368"/>
      <c r="AHV36" s="368"/>
      <c r="AHW36" s="368"/>
      <c r="AHX36" s="368"/>
      <c r="AHY36" s="368"/>
      <c r="AHZ36" s="368"/>
      <c r="AIA36" s="368"/>
      <c r="AIB36" s="368"/>
      <c r="AIC36" s="368"/>
      <c r="AID36" s="368"/>
      <c r="AIE36" s="368"/>
      <c r="AIF36" s="368"/>
      <c r="AIG36" s="368"/>
      <c r="AIH36" s="368"/>
      <c r="AII36" s="368"/>
      <c r="AIJ36" s="368"/>
      <c r="AIK36" s="368"/>
      <c r="AIL36" s="368"/>
      <c r="AIM36" s="368"/>
      <c r="AIN36" s="368"/>
      <c r="AIO36" s="368"/>
      <c r="AIP36" s="368"/>
      <c r="AIQ36" s="368"/>
      <c r="AIR36" s="368"/>
      <c r="AIS36" s="368"/>
      <c r="AIT36" s="368"/>
      <c r="AIU36" s="368"/>
      <c r="AIV36" s="368"/>
      <c r="AIW36" s="368"/>
      <c r="AIX36" s="368"/>
      <c r="AIY36" s="368"/>
      <c r="AIZ36" s="368"/>
      <c r="AJA36" s="368"/>
      <c r="AJB36" s="368"/>
      <c r="AJC36" s="368"/>
      <c r="AJD36" s="368"/>
      <c r="AJE36" s="368"/>
      <c r="AJF36" s="368"/>
      <c r="AJG36" s="368"/>
      <c r="AJH36" s="368"/>
      <c r="AJI36" s="368"/>
      <c r="AJJ36" s="368"/>
      <c r="AJK36" s="368"/>
      <c r="AJL36" s="368"/>
      <c r="AJM36" s="368"/>
      <c r="AJN36" s="368"/>
      <c r="AJO36" s="368"/>
      <c r="AJP36" s="368"/>
      <c r="AJQ36" s="368"/>
      <c r="AJR36" s="368"/>
      <c r="AJS36" s="368"/>
      <c r="AJT36" s="368"/>
      <c r="AJU36" s="368"/>
      <c r="AJV36" s="368"/>
      <c r="AJW36" s="368"/>
      <c r="AJX36" s="368"/>
      <c r="AJY36" s="368"/>
      <c r="AJZ36" s="368"/>
      <c r="AKA36" s="368"/>
      <c r="AKB36" s="368"/>
      <c r="AKC36" s="368"/>
      <c r="AKD36" s="368"/>
      <c r="AKE36" s="368"/>
      <c r="AKF36" s="368"/>
      <c r="AKG36" s="368"/>
      <c r="AKH36" s="368"/>
      <c r="AKI36" s="368"/>
      <c r="AKJ36" s="368"/>
      <c r="AKK36" s="368"/>
      <c r="AKL36" s="368"/>
      <c r="AKM36" s="368"/>
      <c r="AKN36" s="368"/>
      <c r="AKO36" s="368"/>
      <c r="AKP36" s="368"/>
      <c r="AKQ36" s="368"/>
      <c r="AKR36" s="368"/>
      <c r="AKS36" s="368"/>
      <c r="AKT36" s="368"/>
      <c r="AKU36" s="368"/>
      <c r="AKV36" s="368"/>
      <c r="AKW36" s="368"/>
      <c r="AKX36" s="368"/>
      <c r="AKY36" s="368"/>
      <c r="AKZ36" s="368"/>
      <c r="ALA36" s="368"/>
      <c r="ALB36" s="368"/>
      <c r="ALC36" s="368"/>
      <c r="ALD36" s="368"/>
      <c r="ALE36" s="368"/>
      <c r="ALF36" s="368"/>
      <c r="ALG36" s="368"/>
      <c r="ALH36" s="368"/>
      <c r="ALI36" s="368"/>
      <c r="ALJ36" s="368"/>
      <c r="ALK36" s="368"/>
      <c r="ALL36" s="368"/>
      <c r="ALM36" s="368"/>
      <c r="ALN36" s="368"/>
      <c r="ALO36" s="368"/>
      <c r="ALP36" s="368"/>
      <c r="ALQ36" s="368"/>
      <c r="ALR36" s="368"/>
      <c r="ALS36" s="368"/>
      <c r="ALT36" s="368"/>
      <c r="ALU36" s="368"/>
      <c r="ALV36" s="368"/>
      <c r="ALW36" s="368"/>
      <c r="ALX36" s="368"/>
      <c r="ALY36" s="368"/>
      <c r="ALZ36" s="368"/>
      <c r="AMA36" s="368"/>
      <c r="AMB36" s="368"/>
      <c r="AMC36" s="368"/>
      <c r="AMD36" s="368"/>
      <c r="AME36" s="368"/>
      <c r="AMF36" s="368"/>
      <c r="AMG36" s="368"/>
      <c r="AMH36" s="368"/>
      <c r="AMI36" s="368"/>
      <c r="AMJ36" s="368"/>
    </row>
    <row r="37" spans="1:1024" ht="7.5" customHeight="1">
      <c r="A37" s="368"/>
      <c r="B37" s="761"/>
      <c r="C37" s="762"/>
      <c r="D37" s="762"/>
      <c r="E37" s="762"/>
      <c r="F37" s="762"/>
      <c r="G37" s="762"/>
      <c r="H37" s="763"/>
      <c r="I37" s="368"/>
      <c r="J37" s="368"/>
      <c r="K37" s="368"/>
      <c r="L37" s="368"/>
      <c r="M37" s="368"/>
      <c r="N37" s="368"/>
      <c r="O37" s="368"/>
      <c r="P37" s="368"/>
      <c r="Q37" s="368"/>
      <c r="R37" s="368"/>
      <c r="S37" s="368"/>
      <c r="T37" s="368"/>
      <c r="U37" s="368"/>
      <c r="V37" s="368"/>
      <c r="W37" s="368"/>
      <c r="X37" s="368"/>
      <c r="Y37" s="368"/>
      <c r="Z37" s="368"/>
      <c r="AA37" s="368"/>
      <c r="AB37" s="368"/>
      <c r="AC37" s="368"/>
      <c r="AD37" s="368"/>
      <c r="AE37" s="368"/>
      <c r="AF37" s="368"/>
      <c r="AG37" s="368"/>
      <c r="AH37" s="368"/>
      <c r="AI37" s="368"/>
      <c r="AJ37" s="368"/>
      <c r="AK37" s="368"/>
      <c r="AL37" s="368"/>
      <c r="AM37" s="368"/>
      <c r="AN37" s="368"/>
      <c r="AO37" s="368"/>
      <c r="AP37" s="368"/>
      <c r="AQ37" s="368"/>
      <c r="AR37" s="368"/>
      <c r="AS37" s="368"/>
      <c r="AT37" s="368"/>
      <c r="AU37" s="368"/>
      <c r="AV37" s="368"/>
      <c r="AW37" s="368"/>
      <c r="AX37" s="368"/>
      <c r="AY37" s="368"/>
      <c r="AZ37" s="368"/>
      <c r="BA37" s="368"/>
      <c r="BB37" s="368"/>
      <c r="BC37" s="368"/>
      <c r="BD37" s="368"/>
      <c r="BE37" s="368"/>
      <c r="BF37" s="368"/>
      <c r="BG37" s="368"/>
      <c r="BH37" s="368"/>
      <c r="BI37" s="368"/>
      <c r="BJ37" s="368"/>
      <c r="BK37" s="368"/>
      <c r="BL37" s="368"/>
      <c r="BM37" s="368"/>
      <c r="BN37" s="368"/>
      <c r="BO37" s="368"/>
      <c r="BP37" s="368"/>
      <c r="BQ37" s="368"/>
      <c r="BR37" s="368"/>
      <c r="BS37" s="368"/>
      <c r="BT37" s="368"/>
      <c r="BU37" s="368"/>
      <c r="BV37" s="368"/>
      <c r="BW37" s="368"/>
      <c r="BX37" s="368"/>
      <c r="BY37" s="368"/>
      <c r="BZ37" s="368"/>
      <c r="CA37" s="368"/>
      <c r="CB37" s="368"/>
      <c r="CC37" s="368"/>
      <c r="CD37" s="368"/>
      <c r="CE37" s="368"/>
      <c r="CF37" s="368"/>
      <c r="CG37" s="368"/>
      <c r="CH37" s="368"/>
      <c r="CI37" s="368"/>
      <c r="CJ37" s="368"/>
      <c r="CK37" s="368"/>
      <c r="CL37" s="368"/>
      <c r="CM37" s="368"/>
      <c r="CN37" s="368"/>
      <c r="CO37" s="368"/>
      <c r="CP37" s="368"/>
      <c r="CQ37" s="368"/>
      <c r="CR37" s="368"/>
      <c r="CS37" s="368"/>
      <c r="CT37" s="368"/>
      <c r="CU37" s="368"/>
      <c r="CV37" s="368"/>
      <c r="CW37" s="368"/>
      <c r="CX37" s="368"/>
      <c r="CY37" s="368"/>
      <c r="CZ37" s="368"/>
      <c r="DA37" s="368"/>
      <c r="DB37" s="368"/>
      <c r="DC37" s="368"/>
      <c r="DD37" s="368"/>
      <c r="DE37" s="368"/>
      <c r="DF37" s="368"/>
      <c r="DG37" s="368"/>
      <c r="DH37" s="368"/>
      <c r="DI37" s="368"/>
      <c r="DJ37" s="368"/>
      <c r="DK37" s="368"/>
      <c r="DL37" s="368"/>
      <c r="DM37" s="368"/>
      <c r="DN37" s="368"/>
      <c r="DO37" s="368"/>
      <c r="DP37" s="368"/>
      <c r="DQ37" s="368"/>
      <c r="DR37" s="368"/>
      <c r="DS37" s="368"/>
      <c r="DT37" s="368"/>
      <c r="DU37" s="368"/>
      <c r="DV37" s="368"/>
      <c r="DW37" s="368"/>
      <c r="DX37" s="368"/>
      <c r="DY37" s="368"/>
      <c r="DZ37" s="368"/>
      <c r="EA37" s="368"/>
      <c r="EB37" s="368"/>
      <c r="EC37" s="368"/>
      <c r="ED37" s="368"/>
      <c r="EE37" s="368"/>
      <c r="EF37" s="368"/>
      <c r="EG37" s="368"/>
      <c r="EH37" s="368"/>
      <c r="EI37" s="368"/>
      <c r="EJ37" s="368"/>
      <c r="EK37" s="368"/>
      <c r="EL37" s="368"/>
      <c r="EM37" s="368"/>
      <c r="EN37" s="368"/>
      <c r="EO37" s="368"/>
      <c r="EP37" s="368"/>
      <c r="EQ37" s="368"/>
      <c r="ER37" s="368"/>
      <c r="ES37" s="368"/>
      <c r="ET37" s="368"/>
      <c r="EU37" s="368"/>
      <c r="EV37" s="368"/>
      <c r="EW37" s="368"/>
      <c r="EX37" s="368"/>
      <c r="EY37" s="368"/>
      <c r="EZ37" s="368"/>
      <c r="FA37" s="368"/>
      <c r="FB37" s="368"/>
      <c r="FC37" s="368"/>
      <c r="FD37" s="368"/>
      <c r="FE37" s="368"/>
      <c r="FF37" s="368"/>
      <c r="FG37" s="368"/>
      <c r="FH37" s="368"/>
      <c r="FI37" s="368"/>
      <c r="FJ37" s="368"/>
      <c r="FK37" s="368"/>
      <c r="FL37" s="368"/>
      <c r="FM37" s="368"/>
      <c r="FN37" s="368"/>
      <c r="FO37" s="368"/>
      <c r="FP37" s="368"/>
      <c r="FQ37" s="368"/>
      <c r="FR37" s="368"/>
      <c r="FS37" s="368"/>
      <c r="FT37" s="368"/>
      <c r="FU37" s="368"/>
      <c r="FV37" s="368"/>
      <c r="FW37" s="368"/>
      <c r="FX37" s="368"/>
      <c r="FY37" s="368"/>
      <c r="FZ37" s="368"/>
      <c r="GA37" s="368"/>
      <c r="GB37" s="368"/>
      <c r="GC37" s="368"/>
      <c r="GD37" s="368"/>
      <c r="GE37" s="368"/>
      <c r="GF37" s="368"/>
      <c r="GG37" s="368"/>
      <c r="GH37" s="368"/>
      <c r="GI37" s="368"/>
      <c r="GJ37" s="368"/>
      <c r="GK37" s="368"/>
      <c r="GL37" s="368"/>
      <c r="GM37" s="368"/>
      <c r="GN37" s="368"/>
      <c r="GO37" s="368"/>
      <c r="GP37" s="368"/>
      <c r="GQ37" s="368"/>
      <c r="GR37" s="368"/>
      <c r="GS37" s="368"/>
      <c r="GT37" s="368"/>
      <c r="GU37" s="368"/>
      <c r="GV37" s="368"/>
      <c r="GW37" s="368"/>
      <c r="GX37" s="368"/>
      <c r="GY37" s="368"/>
      <c r="GZ37" s="368"/>
      <c r="HA37" s="368"/>
      <c r="HB37" s="368"/>
      <c r="HC37" s="368"/>
      <c r="HD37" s="368"/>
      <c r="HE37" s="368"/>
      <c r="HF37" s="368"/>
      <c r="HG37" s="368"/>
      <c r="HH37" s="368"/>
      <c r="HI37" s="368"/>
      <c r="HJ37" s="368"/>
      <c r="HK37" s="368"/>
      <c r="HL37" s="368"/>
      <c r="HM37" s="368"/>
      <c r="HN37" s="368"/>
      <c r="HO37" s="368"/>
      <c r="HP37" s="368"/>
      <c r="HQ37" s="368"/>
      <c r="HR37" s="368"/>
      <c r="HS37" s="368"/>
      <c r="HT37" s="368"/>
      <c r="HU37" s="368"/>
      <c r="HV37" s="368"/>
      <c r="HW37" s="368"/>
      <c r="HX37" s="368"/>
      <c r="HY37" s="368"/>
      <c r="HZ37" s="368"/>
      <c r="IA37" s="368"/>
      <c r="IB37" s="368"/>
      <c r="IC37" s="368"/>
      <c r="ID37" s="368"/>
      <c r="IE37" s="368"/>
      <c r="IF37" s="368"/>
      <c r="IG37" s="368"/>
      <c r="IH37" s="368"/>
      <c r="II37" s="368"/>
      <c r="IJ37" s="368"/>
      <c r="IK37" s="368"/>
      <c r="IL37" s="368"/>
      <c r="IM37" s="368"/>
      <c r="IN37" s="368"/>
      <c r="IO37" s="368"/>
      <c r="IP37" s="368"/>
      <c r="IQ37" s="368"/>
      <c r="IR37" s="368"/>
      <c r="IS37" s="368"/>
      <c r="IT37" s="368"/>
      <c r="IU37" s="368"/>
      <c r="IV37" s="368"/>
      <c r="IW37" s="368"/>
      <c r="IX37" s="368"/>
      <c r="IY37" s="368"/>
      <c r="IZ37" s="368"/>
      <c r="JA37" s="368"/>
      <c r="JB37" s="368"/>
      <c r="JC37" s="368"/>
      <c r="JD37" s="368"/>
      <c r="JE37" s="368"/>
      <c r="JF37" s="368"/>
      <c r="JG37" s="368"/>
      <c r="JH37" s="368"/>
      <c r="JI37" s="368"/>
      <c r="JJ37" s="368"/>
      <c r="JK37" s="368"/>
      <c r="JL37" s="368"/>
      <c r="JM37" s="368"/>
      <c r="JN37" s="368"/>
      <c r="JO37" s="368"/>
      <c r="JP37" s="368"/>
      <c r="JQ37" s="368"/>
      <c r="JR37" s="368"/>
      <c r="JS37" s="368"/>
      <c r="JT37" s="368"/>
      <c r="JU37" s="368"/>
      <c r="JV37" s="368"/>
      <c r="JW37" s="368"/>
      <c r="JX37" s="368"/>
      <c r="JY37" s="368"/>
      <c r="JZ37" s="368"/>
      <c r="KA37" s="368"/>
      <c r="KB37" s="368"/>
      <c r="KC37" s="368"/>
      <c r="KD37" s="368"/>
      <c r="KE37" s="368"/>
      <c r="KF37" s="368"/>
      <c r="KG37" s="368"/>
      <c r="KH37" s="368"/>
      <c r="KI37" s="368"/>
      <c r="KJ37" s="368"/>
      <c r="KK37" s="368"/>
      <c r="KL37" s="368"/>
      <c r="KM37" s="368"/>
      <c r="KN37" s="368"/>
      <c r="KO37" s="368"/>
      <c r="KP37" s="368"/>
      <c r="KQ37" s="368"/>
      <c r="KR37" s="368"/>
      <c r="KS37" s="368"/>
      <c r="KT37" s="368"/>
      <c r="KU37" s="368"/>
      <c r="KV37" s="368"/>
      <c r="KW37" s="368"/>
      <c r="KX37" s="368"/>
      <c r="KY37" s="368"/>
      <c r="KZ37" s="368"/>
      <c r="LA37" s="368"/>
      <c r="LB37" s="368"/>
      <c r="LC37" s="368"/>
      <c r="LD37" s="368"/>
      <c r="LE37" s="368"/>
      <c r="LF37" s="368"/>
      <c r="LG37" s="368"/>
      <c r="LH37" s="368"/>
      <c r="LI37" s="368"/>
      <c r="LJ37" s="368"/>
      <c r="LK37" s="368"/>
      <c r="LL37" s="368"/>
      <c r="LM37" s="368"/>
      <c r="LN37" s="368"/>
      <c r="LO37" s="368"/>
      <c r="LP37" s="368"/>
      <c r="LQ37" s="368"/>
      <c r="LR37" s="368"/>
      <c r="LS37" s="368"/>
      <c r="LT37" s="368"/>
      <c r="LU37" s="368"/>
      <c r="LV37" s="368"/>
      <c r="LW37" s="368"/>
      <c r="LX37" s="368"/>
      <c r="LY37" s="368"/>
      <c r="LZ37" s="368"/>
      <c r="MA37" s="368"/>
      <c r="MB37" s="368"/>
      <c r="MC37" s="368"/>
      <c r="MD37" s="368"/>
      <c r="ME37" s="368"/>
      <c r="MF37" s="368"/>
      <c r="MG37" s="368"/>
      <c r="MH37" s="368"/>
      <c r="MI37" s="368"/>
      <c r="MJ37" s="368"/>
      <c r="MK37" s="368"/>
      <c r="ML37" s="368"/>
      <c r="MM37" s="368"/>
      <c r="MN37" s="368"/>
      <c r="MO37" s="368"/>
      <c r="MP37" s="368"/>
      <c r="MQ37" s="368"/>
      <c r="MR37" s="368"/>
      <c r="MS37" s="368"/>
      <c r="MT37" s="368"/>
      <c r="MU37" s="368"/>
      <c r="MV37" s="368"/>
      <c r="MW37" s="368"/>
      <c r="MX37" s="368"/>
      <c r="MY37" s="368"/>
      <c r="MZ37" s="368"/>
      <c r="NA37" s="368"/>
      <c r="NB37" s="368"/>
      <c r="NC37" s="368"/>
      <c r="ND37" s="368"/>
      <c r="NE37" s="368"/>
      <c r="NF37" s="368"/>
      <c r="NG37" s="368"/>
      <c r="NH37" s="368"/>
      <c r="NI37" s="368"/>
      <c r="NJ37" s="368"/>
      <c r="NK37" s="368"/>
      <c r="NL37" s="368"/>
      <c r="NM37" s="368"/>
      <c r="NN37" s="368"/>
      <c r="NO37" s="368"/>
      <c r="NP37" s="368"/>
      <c r="NQ37" s="368"/>
      <c r="NR37" s="368"/>
      <c r="NS37" s="368"/>
      <c r="NT37" s="368"/>
      <c r="NU37" s="368"/>
      <c r="NV37" s="368"/>
      <c r="NW37" s="368"/>
      <c r="NX37" s="368"/>
      <c r="NY37" s="368"/>
      <c r="NZ37" s="368"/>
      <c r="OA37" s="368"/>
      <c r="OB37" s="368"/>
      <c r="OC37" s="368"/>
      <c r="OD37" s="368"/>
      <c r="OE37" s="368"/>
      <c r="OF37" s="368"/>
      <c r="OG37" s="368"/>
      <c r="OH37" s="368"/>
      <c r="OI37" s="368"/>
      <c r="OJ37" s="368"/>
      <c r="OK37" s="368"/>
      <c r="OL37" s="368"/>
      <c r="OM37" s="368"/>
      <c r="ON37" s="368"/>
      <c r="OO37" s="368"/>
      <c r="OP37" s="368"/>
      <c r="OQ37" s="368"/>
      <c r="OR37" s="368"/>
      <c r="OS37" s="368"/>
      <c r="OT37" s="368"/>
      <c r="OU37" s="368"/>
      <c r="OV37" s="368"/>
      <c r="OW37" s="368"/>
      <c r="OX37" s="368"/>
      <c r="OY37" s="368"/>
      <c r="OZ37" s="368"/>
      <c r="PA37" s="368"/>
      <c r="PB37" s="368"/>
      <c r="PC37" s="368"/>
      <c r="PD37" s="368"/>
      <c r="PE37" s="368"/>
      <c r="PF37" s="368"/>
      <c r="PG37" s="368"/>
      <c r="PH37" s="368"/>
      <c r="PI37" s="368"/>
      <c r="PJ37" s="368"/>
      <c r="PK37" s="368"/>
      <c r="PL37" s="368"/>
      <c r="PM37" s="368"/>
      <c r="PN37" s="368"/>
      <c r="PO37" s="368"/>
      <c r="PP37" s="368"/>
      <c r="PQ37" s="368"/>
      <c r="PR37" s="368"/>
      <c r="PS37" s="368"/>
      <c r="PT37" s="368"/>
      <c r="PU37" s="368"/>
      <c r="PV37" s="368"/>
      <c r="PW37" s="368"/>
      <c r="PX37" s="368"/>
      <c r="PY37" s="368"/>
      <c r="PZ37" s="368"/>
      <c r="QA37" s="368"/>
      <c r="QB37" s="368"/>
      <c r="QC37" s="368"/>
      <c r="QD37" s="368"/>
      <c r="QE37" s="368"/>
      <c r="QF37" s="368"/>
      <c r="QG37" s="368"/>
      <c r="QH37" s="368"/>
      <c r="QI37" s="368"/>
      <c r="QJ37" s="368"/>
      <c r="QK37" s="368"/>
      <c r="QL37" s="368"/>
      <c r="QM37" s="368"/>
      <c r="QN37" s="368"/>
      <c r="QO37" s="368"/>
      <c r="QP37" s="368"/>
      <c r="QQ37" s="368"/>
      <c r="QR37" s="368"/>
      <c r="QS37" s="368"/>
      <c r="QT37" s="368"/>
      <c r="QU37" s="368"/>
      <c r="QV37" s="368"/>
      <c r="QW37" s="368"/>
      <c r="QX37" s="368"/>
      <c r="QY37" s="368"/>
      <c r="QZ37" s="368"/>
      <c r="RA37" s="368"/>
      <c r="RB37" s="368"/>
      <c r="RC37" s="368"/>
      <c r="RD37" s="368"/>
      <c r="RE37" s="368"/>
      <c r="RF37" s="368"/>
      <c r="RG37" s="368"/>
      <c r="RH37" s="368"/>
      <c r="RI37" s="368"/>
      <c r="RJ37" s="368"/>
      <c r="RK37" s="368"/>
      <c r="RL37" s="368"/>
      <c r="RM37" s="368"/>
      <c r="RN37" s="368"/>
      <c r="RO37" s="368"/>
      <c r="RP37" s="368"/>
      <c r="RQ37" s="368"/>
      <c r="RR37" s="368"/>
      <c r="RS37" s="368"/>
      <c r="RT37" s="368"/>
      <c r="RU37" s="368"/>
      <c r="RV37" s="368"/>
      <c r="RW37" s="368"/>
      <c r="RX37" s="368"/>
      <c r="RY37" s="368"/>
      <c r="RZ37" s="368"/>
      <c r="SA37" s="368"/>
      <c r="SB37" s="368"/>
      <c r="SC37" s="368"/>
      <c r="SD37" s="368"/>
      <c r="SE37" s="368"/>
      <c r="SF37" s="368"/>
      <c r="SG37" s="368"/>
      <c r="SH37" s="368"/>
      <c r="SI37" s="368"/>
      <c r="SJ37" s="368"/>
      <c r="SK37" s="368"/>
      <c r="SL37" s="368"/>
      <c r="SM37" s="368"/>
      <c r="SN37" s="368"/>
      <c r="SO37" s="368"/>
      <c r="SP37" s="368"/>
      <c r="SQ37" s="368"/>
      <c r="SR37" s="368"/>
      <c r="SS37" s="368"/>
      <c r="ST37" s="368"/>
      <c r="SU37" s="368"/>
      <c r="SV37" s="368"/>
      <c r="SW37" s="368"/>
      <c r="SX37" s="368"/>
      <c r="SY37" s="368"/>
      <c r="SZ37" s="368"/>
      <c r="TA37" s="368"/>
      <c r="TB37" s="368"/>
      <c r="TC37" s="368"/>
      <c r="TD37" s="368"/>
      <c r="TE37" s="368"/>
      <c r="TF37" s="368"/>
      <c r="TG37" s="368"/>
      <c r="TH37" s="368"/>
      <c r="TI37" s="368"/>
      <c r="TJ37" s="368"/>
      <c r="TK37" s="368"/>
      <c r="TL37" s="368"/>
      <c r="TM37" s="368"/>
      <c r="TN37" s="368"/>
      <c r="TO37" s="368"/>
      <c r="TP37" s="368"/>
      <c r="TQ37" s="368"/>
      <c r="TR37" s="368"/>
      <c r="TS37" s="368"/>
      <c r="TT37" s="368"/>
      <c r="TU37" s="368"/>
      <c r="TV37" s="368"/>
      <c r="TW37" s="368"/>
      <c r="TX37" s="368"/>
      <c r="TY37" s="368"/>
      <c r="TZ37" s="368"/>
      <c r="UA37" s="368"/>
      <c r="UB37" s="368"/>
      <c r="UC37" s="368"/>
      <c r="UD37" s="368"/>
      <c r="UE37" s="368"/>
      <c r="UF37" s="368"/>
      <c r="UG37" s="368"/>
      <c r="UH37" s="368"/>
      <c r="UI37" s="368"/>
      <c r="UJ37" s="368"/>
      <c r="UK37" s="368"/>
      <c r="UL37" s="368"/>
      <c r="UM37" s="368"/>
      <c r="UN37" s="368"/>
      <c r="UO37" s="368"/>
      <c r="UP37" s="368"/>
      <c r="UQ37" s="368"/>
      <c r="UR37" s="368"/>
      <c r="US37" s="368"/>
      <c r="UT37" s="368"/>
      <c r="UU37" s="368"/>
      <c r="UV37" s="368"/>
      <c r="UW37" s="368"/>
      <c r="UX37" s="368"/>
      <c r="UY37" s="368"/>
      <c r="UZ37" s="368"/>
      <c r="VA37" s="368"/>
      <c r="VB37" s="368"/>
      <c r="VC37" s="368"/>
      <c r="VD37" s="368"/>
      <c r="VE37" s="368"/>
      <c r="VF37" s="368"/>
      <c r="VG37" s="368"/>
      <c r="VH37" s="368"/>
      <c r="VI37" s="368"/>
      <c r="VJ37" s="368"/>
      <c r="VK37" s="368"/>
      <c r="VL37" s="368"/>
      <c r="VM37" s="368"/>
      <c r="VN37" s="368"/>
      <c r="VO37" s="368"/>
      <c r="VP37" s="368"/>
      <c r="VQ37" s="368"/>
      <c r="VR37" s="368"/>
      <c r="VS37" s="368"/>
      <c r="VT37" s="368"/>
      <c r="VU37" s="368"/>
      <c r="VV37" s="368"/>
      <c r="VW37" s="368"/>
      <c r="VX37" s="368"/>
      <c r="VY37" s="368"/>
      <c r="VZ37" s="368"/>
      <c r="WA37" s="368"/>
      <c r="WB37" s="368"/>
      <c r="WC37" s="368"/>
      <c r="WD37" s="368"/>
      <c r="WE37" s="368"/>
      <c r="WF37" s="368"/>
      <c r="WG37" s="368"/>
      <c r="WH37" s="368"/>
      <c r="WI37" s="368"/>
      <c r="WJ37" s="368"/>
      <c r="WK37" s="368"/>
      <c r="WL37" s="368"/>
      <c r="WM37" s="368"/>
      <c r="WN37" s="368"/>
      <c r="WO37" s="368"/>
      <c r="WP37" s="368"/>
      <c r="WQ37" s="368"/>
      <c r="WR37" s="368"/>
      <c r="WS37" s="368"/>
      <c r="WT37" s="368"/>
      <c r="WU37" s="368"/>
      <c r="WV37" s="368"/>
      <c r="WW37" s="368"/>
      <c r="WX37" s="368"/>
      <c r="WY37" s="368"/>
      <c r="WZ37" s="368"/>
      <c r="XA37" s="368"/>
      <c r="XB37" s="368"/>
      <c r="XC37" s="368"/>
      <c r="XD37" s="368"/>
      <c r="XE37" s="368"/>
      <c r="XF37" s="368"/>
      <c r="XG37" s="368"/>
      <c r="XH37" s="368"/>
      <c r="XI37" s="368"/>
      <c r="XJ37" s="368"/>
      <c r="XK37" s="368"/>
      <c r="XL37" s="368"/>
      <c r="XM37" s="368"/>
      <c r="XN37" s="368"/>
      <c r="XO37" s="368"/>
      <c r="XP37" s="368"/>
      <c r="XQ37" s="368"/>
      <c r="XR37" s="368"/>
      <c r="XS37" s="368"/>
      <c r="XT37" s="368"/>
      <c r="XU37" s="368"/>
      <c r="XV37" s="368"/>
      <c r="XW37" s="368"/>
      <c r="XX37" s="368"/>
      <c r="XY37" s="368"/>
      <c r="XZ37" s="368"/>
      <c r="YA37" s="368"/>
      <c r="YB37" s="368"/>
      <c r="YC37" s="368"/>
      <c r="YD37" s="368"/>
      <c r="YE37" s="368"/>
      <c r="YF37" s="368"/>
      <c r="YG37" s="368"/>
      <c r="YH37" s="368"/>
      <c r="YI37" s="368"/>
      <c r="YJ37" s="368"/>
      <c r="YK37" s="368"/>
      <c r="YL37" s="368"/>
      <c r="YM37" s="368"/>
      <c r="YN37" s="368"/>
      <c r="YO37" s="368"/>
      <c r="YP37" s="368"/>
      <c r="YQ37" s="368"/>
      <c r="YR37" s="368"/>
      <c r="YS37" s="368"/>
      <c r="YT37" s="368"/>
      <c r="YU37" s="368"/>
      <c r="YV37" s="368"/>
      <c r="YW37" s="368"/>
      <c r="YX37" s="368"/>
      <c r="YY37" s="368"/>
      <c r="YZ37" s="368"/>
      <c r="ZA37" s="368"/>
      <c r="ZB37" s="368"/>
      <c r="ZC37" s="368"/>
      <c r="ZD37" s="368"/>
      <c r="ZE37" s="368"/>
      <c r="ZF37" s="368"/>
      <c r="ZG37" s="368"/>
      <c r="ZH37" s="368"/>
      <c r="ZI37" s="368"/>
      <c r="ZJ37" s="368"/>
      <c r="ZK37" s="368"/>
      <c r="ZL37" s="368"/>
      <c r="ZM37" s="368"/>
      <c r="ZN37" s="368"/>
      <c r="ZO37" s="368"/>
      <c r="ZP37" s="368"/>
      <c r="ZQ37" s="368"/>
      <c r="ZR37" s="368"/>
      <c r="ZS37" s="368"/>
      <c r="ZT37" s="368"/>
      <c r="ZU37" s="368"/>
      <c r="ZV37" s="368"/>
      <c r="ZW37" s="368"/>
      <c r="ZX37" s="368"/>
      <c r="ZY37" s="368"/>
      <c r="ZZ37" s="368"/>
      <c r="AAA37" s="368"/>
      <c r="AAB37" s="368"/>
      <c r="AAC37" s="368"/>
      <c r="AAD37" s="368"/>
      <c r="AAE37" s="368"/>
      <c r="AAF37" s="368"/>
      <c r="AAG37" s="368"/>
      <c r="AAH37" s="368"/>
      <c r="AAI37" s="368"/>
      <c r="AAJ37" s="368"/>
      <c r="AAK37" s="368"/>
      <c r="AAL37" s="368"/>
      <c r="AAM37" s="368"/>
      <c r="AAN37" s="368"/>
      <c r="AAO37" s="368"/>
      <c r="AAP37" s="368"/>
      <c r="AAQ37" s="368"/>
      <c r="AAR37" s="368"/>
      <c r="AAS37" s="368"/>
      <c r="AAT37" s="368"/>
      <c r="AAU37" s="368"/>
      <c r="AAV37" s="368"/>
      <c r="AAW37" s="368"/>
      <c r="AAX37" s="368"/>
      <c r="AAY37" s="368"/>
      <c r="AAZ37" s="368"/>
      <c r="ABA37" s="368"/>
      <c r="ABB37" s="368"/>
      <c r="ABC37" s="368"/>
      <c r="ABD37" s="368"/>
      <c r="ABE37" s="368"/>
      <c r="ABF37" s="368"/>
      <c r="ABG37" s="368"/>
      <c r="ABH37" s="368"/>
      <c r="ABI37" s="368"/>
      <c r="ABJ37" s="368"/>
      <c r="ABK37" s="368"/>
      <c r="ABL37" s="368"/>
      <c r="ABM37" s="368"/>
      <c r="ABN37" s="368"/>
      <c r="ABO37" s="368"/>
      <c r="ABP37" s="368"/>
      <c r="ABQ37" s="368"/>
      <c r="ABR37" s="368"/>
      <c r="ABS37" s="368"/>
      <c r="ABT37" s="368"/>
      <c r="ABU37" s="368"/>
      <c r="ABV37" s="368"/>
      <c r="ABW37" s="368"/>
      <c r="ABX37" s="368"/>
      <c r="ABY37" s="368"/>
      <c r="ABZ37" s="368"/>
      <c r="ACA37" s="368"/>
      <c r="ACB37" s="368"/>
      <c r="ACC37" s="368"/>
      <c r="ACD37" s="368"/>
      <c r="ACE37" s="368"/>
      <c r="ACF37" s="368"/>
      <c r="ACG37" s="368"/>
      <c r="ACH37" s="368"/>
      <c r="ACI37" s="368"/>
      <c r="ACJ37" s="368"/>
      <c r="ACK37" s="368"/>
      <c r="ACL37" s="368"/>
      <c r="ACM37" s="368"/>
      <c r="ACN37" s="368"/>
      <c r="ACO37" s="368"/>
      <c r="ACP37" s="368"/>
      <c r="ACQ37" s="368"/>
      <c r="ACR37" s="368"/>
      <c r="ACS37" s="368"/>
      <c r="ACT37" s="368"/>
      <c r="ACU37" s="368"/>
      <c r="ACV37" s="368"/>
      <c r="ACW37" s="368"/>
      <c r="ACX37" s="368"/>
      <c r="ACY37" s="368"/>
      <c r="ACZ37" s="368"/>
      <c r="ADA37" s="368"/>
      <c r="ADB37" s="368"/>
      <c r="ADC37" s="368"/>
      <c r="ADD37" s="368"/>
      <c r="ADE37" s="368"/>
      <c r="ADF37" s="368"/>
      <c r="ADG37" s="368"/>
      <c r="ADH37" s="368"/>
      <c r="ADI37" s="368"/>
      <c r="ADJ37" s="368"/>
      <c r="ADK37" s="368"/>
      <c r="ADL37" s="368"/>
      <c r="ADM37" s="368"/>
      <c r="ADN37" s="368"/>
      <c r="ADO37" s="368"/>
      <c r="ADP37" s="368"/>
      <c r="ADQ37" s="368"/>
      <c r="ADR37" s="368"/>
      <c r="ADS37" s="368"/>
      <c r="ADT37" s="368"/>
      <c r="ADU37" s="368"/>
      <c r="ADV37" s="368"/>
      <c r="ADW37" s="368"/>
      <c r="ADX37" s="368"/>
      <c r="ADY37" s="368"/>
      <c r="ADZ37" s="368"/>
      <c r="AEA37" s="368"/>
      <c r="AEB37" s="368"/>
      <c r="AEC37" s="368"/>
      <c r="AED37" s="368"/>
      <c r="AEE37" s="368"/>
      <c r="AEF37" s="368"/>
      <c r="AEG37" s="368"/>
      <c r="AEH37" s="368"/>
      <c r="AEI37" s="368"/>
      <c r="AEJ37" s="368"/>
      <c r="AEK37" s="368"/>
      <c r="AEL37" s="368"/>
      <c r="AEM37" s="368"/>
      <c r="AEN37" s="368"/>
      <c r="AEO37" s="368"/>
      <c r="AEP37" s="368"/>
      <c r="AEQ37" s="368"/>
      <c r="AER37" s="368"/>
      <c r="AES37" s="368"/>
      <c r="AET37" s="368"/>
      <c r="AEU37" s="368"/>
      <c r="AEV37" s="368"/>
      <c r="AEW37" s="368"/>
      <c r="AEX37" s="368"/>
      <c r="AEY37" s="368"/>
      <c r="AEZ37" s="368"/>
      <c r="AFA37" s="368"/>
      <c r="AFB37" s="368"/>
      <c r="AFC37" s="368"/>
      <c r="AFD37" s="368"/>
      <c r="AFE37" s="368"/>
      <c r="AFF37" s="368"/>
      <c r="AFG37" s="368"/>
      <c r="AFH37" s="368"/>
      <c r="AFI37" s="368"/>
      <c r="AFJ37" s="368"/>
      <c r="AFK37" s="368"/>
      <c r="AFL37" s="368"/>
      <c r="AFM37" s="368"/>
      <c r="AFN37" s="368"/>
      <c r="AFO37" s="368"/>
      <c r="AFP37" s="368"/>
      <c r="AFQ37" s="368"/>
      <c r="AFR37" s="368"/>
      <c r="AFS37" s="368"/>
      <c r="AFT37" s="368"/>
      <c r="AFU37" s="368"/>
      <c r="AFV37" s="368"/>
      <c r="AFW37" s="368"/>
      <c r="AFX37" s="368"/>
      <c r="AFY37" s="368"/>
      <c r="AFZ37" s="368"/>
      <c r="AGA37" s="368"/>
      <c r="AGB37" s="368"/>
      <c r="AGC37" s="368"/>
      <c r="AGD37" s="368"/>
      <c r="AGE37" s="368"/>
      <c r="AGF37" s="368"/>
      <c r="AGG37" s="368"/>
      <c r="AGH37" s="368"/>
      <c r="AGI37" s="368"/>
      <c r="AGJ37" s="368"/>
      <c r="AGK37" s="368"/>
      <c r="AGL37" s="368"/>
      <c r="AGM37" s="368"/>
      <c r="AGN37" s="368"/>
      <c r="AGO37" s="368"/>
      <c r="AGP37" s="368"/>
      <c r="AGQ37" s="368"/>
      <c r="AGR37" s="368"/>
      <c r="AGS37" s="368"/>
      <c r="AGT37" s="368"/>
      <c r="AGU37" s="368"/>
      <c r="AGV37" s="368"/>
      <c r="AGW37" s="368"/>
      <c r="AGX37" s="368"/>
      <c r="AGY37" s="368"/>
      <c r="AGZ37" s="368"/>
      <c r="AHA37" s="368"/>
      <c r="AHB37" s="368"/>
      <c r="AHC37" s="368"/>
      <c r="AHD37" s="368"/>
      <c r="AHE37" s="368"/>
      <c r="AHF37" s="368"/>
      <c r="AHG37" s="368"/>
      <c r="AHH37" s="368"/>
      <c r="AHI37" s="368"/>
      <c r="AHJ37" s="368"/>
      <c r="AHK37" s="368"/>
      <c r="AHL37" s="368"/>
      <c r="AHM37" s="368"/>
      <c r="AHN37" s="368"/>
      <c r="AHO37" s="368"/>
      <c r="AHP37" s="368"/>
      <c r="AHQ37" s="368"/>
      <c r="AHR37" s="368"/>
      <c r="AHS37" s="368"/>
      <c r="AHT37" s="368"/>
      <c r="AHU37" s="368"/>
      <c r="AHV37" s="368"/>
      <c r="AHW37" s="368"/>
      <c r="AHX37" s="368"/>
      <c r="AHY37" s="368"/>
      <c r="AHZ37" s="368"/>
      <c r="AIA37" s="368"/>
      <c r="AIB37" s="368"/>
      <c r="AIC37" s="368"/>
      <c r="AID37" s="368"/>
      <c r="AIE37" s="368"/>
      <c r="AIF37" s="368"/>
      <c r="AIG37" s="368"/>
      <c r="AIH37" s="368"/>
      <c r="AII37" s="368"/>
      <c r="AIJ37" s="368"/>
      <c r="AIK37" s="368"/>
      <c r="AIL37" s="368"/>
      <c r="AIM37" s="368"/>
      <c r="AIN37" s="368"/>
      <c r="AIO37" s="368"/>
      <c r="AIP37" s="368"/>
      <c r="AIQ37" s="368"/>
      <c r="AIR37" s="368"/>
      <c r="AIS37" s="368"/>
      <c r="AIT37" s="368"/>
      <c r="AIU37" s="368"/>
      <c r="AIV37" s="368"/>
      <c r="AIW37" s="368"/>
      <c r="AIX37" s="368"/>
      <c r="AIY37" s="368"/>
      <c r="AIZ37" s="368"/>
      <c r="AJA37" s="368"/>
      <c r="AJB37" s="368"/>
      <c r="AJC37" s="368"/>
      <c r="AJD37" s="368"/>
      <c r="AJE37" s="368"/>
      <c r="AJF37" s="368"/>
      <c r="AJG37" s="368"/>
      <c r="AJH37" s="368"/>
      <c r="AJI37" s="368"/>
      <c r="AJJ37" s="368"/>
      <c r="AJK37" s="368"/>
      <c r="AJL37" s="368"/>
      <c r="AJM37" s="368"/>
      <c r="AJN37" s="368"/>
      <c r="AJO37" s="368"/>
      <c r="AJP37" s="368"/>
      <c r="AJQ37" s="368"/>
      <c r="AJR37" s="368"/>
      <c r="AJS37" s="368"/>
      <c r="AJT37" s="368"/>
      <c r="AJU37" s="368"/>
      <c r="AJV37" s="368"/>
      <c r="AJW37" s="368"/>
      <c r="AJX37" s="368"/>
      <c r="AJY37" s="368"/>
      <c r="AJZ37" s="368"/>
      <c r="AKA37" s="368"/>
      <c r="AKB37" s="368"/>
      <c r="AKC37" s="368"/>
      <c r="AKD37" s="368"/>
      <c r="AKE37" s="368"/>
      <c r="AKF37" s="368"/>
      <c r="AKG37" s="368"/>
      <c r="AKH37" s="368"/>
      <c r="AKI37" s="368"/>
      <c r="AKJ37" s="368"/>
      <c r="AKK37" s="368"/>
      <c r="AKL37" s="368"/>
      <c r="AKM37" s="368"/>
      <c r="AKN37" s="368"/>
      <c r="AKO37" s="368"/>
      <c r="AKP37" s="368"/>
      <c r="AKQ37" s="368"/>
      <c r="AKR37" s="368"/>
      <c r="AKS37" s="368"/>
      <c r="AKT37" s="368"/>
      <c r="AKU37" s="368"/>
      <c r="AKV37" s="368"/>
      <c r="AKW37" s="368"/>
      <c r="AKX37" s="368"/>
      <c r="AKY37" s="368"/>
      <c r="AKZ37" s="368"/>
      <c r="ALA37" s="368"/>
      <c r="ALB37" s="368"/>
      <c r="ALC37" s="368"/>
      <c r="ALD37" s="368"/>
      <c r="ALE37" s="368"/>
      <c r="ALF37" s="368"/>
      <c r="ALG37" s="368"/>
      <c r="ALH37" s="368"/>
      <c r="ALI37" s="368"/>
      <c r="ALJ37" s="368"/>
      <c r="ALK37" s="368"/>
      <c r="ALL37" s="368"/>
      <c r="ALM37" s="368"/>
      <c r="ALN37" s="368"/>
      <c r="ALO37" s="368"/>
      <c r="ALP37" s="368"/>
      <c r="ALQ37" s="368"/>
      <c r="ALR37" s="368"/>
      <c r="ALS37" s="368"/>
      <c r="ALT37" s="368"/>
      <c r="ALU37" s="368"/>
      <c r="ALV37" s="368"/>
      <c r="ALW37" s="368"/>
      <c r="ALX37" s="368"/>
      <c r="ALY37" s="368"/>
      <c r="ALZ37" s="368"/>
      <c r="AMA37" s="368"/>
      <c r="AMB37" s="368"/>
      <c r="AMC37" s="368"/>
      <c r="AMD37" s="368"/>
      <c r="AME37" s="368"/>
      <c r="AMF37" s="368"/>
      <c r="AMG37" s="368"/>
      <c r="AMH37" s="368"/>
      <c r="AMI37" s="368"/>
      <c r="AMJ37" s="368"/>
    </row>
    <row r="38" spans="1:1024" s="125" customFormat="1" ht="17.25" customHeight="1">
      <c r="B38" s="689" t="s">
        <v>3459</v>
      </c>
      <c r="C38" s="690"/>
      <c r="D38" s="690"/>
      <c r="E38" s="124"/>
      <c r="F38" s="124"/>
      <c r="G38" s="124"/>
      <c r="H38" s="128"/>
    </row>
    <row r="39" spans="1:1024" s="125" customFormat="1" ht="12.75">
      <c r="B39" s="214"/>
      <c r="C39" s="768" t="s">
        <v>3460</v>
      </c>
      <c r="D39" s="769"/>
      <c r="E39" s="344">
        <f>SUM(E40:E43,-'Consolidated Financials'!H57)</f>
        <v>-127160032</v>
      </c>
      <c r="F39" s="344">
        <f>SUM(F40:F43,-'Consolidated Financials'!I57)</f>
        <v>-116709715</v>
      </c>
      <c r="G39" s="344">
        <f>SUM(G40:G43,-'Consolidated Financials'!J57)</f>
        <v>304026575</v>
      </c>
      <c r="H39" s="345">
        <f>SUM(H40:H43,-'Consolidated Financials'!K57)</f>
        <v>0</v>
      </c>
    </row>
    <row r="40" spans="1:1024" s="218" customFormat="1" ht="14.25" customHeight="1">
      <c r="B40" s="214"/>
      <c r="C40" s="791"/>
      <c r="D40" s="293" t="s">
        <v>3461</v>
      </c>
      <c r="E40" s="227">
        <f>SUM('Consolidated Financials'!G168-'Consolidated Financials'!G172,-('Consolidated Financials'!H168-'Consolidated Financials'!H172))</f>
        <v>-65111645</v>
      </c>
      <c r="F40" s="227">
        <f>SUM('Consolidated Financials'!H168-'Consolidated Financials'!H172,-('Consolidated Financials'!I168-'Consolidated Financials'!I172))</f>
        <v>-155240671</v>
      </c>
      <c r="G40" s="227">
        <f>SUM('Consolidated Financials'!I168-'Consolidated Financials'!I172,-('Consolidated Financials'!J168-'Consolidated Financials'!J172))</f>
        <v>304026575</v>
      </c>
      <c r="H40" s="228">
        <f>SUM('Consolidated Financials'!J168-'Consolidated Financials'!J172,-('Consolidated Financials'!K168-'Consolidated Financials'!K172))</f>
        <v>0</v>
      </c>
    </row>
    <row r="41" spans="1:1024" s="218" customFormat="1" ht="14.25" customHeight="1">
      <c r="B41" s="214"/>
      <c r="C41" s="681"/>
      <c r="D41" s="293" t="s">
        <v>3462</v>
      </c>
      <c r="E41" s="227">
        <f>SUM('Consolidated Financials'!G173-'Consolidated Financials'!G174,-('Consolidated Financials'!H173-'Consolidated Financials'!H174))</f>
        <v>0</v>
      </c>
      <c r="F41" s="227">
        <f>SUM('Consolidated Financials'!H173-'Consolidated Financials'!H174,-('Consolidated Financials'!I173-'Consolidated Financials'!I174))</f>
        <v>0</v>
      </c>
      <c r="G41" s="227">
        <f>SUM('Consolidated Financials'!I173-'Consolidated Financials'!I174,-('Consolidated Financials'!J173-'Consolidated Financials'!J174))</f>
        <v>0</v>
      </c>
      <c r="H41" s="228">
        <f>SUM('Consolidated Financials'!J173-'Consolidated Financials'!J174,-('Consolidated Financials'!K173-'Consolidated Financials'!K174))</f>
        <v>0</v>
      </c>
    </row>
    <row r="42" spans="1:1024" s="218" customFormat="1" ht="14.25" customHeight="1">
      <c r="B42" s="214"/>
      <c r="C42" s="681"/>
      <c r="D42" s="293" t="s">
        <v>3463</v>
      </c>
      <c r="E42" s="227">
        <f>SUM('Consolidated Financials'!G175,-'Consolidated Financials'!H175)</f>
        <v>-42071933</v>
      </c>
      <c r="F42" s="227">
        <f>SUM('Consolidated Financials'!H175,-'Consolidated Financials'!I175)</f>
        <v>77443987</v>
      </c>
      <c r="G42" s="227">
        <f>SUM('Consolidated Financials'!I175,-'Consolidated Financials'!J175)</f>
        <v>0</v>
      </c>
      <c r="H42" s="228">
        <f>SUM('Consolidated Financials'!J175,-'Consolidated Financials'!K175)</f>
        <v>0</v>
      </c>
    </row>
    <row r="43" spans="1:1024" s="218" customFormat="1" ht="14.25" customHeight="1">
      <c r="B43" s="214"/>
      <c r="C43" s="681"/>
      <c r="D43" s="226" t="s">
        <v>3464</v>
      </c>
      <c r="E43" s="227">
        <f>SUM('Consolidated Financials'!G176,-'Consolidated Financials'!H176)</f>
        <v>0</v>
      </c>
      <c r="F43" s="227">
        <f>SUM('Consolidated Financials'!H176,-'Consolidated Financials'!I176)</f>
        <v>0</v>
      </c>
      <c r="G43" s="227">
        <f>SUM('Consolidated Financials'!I176,-'Consolidated Financials'!J176)</f>
        <v>0</v>
      </c>
      <c r="H43" s="228">
        <f>SUM('Consolidated Financials'!J176,-'Consolidated Financials'!K176)</f>
        <v>0</v>
      </c>
    </row>
    <row r="44" spans="1:1024" s="125" customFormat="1" ht="12.75">
      <c r="B44" s="214"/>
      <c r="C44" s="768" t="s">
        <v>3465</v>
      </c>
      <c r="D44" s="769"/>
      <c r="E44" s="344">
        <f>SUM(E45:E48)</f>
        <v>0</v>
      </c>
      <c r="F44" s="344">
        <f>SUM(F45:F48)</f>
        <v>0</v>
      </c>
      <c r="G44" s="344">
        <f>SUM(G45:G48)</f>
        <v>0</v>
      </c>
      <c r="H44" s="345">
        <f>SUM(H45:H48)</f>
        <v>0</v>
      </c>
    </row>
    <row r="45" spans="1:1024" s="218" customFormat="1" ht="14.25" customHeight="1">
      <c r="B45" s="214"/>
      <c r="C45" s="381"/>
      <c r="D45" s="251" t="s">
        <v>3466</v>
      </c>
      <c r="E45" s="227">
        <f>SUM('Consolidated Financials'!G178,-'Consolidated Financials'!H178)</f>
        <v>0</v>
      </c>
      <c r="F45" s="227">
        <f>SUM('Consolidated Financials'!H178,-'Consolidated Financials'!I178)</f>
        <v>0</v>
      </c>
      <c r="G45" s="227">
        <f>SUM('Consolidated Financials'!I178,-'Consolidated Financials'!J178)</f>
        <v>0</v>
      </c>
      <c r="H45" s="228">
        <f>SUM('Consolidated Financials'!J178,-'Consolidated Financials'!K178)</f>
        <v>0</v>
      </c>
    </row>
    <row r="46" spans="1:1024" s="218" customFormat="1" ht="14.25" customHeight="1">
      <c r="B46" s="214"/>
      <c r="C46" s="293"/>
      <c r="D46" s="251" t="s">
        <v>3467</v>
      </c>
      <c r="E46" s="227">
        <f>SUM('Consolidated Financials'!G179,-'Consolidated Financials'!H179)</f>
        <v>0</v>
      </c>
      <c r="F46" s="227">
        <f>SUM('Consolidated Financials'!H179,-'Consolidated Financials'!I179)</f>
        <v>0</v>
      </c>
      <c r="G46" s="227">
        <f>SUM('Consolidated Financials'!I179,-'Consolidated Financials'!J179)</f>
        <v>0</v>
      </c>
      <c r="H46" s="228">
        <f>SUM('Consolidated Financials'!J179,-'Consolidated Financials'!K179)</f>
        <v>0</v>
      </c>
    </row>
    <row r="47" spans="1:1024" s="218" customFormat="1" ht="14.25" customHeight="1">
      <c r="B47" s="214"/>
      <c r="C47" s="293"/>
      <c r="D47" s="251" t="s">
        <v>3468</v>
      </c>
      <c r="E47" s="227">
        <f>SUM('Consolidated Financials'!G180,-'Consolidated Financials'!H180)</f>
        <v>0</v>
      </c>
      <c r="F47" s="227">
        <f>SUM('Consolidated Financials'!H180,-'Consolidated Financials'!I180)</f>
        <v>0</v>
      </c>
      <c r="G47" s="227">
        <f>SUM('Consolidated Financials'!I180,-'Consolidated Financials'!J180)</f>
        <v>0</v>
      </c>
      <c r="H47" s="228">
        <f>SUM('Consolidated Financials'!J180,-'Consolidated Financials'!K180)</f>
        <v>0</v>
      </c>
    </row>
    <row r="48" spans="1:1024" s="218" customFormat="1" ht="14.25" customHeight="1">
      <c r="B48" s="214"/>
      <c r="C48" s="293"/>
      <c r="D48" s="251" t="s">
        <v>3469</v>
      </c>
      <c r="E48" s="227">
        <f>SUM('Consolidated Financials'!G181,-'Consolidated Financials'!H181)</f>
        <v>0</v>
      </c>
      <c r="F48" s="227">
        <f>SUM('Consolidated Financials'!H181,-'Consolidated Financials'!I181)</f>
        <v>0</v>
      </c>
      <c r="G48" s="227">
        <f>SUM('Consolidated Financials'!I181,-'Consolidated Financials'!J181)</f>
        <v>0</v>
      </c>
      <c r="H48" s="228">
        <f>SUM('Consolidated Financials'!J181,-'Consolidated Financials'!K181)</f>
        <v>0</v>
      </c>
    </row>
    <row r="49" spans="1:1024" s="125" customFormat="1" ht="12.75">
      <c r="B49" s="214"/>
      <c r="C49" s="768" t="s">
        <v>3470</v>
      </c>
      <c r="D49" s="769"/>
      <c r="E49" s="344">
        <f>SUM(E50:E53)</f>
        <v>0</v>
      </c>
      <c r="F49" s="344">
        <f>SUM(F50:F53)</f>
        <v>0</v>
      </c>
      <c r="G49" s="344">
        <f>SUM(G50:G53)</f>
        <v>0</v>
      </c>
      <c r="H49" s="345">
        <f>SUM(H50:H53)</f>
        <v>0</v>
      </c>
    </row>
    <row r="50" spans="1:1024" s="218" customFormat="1" ht="14.25" customHeight="1">
      <c r="B50" s="214"/>
      <c r="C50" s="381"/>
      <c r="D50" s="251" t="s">
        <v>3471</v>
      </c>
      <c r="E50" s="227">
        <f>'Consolidated Financials'!G197-'Consolidated Financials'!H197</f>
        <v>0</v>
      </c>
      <c r="F50" s="227">
        <f>'Consolidated Financials'!H197-'Consolidated Financials'!I197</f>
        <v>0</v>
      </c>
      <c r="G50" s="227">
        <f>'Consolidated Financials'!I197-'Consolidated Financials'!J197</f>
        <v>0</v>
      </c>
      <c r="H50" s="228">
        <f>'Consolidated Financials'!J197-'Consolidated Financials'!K197</f>
        <v>0</v>
      </c>
    </row>
    <row r="51" spans="1:1024" s="218" customFormat="1" ht="14.25" customHeight="1">
      <c r="B51" s="214"/>
      <c r="C51" s="293"/>
      <c r="D51" s="251" t="s">
        <v>3472</v>
      </c>
      <c r="E51" s="227">
        <f>'Consolidated Financials'!G200-'Consolidated Financials'!H200</f>
        <v>0</v>
      </c>
      <c r="F51" s="227">
        <f>'Consolidated Financials'!H200-'Consolidated Financials'!I200</f>
        <v>0</v>
      </c>
      <c r="G51" s="227">
        <f>'Consolidated Financials'!I200-'Consolidated Financials'!J200</f>
        <v>0</v>
      </c>
      <c r="H51" s="228">
        <f>'Consolidated Financials'!J200-'Consolidated Financials'!K200</f>
        <v>0</v>
      </c>
    </row>
    <row r="52" spans="1:1024" s="218" customFormat="1" ht="14.25" customHeight="1">
      <c r="B52" s="214"/>
      <c r="C52" s="293"/>
      <c r="D52" s="251" t="s">
        <v>3473</v>
      </c>
      <c r="E52" s="227">
        <f>'Consolidated Financials'!G201-'Consolidated Financials'!H201</f>
        <v>0</v>
      </c>
      <c r="F52" s="227">
        <f>'Consolidated Financials'!H201-'Consolidated Financials'!I201</f>
        <v>0</v>
      </c>
      <c r="G52" s="227">
        <f>'Consolidated Financials'!I201-'Consolidated Financials'!J201</f>
        <v>0</v>
      </c>
      <c r="H52" s="228">
        <f>'Consolidated Financials'!J201-'Consolidated Financials'!K201</f>
        <v>0</v>
      </c>
    </row>
    <row r="53" spans="1:1024" s="218" customFormat="1" ht="14.25" customHeight="1">
      <c r="B53" s="214"/>
      <c r="C53" s="293"/>
      <c r="D53" s="251" t="s">
        <v>3474</v>
      </c>
      <c r="E53" s="227">
        <f>'Consolidated Financials'!G202-'Consolidated Financials'!H202</f>
        <v>0</v>
      </c>
      <c r="F53" s="227">
        <f>'Consolidated Financials'!H202-'Consolidated Financials'!I202</f>
        <v>0</v>
      </c>
      <c r="G53" s="227">
        <f>'Consolidated Financials'!I202-'Consolidated Financials'!J202</f>
        <v>0</v>
      </c>
      <c r="H53" s="228">
        <f>'Consolidated Financials'!J202-'Consolidated Financials'!K202</f>
        <v>0</v>
      </c>
    </row>
    <row r="54" spans="1:1024" s="125" customFormat="1" ht="12.75">
      <c r="B54" s="214"/>
      <c r="C54" s="786" t="s">
        <v>3475</v>
      </c>
      <c r="D54" s="787"/>
      <c r="E54" s="212">
        <f>'Consolidated Financials'!H74</f>
        <v>5376308</v>
      </c>
      <c r="F54" s="212">
        <f>'Consolidated Financials'!I74</f>
        <v>6002307</v>
      </c>
      <c r="G54" s="212">
        <f>'Consolidated Financials'!J74</f>
        <v>0</v>
      </c>
      <c r="H54" s="213">
        <f>'Consolidated Financials'!K74</f>
        <v>0</v>
      </c>
    </row>
    <row r="55" spans="1:1024" s="125" customFormat="1" ht="12.75">
      <c r="B55" s="378"/>
      <c r="C55" s="779" t="s">
        <v>3476</v>
      </c>
      <c r="D55" s="780"/>
      <c r="E55" s="212">
        <f>'Consolidated Financials'!H75</f>
        <v>0</v>
      </c>
      <c r="F55" s="212">
        <f>'Consolidated Financials'!I75</f>
        <v>0</v>
      </c>
      <c r="G55" s="212">
        <f>'Consolidated Financials'!J75</f>
        <v>0</v>
      </c>
      <c r="H55" s="213">
        <f>'Consolidated Financials'!K75</f>
        <v>0</v>
      </c>
    </row>
    <row r="56" spans="1:1024" ht="17.25" customHeight="1">
      <c r="A56" s="368"/>
      <c r="B56" s="781" t="s">
        <v>3477</v>
      </c>
      <c r="C56" s="782"/>
      <c r="D56" s="783"/>
      <c r="E56" s="379">
        <f>SUM(E49,E44,E39,E54:E55)</f>
        <v>-121783724</v>
      </c>
      <c r="F56" s="379">
        <f>SUM(F49,F44,F39,F54:F55)</f>
        <v>-110707408</v>
      </c>
      <c r="G56" s="379">
        <f>SUM(G49,G44,G39,G54:G55)</f>
        <v>304026575</v>
      </c>
      <c r="H56" s="380">
        <f>SUM(H49,H44,H39,H54:H55)</f>
        <v>0</v>
      </c>
      <c r="I56" s="368"/>
      <c r="J56" s="368"/>
      <c r="K56" s="368"/>
      <c r="L56" s="368"/>
      <c r="M56" s="368"/>
      <c r="N56" s="368"/>
      <c r="O56" s="368"/>
      <c r="P56" s="368"/>
      <c r="Q56" s="368"/>
      <c r="R56" s="368"/>
      <c r="S56" s="368"/>
      <c r="T56" s="368"/>
      <c r="U56" s="368"/>
      <c r="V56" s="368"/>
      <c r="W56" s="368"/>
      <c r="X56" s="368"/>
      <c r="Y56" s="368"/>
      <c r="Z56" s="368"/>
      <c r="AA56" s="368"/>
      <c r="AB56" s="368"/>
      <c r="AC56" s="368"/>
      <c r="AD56" s="368"/>
      <c r="AE56" s="368"/>
      <c r="AF56" s="368"/>
      <c r="AG56" s="368"/>
      <c r="AH56" s="368"/>
      <c r="AI56" s="368"/>
      <c r="AJ56" s="368"/>
      <c r="AK56" s="368"/>
      <c r="AL56" s="368"/>
      <c r="AM56" s="368"/>
      <c r="AN56" s="368"/>
      <c r="AO56" s="368"/>
      <c r="AP56" s="368"/>
      <c r="AQ56" s="368"/>
      <c r="AR56" s="368"/>
      <c r="AS56" s="368"/>
      <c r="AT56" s="368"/>
      <c r="AU56" s="368"/>
      <c r="AV56" s="368"/>
      <c r="AW56" s="368"/>
      <c r="AX56" s="368"/>
      <c r="AY56" s="368"/>
      <c r="AZ56" s="368"/>
      <c r="BA56" s="368"/>
      <c r="BB56" s="368"/>
      <c r="BC56" s="368"/>
      <c r="BD56" s="368"/>
      <c r="BE56" s="368"/>
      <c r="BF56" s="368"/>
      <c r="BG56" s="368"/>
      <c r="BH56" s="368"/>
      <c r="BI56" s="368"/>
      <c r="BJ56" s="368"/>
      <c r="BK56" s="368"/>
      <c r="BL56" s="368"/>
      <c r="BM56" s="368"/>
      <c r="BN56" s="368"/>
      <c r="BO56" s="368"/>
      <c r="BP56" s="368"/>
      <c r="BQ56" s="368"/>
      <c r="BR56" s="368"/>
      <c r="BS56" s="368"/>
      <c r="BT56" s="368"/>
      <c r="BU56" s="368"/>
      <c r="BV56" s="368"/>
      <c r="BW56" s="368"/>
      <c r="BX56" s="368"/>
      <c r="BY56" s="368"/>
      <c r="BZ56" s="368"/>
      <c r="CA56" s="368"/>
      <c r="CB56" s="368"/>
      <c r="CC56" s="368"/>
      <c r="CD56" s="368"/>
      <c r="CE56" s="368"/>
      <c r="CF56" s="368"/>
      <c r="CG56" s="368"/>
      <c r="CH56" s="368"/>
      <c r="CI56" s="368"/>
      <c r="CJ56" s="368"/>
      <c r="CK56" s="368"/>
      <c r="CL56" s="368"/>
      <c r="CM56" s="368"/>
      <c r="CN56" s="368"/>
      <c r="CO56" s="368"/>
      <c r="CP56" s="368"/>
      <c r="CQ56" s="368"/>
      <c r="CR56" s="368"/>
      <c r="CS56" s="368"/>
      <c r="CT56" s="368"/>
      <c r="CU56" s="368"/>
      <c r="CV56" s="368"/>
      <c r="CW56" s="368"/>
      <c r="CX56" s="368"/>
      <c r="CY56" s="368"/>
      <c r="CZ56" s="368"/>
      <c r="DA56" s="368"/>
      <c r="DB56" s="368"/>
      <c r="DC56" s="368"/>
      <c r="DD56" s="368"/>
      <c r="DE56" s="368"/>
      <c r="DF56" s="368"/>
      <c r="DG56" s="368"/>
      <c r="DH56" s="368"/>
      <c r="DI56" s="368"/>
      <c r="DJ56" s="368"/>
      <c r="DK56" s="368"/>
      <c r="DL56" s="368"/>
      <c r="DM56" s="368"/>
      <c r="DN56" s="368"/>
      <c r="DO56" s="368"/>
      <c r="DP56" s="368"/>
      <c r="DQ56" s="368"/>
      <c r="DR56" s="368"/>
      <c r="DS56" s="368"/>
      <c r="DT56" s="368"/>
      <c r="DU56" s="368"/>
      <c r="DV56" s="368"/>
      <c r="DW56" s="368"/>
      <c r="DX56" s="368"/>
      <c r="DY56" s="368"/>
      <c r="DZ56" s="368"/>
      <c r="EA56" s="368"/>
      <c r="EB56" s="368"/>
      <c r="EC56" s="368"/>
      <c r="ED56" s="368"/>
      <c r="EE56" s="368"/>
      <c r="EF56" s="368"/>
      <c r="EG56" s="368"/>
      <c r="EH56" s="368"/>
      <c r="EI56" s="368"/>
      <c r="EJ56" s="368"/>
      <c r="EK56" s="368"/>
      <c r="EL56" s="368"/>
      <c r="EM56" s="368"/>
      <c r="EN56" s="368"/>
      <c r="EO56" s="368"/>
      <c r="EP56" s="368"/>
      <c r="EQ56" s="368"/>
      <c r="ER56" s="368"/>
      <c r="ES56" s="368"/>
      <c r="ET56" s="368"/>
      <c r="EU56" s="368"/>
      <c r="EV56" s="368"/>
      <c r="EW56" s="368"/>
      <c r="EX56" s="368"/>
      <c r="EY56" s="368"/>
      <c r="EZ56" s="368"/>
      <c r="FA56" s="368"/>
      <c r="FB56" s="368"/>
      <c r="FC56" s="368"/>
      <c r="FD56" s="368"/>
      <c r="FE56" s="368"/>
      <c r="FF56" s="368"/>
      <c r="FG56" s="368"/>
      <c r="FH56" s="368"/>
      <c r="FI56" s="368"/>
      <c r="FJ56" s="368"/>
      <c r="FK56" s="368"/>
      <c r="FL56" s="368"/>
      <c r="FM56" s="368"/>
      <c r="FN56" s="368"/>
      <c r="FO56" s="368"/>
      <c r="FP56" s="368"/>
      <c r="FQ56" s="368"/>
      <c r="FR56" s="368"/>
      <c r="FS56" s="368"/>
      <c r="FT56" s="368"/>
      <c r="FU56" s="368"/>
      <c r="FV56" s="368"/>
      <c r="FW56" s="368"/>
      <c r="FX56" s="368"/>
      <c r="FY56" s="368"/>
      <c r="FZ56" s="368"/>
      <c r="GA56" s="368"/>
      <c r="GB56" s="368"/>
      <c r="GC56" s="368"/>
      <c r="GD56" s="368"/>
      <c r="GE56" s="368"/>
      <c r="GF56" s="368"/>
      <c r="GG56" s="368"/>
      <c r="GH56" s="368"/>
      <c r="GI56" s="368"/>
      <c r="GJ56" s="368"/>
      <c r="GK56" s="368"/>
      <c r="GL56" s="368"/>
      <c r="GM56" s="368"/>
      <c r="GN56" s="368"/>
      <c r="GO56" s="368"/>
      <c r="GP56" s="368"/>
      <c r="GQ56" s="368"/>
      <c r="GR56" s="368"/>
      <c r="GS56" s="368"/>
      <c r="GT56" s="368"/>
      <c r="GU56" s="368"/>
      <c r="GV56" s="368"/>
      <c r="GW56" s="368"/>
      <c r="GX56" s="368"/>
      <c r="GY56" s="368"/>
      <c r="GZ56" s="368"/>
      <c r="HA56" s="368"/>
      <c r="HB56" s="368"/>
      <c r="HC56" s="368"/>
      <c r="HD56" s="368"/>
      <c r="HE56" s="368"/>
      <c r="HF56" s="368"/>
      <c r="HG56" s="368"/>
      <c r="HH56" s="368"/>
      <c r="HI56" s="368"/>
      <c r="HJ56" s="368"/>
      <c r="HK56" s="368"/>
      <c r="HL56" s="368"/>
      <c r="HM56" s="368"/>
      <c r="HN56" s="368"/>
      <c r="HO56" s="368"/>
      <c r="HP56" s="368"/>
      <c r="HQ56" s="368"/>
      <c r="HR56" s="368"/>
      <c r="HS56" s="368"/>
      <c r="HT56" s="368"/>
      <c r="HU56" s="368"/>
      <c r="HV56" s="368"/>
      <c r="HW56" s="368"/>
      <c r="HX56" s="368"/>
      <c r="HY56" s="368"/>
      <c r="HZ56" s="368"/>
      <c r="IA56" s="368"/>
      <c r="IB56" s="368"/>
      <c r="IC56" s="368"/>
      <c r="ID56" s="368"/>
      <c r="IE56" s="368"/>
      <c r="IF56" s="368"/>
      <c r="IG56" s="368"/>
      <c r="IH56" s="368"/>
      <c r="II56" s="368"/>
      <c r="IJ56" s="368"/>
      <c r="IK56" s="368"/>
      <c r="IL56" s="368"/>
      <c r="IM56" s="368"/>
      <c r="IN56" s="368"/>
      <c r="IO56" s="368"/>
      <c r="IP56" s="368"/>
      <c r="IQ56" s="368"/>
      <c r="IR56" s="368"/>
      <c r="IS56" s="368"/>
      <c r="IT56" s="368"/>
      <c r="IU56" s="368"/>
      <c r="IV56" s="368"/>
      <c r="IW56" s="368"/>
      <c r="IX56" s="368"/>
      <c r="IY56" s="368"/>
      <c r="IZ56" s="368"/>
      <c r="JA56" s="368"/>
      <c r="JB56" s="368"/>
      <c r="JC56" s="368"/>
      <c r="JD56" s="368"/>
      <c r="JE56" s="368"/>
      <c r="JF56" s="368"/>
      <c r="JG56" s="368"/>
      <c r="JH56" s="368"/>
      <c r="JI56" s="368"/>
      <c r="JJ56" s="368"/>
      <c r="JK56" s="368"/>
      <c r="JL56" s="368"/>
      <c r="JM56" s="368"/>
      <c r="JN56" s="368"/>
      <c r="JO56" s="368"/>
      <c r="JP56" s="368"/>
      <c r="JQ56" s="368"/>
      <c r="JR56" s="368"/>
      <c r="JS56" s="368"/>
      <c r="JT56" s="368"/>
      <c r="JU56" s="368"/>
      <c r="JV56" s="368"/>
      <c r="JW56" s="368"/>
      <c r="JX56" s="368"/>
      <c r="JY56" s="368"/>
      <c r="JZ56" s="368"/>
      <c r="KA56" s="368"/>
      <c r="KB56" s="368"/>
      <c r="KC56" s="368"/>
      <c r="KD56" s="368"/>
      <c r="KE56" s="368"/>
      <c r="KF56" s="368"/>
      <c r="KG56" s="368"/>
      <c r="KH56" s="368"/>
      <c r="KI56" s="368"/>
      <c r="KJ56" s="368"/>
      <c r="KK56" s="368"/>
      <c r="KL56" s="368"/>
      <c r="KM56" s="368"/>
      <c r="KN56" s="368"/>
      <c r="KO56" s="368"/>
      <c r="KP56" s="368"/>
      <c r="KQ56" s="368"/>
      <c r="KR56" s="368"/>
      <c r="KS56" s="368"/>
      <c r="KT56" s="368"/>
      <c r="KU56" s="368"/>
      <c r="KV56" s="368"/>
      <c r="KW56" s="368"/>
      <c r="KX56" s="368"/>
      <c r="KY56" s="368"/>
      <c r="KZ56" s="368"/>
      <c r="LA56" s="368"/>
      <c r="LB56" s="368"/>
      <c r="LC56" s="368"/>
      <c r="LD56" s="368"/>
      <c r="LE56" s="368"/>
      <c r="LF56" s="368"/>
      <c r="LG56" s="368"/>
      <c r="LH56" s="368"/>
      <c r="LI56" s="368"/>
      <c r="LJ56" s="368"/>
      <c r="LK56" s="368"/>
      <c r="LL56" s="368"/>
      <c r="LM56" s="368"/>
      <c r="LN56" s="368"/>
      <c r="LO56" s="368"/>
      <c r="LP56" s="368"/>
      <c r="LQ56" s="368"/>
      <c r="LR56" s="368"/>
      <c r="LS56" s="368"/>
      <c r="LT56" s="368"/>
      <c r="LU56" s="368"/>
      <c r="LV56" s="368"/>
      <c r="LW56" s="368"/>
      <c r="LX56" s="368"/>
      <c r="LY56" s="368"/>
      <c r="LZ56" s="368"/>
      <c r="MA56" s="368"/>
      <c r="MB56" s="368"/>
      <c r="MC56" s="368"/>
      <c r="MD56" s="368"/>
      <c r="ME56" s="368"/>
      <c r="MF56" s="368"/>
      <c r="MG56" s="368"/>
      <c r="MH56" s="368"/>
      <c r="MI56" s="368"/>
      <c r="MJ56" s="368"/>
      <c r="MK56" s="368"/>
      <c r="ML56" s="368"/>
      <c r="MM56" s="368"/>
      <c r="MN56" s="368"/>
      <c r="MO56" s="368"/>
      <c r="MP56" s="368"/>
      <c r="MQ56" s="368"/>
      <c r="MR56" s="368"/>
      <c r="MS56" s="368"/>
      <c r="MT56" s="368"/>
      <c r="MU56" s="368"/>
      <c r="MV56" s="368"/>
      <c r="MW56" s="368"/>
      <c r="MX56" s="368"/>
      <c r="MY56" s="368"/>
      <c r="MZ56" s="368"/>
      <c r="NA56" s="368"/>
      <c r="NB56" s="368"/>
      <c r="NC56" s="368"/>
      <c r="ND56" s="368"/>
      <c r="NE56" s="368"/>
      <c r="NF56" s="368"/>
      <c r="NG56" s="368"/>
      <c r="NH56" s="368"/>
      <c r="NI56" s="368"/>
      <c r="NJ56" s="368"/>
      <c r="NK56" s="368"/>
      <c r="NL56" s="368"/>
      <c r="NM56" s="368"/>
      <c r="NN56" s="368"/>
      <c r="NO56" s="368"/>
      <c r="NP56" s="368"/>
      <c r="NQ56" s="368"/>
      <c r="NR56" s="368"/>
      <c r="NS56" s="368"/>
      <c r="NT56" s="368"/>
      <c r="NU56" s="368"/>
      <c r="NV56" s="368"/>
      <c r="NW56" s="368"/>
      <c r="NX56" s="368"/>
      <c r="NY56" s="368"/>
      <c r="NZ56" s="368"/>
      <c r="OA56" s="368"/>
      <c r="OB56" s="368"/>
      <c r="OC56" s="368"/>
      <c r="OD56" s="368"/>
      <c r="OE56" s="368"/>
      <c r="OF56" s="368"/>
      <c r="OG56" s="368"/>
      <c r="OH56" s="368"/>
      <c r="OI56" s="368"/>
      <c r="OJ56" s="368"/>
      <c r="OK56" s="368"/>
      <c r="OL56" s="368"/>
      <c r="OM56" s="368"/>
      <c r="ON56" s="368"/>
      <c r="OO56" s="368"/>
      <c r="OP56" s="368"/>
      <c r="OQ56" s="368"/>
      <c r="OR56" s="368"/>
      <c r="OS56" s="368"/>
      <c r="OT56" s="368"/>
      <c r="OU56" s="368"/>
      <c r="OV56" s="368"/>
      <c r="OW56" s="368"/>
      <c r="OX56" s="368"/>
      <c r="OY56" s="368"/>
      <c r="OZ56" s="368"/>
      <c r="PA56" s="368"/>
      <c r="PB56" s="368"/>
      <c r="PC56" s="368"/>
      <c r="PD56" s="368"/>
      <c r="PE56" s="368"/>
      <c r="PF56" s="368"/>
      <c r="PG56" s="368"/>
      <c r="PH56" s="368"/>
      <c r="PI56" s="368"/>
      <c r="PJ56" s="368"/>
      <c r="PK56" s="368"/>
      <c r="PL56" s="368"/>
      <c r="PM56" s="368"/>
      <c r="PN56" s="368"/>
      <c r="PO56" s="368"/>
      <c r="PP56" s="368"/>
      <c r="PQ56" s="368"/>
      <c r="PR56" s="368"/>
      <c r="PS56" s="368"/>
      <c r="PT56" s="368"/>
      <c r="PU56" s="368"/>
      <c r="PV56" s="368"/>
      <c r="PW56" s="368"/>
      <c r="PX56" s="368"/>
      <c r="PY56" s="368"/>
      <c r="PZ56" s="368"/>
      <c r="QA56" s="368"/>
      <c r="QB56" s="368"/>
      <c r="QC56" s="368"/>
      <c r="QD56" s="368"/>
      <c r="QE56" s="368"/>
      <c r="QF56" s="368"/>
      <c r="QG56" s="368"/>
      <c r="QH56" s="368"/>
      <c r="QI56" s="368"/>
      <c r="QJ56" s="368"/>
      <c r="QK56" s="368"/>
      <c r="QL56" s="368"/>
      <c r="QM56" s="368"/>
      <c r="QN56" s="368"/>
      <c r="QO56" s="368"/>
      <c r="QP56" s="368"/>
      <c r="QQ56" s="368"/>
      <c r="QR56" s="368"/>
      <c r="QS56" s="368"/>
      <c r="QT56" s="368"/>
      <c r="QU56" s="368"/>
      <c r="QV56" s="368"/>
      <c r="QW56" s="368"/>
      <c r="QX56" s="368"/>
      <c r="QY56" s="368"/>
      <c r="QZ56" s="368"/>
      <c r="RA56" s="368"/>
      <c r="RB56" s="368"/>
      <c r="RC56" s="368"/>
      <c r="RD56" s="368"/>
      <c r="RE56" s="368"/>
      <c r="RF56" s="368"/>
      <c r="RG56" s="368"/>
      <c r="RH56" s="368"/>
      <c r="RI56" s="368"/>
      <c r="RJ56" s="368"/>
      <c r="RK56" s="368"/>
      <c r="RL56" s="368"/>
      <c r="RM56" s="368"/>
      <c r="RN56" s="368"/>
      <c r="RO56" s="368"/>
      <c r="RP56" s="368"/>
      <c r="RQ56" s="368"/>
      <c r="RR56" s="368"/>
      <c r="RS56" s="368"/>
      <c r="RT56" s="368"/>
      <c r="RU56" s="368"/>
      <c r="RV56" s="368"/>
      <c r="RW56" s="368"/>
      <c r="RX56" s="368"/>
      <c r="RY56" s="368"/>
      <c r="RZ56" s="368"/>
      <c r="SA56" s="368"/>
      <c r="SB56" s="368"/>
      <c r="SC56" s="368"/>
      <c r="SD56" s="368"/>
      <c r="SE56" s="368"/>
      <c r="SF56" s="368"/>
      <c r="SG56" s="368"/>
      <c r="SH56" s="368"/>
      <c r="SI56" s="368"/>
      <c r="SJ56" s="368"/>
      <c r="SK56" s="368"/>
      <c r="SL56" s="368"/>
      <c r="SM56" s="368"/>
      <c r="SN56" s="368"/>
      <c r="SO56" s="368"/>
      <c r="SP56" s="368"/>
      <c r="SQ56" s="368"/>
      <c r="SR56" s="368"/>
      <c r="SS56" s="368"/>
      <c r="ST56" s="368"/>
      <c r="SU56" s="368"/>
      <c r="SV56" s="368"/>
      <c r="SW56" s="368"/>
      <c r="SX56" s="368"/>
      <c r="SY56" s="368"/>
      <c r="SZ56" s="368"/>
      <c r="TA56" s="368"/>
      <c r="TB56" s="368"/>
      <c r="TC56" s="368"/>
      <c r="TD56" s="368"/>
      <c r="TE56" s="368"/>
      <c r="TF56" s="368"/>
      <c r="TG56" s="368"/>
      <c r="TH56" s="368"/>
      <c r="TI56" s="368"/>
      <c r="TJ56" s="368"/>
      <c r="TK56" s="368"/>
      <c r="TL56" s="368"/>
      <c r="TM56" s="368"/>
      <c r="TN56" s="368"/>
      <c r="TO56" s="368"/>
      <c r="TP56" s="368"/>
      <c r="TQ56" s="368"/>
      <c r="TR56" s="368"/>
      <c r="TS56" s="368"/>
      <c r="TT56" s="368"/>
      <c r="TU56" s="368"/>
      <c r="TV56" s="368"/>
      <c r="TW56" s="368"/>
      <c r="TX56" s="368"/>
      <c r="TY56" s="368"/>
      <c r="TZ56" s="368"/>
      <c r="UA56" s="368"/>
      <c r="UB56" s="368"/>
      <c r="UC56" s="368"/>
      <c r="UD56" s="368"/>
      <c r="UE56" s="368"/>
      <c r="UF56" s="368"/>
      <c r="UG56" s="368"/>
      <c r="UH56" s="368"/>
      <c r="UI56" s="368"/>
      <c r="UJ56" s="368"/>
      <c r="UK56" s="368"/>
      <c r="UL56" s="368"/>
      <c r="UM56" s="368"/>
      <c r="UN56" s="368"/>
      <c r="UO56" s="368"/>
      <c r="UP56" s="368"/>
      <c r="UQ56" s="368"/>
      <c r="UR56" s="368"/>
      <c r="US56" s="368"/>
      <c r="UT56" s="368"/>
      <c r="UU56" s="368"/>
      <c r="UV56" s="368"/>
      <c r="UW56" s="368"/>
      <c r="UX56" s="368"/>
      <c r="UY56" s="368"/>
      <c r="UZ56" s="368"/>
      <c r="VA56" s="368"/>
      <c r="VB56" s="368"/>
      <c r="VC56" s="368"/>
      <c r="VD56" s="368"/>
      <c r="VE56" s="368"/>
      <c r="VF56" s="368"/>
      <c r="VG56" s="368"/>
      <c r="VH56" s="368"/>
      <c r="VI56" s="368"/>
      <c r="VJ56" s="368"/>
      <c r="VK56" s="368"/>
      <c r="VL56" s="368"/>
      <c r="VM56" s="368"/>
      <c r="VN56" s="368"/>
      <c r="VO56" s="368"/>
      <c r="VP56" s="368"/>
      <c r="VQ56" s="368"/>
      <c r="VR56" s="368"/>
      <c r="VS56" s="368"/>
      <c r="VT56" s="368"/>
      <c r="VU56" s="368"/>
      <c r="VV56" s="368"/>
      <c r="VW56" s="368"/>
      <c r="VX56" s="368"/>
      <c r="VY56" s="368"/>
      <c r="VZ56" s="368"/>
      <c r="WA56" s="368"/>
      <c r="WB56" s="368"/>
      <c r="WC56" s="368"/>
      <c r="WD56" s="368"/>
      <c r="WE56" s="368"/>
      <c r="WF56" s="368"/>
      <c r="WG56" s="368"/>
      <c r="WH56" s="368"/>
      <c r="WI56" s="368"/>
      <c r="WJ56" s="368"/>
      <c r="WK56" s="368"/>
      <c r="WL56" s="368"/>
      <c r="WM56" s="368"/>
      <c r="WN56" s="368"/>
      <c r="WO56" s="368"/>
      <c r="WP56" s="368"/>
      <c r="WQ56" s="368"/>
      <c r="WR56" s="368"/>
      <c r="WS56" s="368"/>
      <c r="WT56" s="368"/>
      <c r="WU56" s="368"/>
      <c r="WV56" s="368"/>
      <c r="WW56" s="368"/>
      <c r="WX56" s="368"/>
      <c r="WY56" s="368"/>
      <c r="WZ56" s="368"/>
      <c r="XA56" s="368"/>
      <c r="XB56" s="368"/>
      <c r="XC56" s="368"/>
      <c r="XD56" s="368"/>
      <c r="XE56" s="368"/>
      <c r="XF56" s="368"/>
      <c r="XG56" s="368"/>
      <c r="XH56" s="368"/>
      <c r="XI56" s="368"/>
      <c r="XJ56" s="368"/>
      <c r="XK56" s="368"/>
      <c r="XL56" s="368"/>
      <c r="XM56" s="368"/>
      <c r="XN56" s="368"/>
      <c r="XO56" s="368"/>
      <c r="XP56" s="368"/>
      <c r="XQ56" s="368"/>
      <c r="XR56" s="368"/>
      <c r="XS56" s="368"/>
      <c r="XT56" s="368"/>
      <c r="XU56" s="368"/>
      <c r="XV56" s="368"/>
      <c r="XW56" s="368"/>
      <c r="XX56" s="368"/>
      <c r="XY56" s="368"/>
      <c r="XZ56" s="368"/>
      <c r="YA56" s="368"/>
      <c r="YB56" s="368"/>
      <c r="YC56" s="368"/>
      <c r="YD56" s="368"/>
      <c r="YE56" s="368"/>
      <c r="YF56" s="368"/>
      <c r="YG56" s="368"/>
      <c r="YH56" s="368"/>
      <c r="YI56" s="368"/>
      <c r="YJ56" s="368"/>
      <c r="YK56" s="368"/>
      <c r="YL56" s="368"/>
      <c r="YM56" s="368"/>
      <c r="YN56" s="368"/>
      <c r="YO56" s="368"/>
      <c r="YP56" s="368"/>
      <c r="YQ56" s="368"/>
      <c r="YR56" s="368"/>
      <c r="YS56" s="368"/>
      <c r="YT56" s="368"/>
      <c r="YU56" s="368"/>
      <c r="YV56" s="368"/>
      <c r="YW56" s="368"/>
      <c r="YX56" s="368"/>
      <c r="YY56" s="368"/>
      <c r="YZ56" s="368"/>
      <c r="ZA56" s="368"/>
      <c r="ZB56" s="368"/>
      <c r="ZC56" s="368"/>
      <c r="ZD56" s="368"/>
      <c r="ZE56" s="368"/>
      <c r="ZF56" s="368"/>
      <c r="ZG56" s="368"/>
      <c r="ZH56" s="368"/>
      <c r="ZI56" s="368"/>
      <c r="ZJ56" s="368"/>
      <c r="ZK56" s="368"/>
      <c r="ZL56" s="368"/>
      <c r="ZM56" s="368"/>
      <c r="ZN56" s="368"/>
      <c r="ZO56" s="368"/>
      <c r="ZP56" s="368"/>
      <c r="ZQ56" s="368"/>
      <c r="ZR56" s="368"/>
      <c r="ZS56" s="368"/>
      <c r="ZT56" s="368"/>
      <c r="ZU56" s="368"/>
      <c r="ZV56" s="368"/>
      <c r="ZW56" s="368"/>
      <c r="ZX56" s="368"/>
      <c r="ZY56" s="368"/>
      <c r="ZZ56" s="368"/>
      <c r="AAA56" s="368"/>
      <c r="AAB56" s="368"/>
      <c r="AAC56" s="368"/>
      <c r="AAD56" s="368"/>
      <c r="AAE56" s="368"/>
      <c r="AAF56" s="368"/>
      <c r="AAG56" s="368"/>
      <c r="AAH56" s="368"/>
      <c r="AAI56" s="368"/>
      <c r="AAJ56" s="368"/>
      <c r="AAK56" s="368"/>
      <c r="AAL56" s="368"/>
      <c r="AAM56" s="368"/>
      <c r="AAN56" s="368"/>
      <c r="AAO56" s="368"/>
      <c r="AAP56" s="368"/>
      <c r="AAQ56" s="368"/>
      <c r="AAR56" s="368"/>
      <c r="AAS56" s="368"/>
      <c r="AAT56" s="368"/>
      <c r="AAU56" s="368"/>
      <c r="AAV56" s="368"/>
      <c r="AAW56" s="368"/>
      <c r="AAX56" s="368"/>
      <c r="AAY56" s="368"/>
      <c r="AAZ56" s="368"/>
      <c r="ABA56" s="368"/>
      <c r="ABB56" s="368"/>
      <c r="ABC56" s="368"/>
      <c r="ABD56" s="368"/>
      <c r="ABE56" s="368"/>
      <c r="ABF56" s="368"/>
      <c r="ABG56" s="368"/>
      <c r="ABH56" s="368"/>
      <c r="ABI56" s="368"/>
      <c r="ABJ56" s="368"/>
      <c r="ABK56" s="368"/>
      <c r="ABL56" s="368"/>
      <c r="ABM56" s="368"/>
      <c r="ABN56" s="368"/>
      <c r="ABO56" s="368"/>
      <c r="ABP56" s="368"/>
      <c r="ABQ56" s="368"/>
      <c r="ABR56" s="368"/>
      <c r="ABS56" s="368"/>
      <c r="ABT56" s="368"/>
      <c r="ABU56" s="368"/>
      <c r="ABV56" s="368"/>
      <c r="ABW56" s="368"/>
      <c r="ABX56" s="368"/>
      <c r="ABY56" s="368"/>
      <c r="ABZ56" s="368"/>
      <c r="ACA56" s="368"/>
      <c r="ACB56" s="368"/>
      <c r="ACC56" s="368"/>
      <c r="ACD56" s="368"/>
      <c r="ACE56" s="368"/>
      <c r="ACF56" s="368"/>
      <c r="ACG56" s="368"/>
      <c r="ACH56" s="368"/>
      <c r="ACI56" s="368"/>
      <c r="ACJ56" s="368"/>
      <c r="ACK56" s="368"/>
      <c r="ACL56" s="368"/>
      <c r="ACM56" s="368"/>
      <c r="ACN56" s="368"/>
      <c r="ACO56" s="368"/>
      <c r="ACP56" s="368"/>
      <c r="ACQ56" s="368"/>
      <c r="ACR56" s="368"/>
      <c r="ACS56" s="368"/>
      <c r="ACT56" s="368"/>
      <c r="ACU56" s="368"/>
      <c r="ACV56" s="368"/>
      <c r="ACW56" s="368"/>
      <c r="ACX56" s="368"/>
      <c r="ACY56" s="368"/>
      <c r="ACZ56" s="368"/>
      <c r="ADA56" s="368"/>
      <c r="ADB56" s="368"/>
      <c r="ADC56" s="368"/>
      <c r="ADD56" s="368"/>
      <c r="ADE56" s="368"/>
      <c r="ADF56" s="368"/>
      <c r="ADG56" s="368"/>
      <c r="ADH56" s="368"/>
      <c r="ADI56" s="368"/>
      <c r="ADJ56" s="368"/>
      <c r="ADK56" s="368"/>
      <c r="ADL56" s="368"/>
      <c r="ADM56" s="368"/>
      <c r="ADN56" s="368"/>
      <c r="ADO56" s="368"/>
      <c r="ADP56" s="368"/>
      <c r="ADQ56" s="368"/>
      <c r="ADR56" s="368"/>
      <c r="ADS56" s="368"/>
      <c r="ADT56" s="368"/>
      <c r="ADU56" s="368"/>
      <c r="ADV56" s="368"/>
      <c r="ADW56" s="368"/>
      <c r="ADX56" s="368"/>
      <c r="ADY56" s="368"/>
      <c r="ADZ56" s="368"/>
      <c r="AEA56" s="368"/>
      <c r="AEB56" s="368"/>
      <c r="AEC56" s="368"/>
      <c r="AED56" s="368"/>
      <c r="AEE56" s="368"/>
      <c r="AEF56" s="368"/>
      <c r="AEG56" s="368"/>
      <c r="AEH56" s="368"/>
      <c r="AEI56" s="368"/>
      <c r="AEJ56" s="368"/>
      <c r="AEK56" s="368"/>
      <c r="AEL56" s="368"/>
      <c r="AEM56" s="368"/>
      <c r="AEN56" s="368"/>
      <c r="AEO56" s="368"/>
      <c r="AEP56" s="368"/>
      <c r="AEQ56" s="368"/>
      <c r="AER56" s="368"/>
      <c r="AES56" s="368"/>
      <c r="AET56" s="368"/>
      <c r="AEU56" s="368"/>
      <c r="AEV56" s="368"/>
      <c r="AEW56" s="368"/>
      <c r="AEX56" s="368"/>
      <c r="AEY56" s="368"/>
      <c r="AEZ56" s="368"/>
      <c r="AFA56" s="368"/>
      <c r="AFB56" s="368"/>
      <c r="AFC56" s="368"/>
      <c r="AFD56" s="368"/>
      <c r="AFE56" s="368"/>
      <c r="AFF56" s="368"/>
      <c r="AFG56" s="368"/>
      <c r="AFH56" s="368"/>
      <c r="AFI56" s="368"/>
      <c r="AFJ56" s="368"/>
      <c r="AFK56" s="368"/>
      <c r="AFL56" s="368"/>
      <c r="AFM56" s="368"/>
      <c r="AFN56" s="368"/>
      <c r="AFO56" s="368"/>
      <c r="AFP56" s="368"/>
      <c r="AFQ56" s="368"/>
      <c r="AFR56" s="368"/>
      <c r="AFS56" s="368"/>
      <c r="AFT56" s="368"/>
      <c r="AFU56" s="368"/>
      <c r="AFV56" s="368"/>
      <c r="AFW56" s="368"/>
      <c r="AFX56" s="368"/>
      <c r="AFY56" s="368"/>
      <c r="AFZ56" s="368"/>
      <c r="AGA56" s="368"/>
      <c r="AGB56" s="368"/>
      <c r="AGC56" s="368"/>
      <c r="AGD56" s="368"/>
      <c r="AGE56" s="368"/>
      <c r="AGF56" s="368"/>
      <c r="AGG56" s="368"/>
      <c r="AGH56" s="368"/>
      <c r="AGI56" s="368"/>
      <c r="AGJ56" s="368"/>
      <c r="AGK56" s="368"/>
      <c r="AGL56" s="368"/>
      <c r="AGM56" s="368"/>
      <c r="AGN56" s="368"/>
      <c r="AGO56" s="368"/>
      <c r="AGP56" s="368"/>
      <c r="AGQ56" s="368"/>
      <c r="AGR56" s="368"/>
      <c r="AGS56" s="368"/>
      <c r="AGT56" s="368"/>
      <c r="AGU56" s="368"/>
      <c r="AGV56" s="368"/>
      <c r="AGW56" s="368"/>
      <c r="AGX56" s="368"/>
      <c r="AGY56" s="368"/>
      <c r="AGZ56" s="368"/>
      <c r="AHA56" s="368"/>
      <c r="AHB56" s="368"/>
      <c r="AHC56" s="368"/>
      <c r="AHD56" s="368"/>
      <c r="AHE56" s="368"/>
      <c r="AHF56" s="368"/>
      <c r="AHG56" s="368"/>
      <c r="AHH56" s="368"/>
      <c r="AHI56" s="368"/>
      <c r="AHJ56" s="368"/>
      <c r="AHK56" s="368"/>
      <c r="AHL56" s="368"/>
      <c r="AHM56" s="368"/>
      <c r="AHN56" s="368"/>
      <c r="AHO56" s="368"/>
      <c r="AHP56" s="368"/>
      <c r="AHQ56" s="368"/>
      <c r="AHR56" s="368"/>
      <c r="AHS56" s="368"/>
      <c r="AHT56" s="368"/>
      <c r="AHU56" s="368"/>
      <c r="AHV56" s="368"/>
      <c r="AHW56" s="368"/>
      <c r="AHX56" s="368"/>
      <c r="AHY56" s="368"/>
      <c r="AHZ56" s="368"/>
      <c r="AIA56" s="368"/>
      <c r="AIB56" s="368"/>
      <c r="AIC56" s="368"/>
      <c r="AID56" s="368"/>
      <c r="AIE56" s="368"/>
      <c r="AIF56" s="368"/>
      <c r="AIG56" s="368"/>
      <c r="AIH56" s="368"/>
      <c r="AII56" s="368"/>
      <c r="AIJ56" s="368"/>
      <c r="AIK56" s="368"/>
      <c r="AIL56" s="368"/>
      <c r="AIM56" s="368"/>
      <c r="AIN56" s="368"/>
      <c r="AIO56" s="368"/>
      <c r="AIP56" s="368"/>
      <c r="AIQ56" s="368"/>
      <c r="AIR56" s="368"/>
      <c r="AIS56" s="368"/>
      <c r="AIT56" s="368"/>
      <c r="AIU56" s="368"/>
      <c r="AIV56" s="368"/>
      <c r="AIW56" s="368"/>
      <c r="AIX56" s="368"/>
      <c r="AIY56" s="368"/>
      <c r="AIZ56" s="368"/>
      <c r="AJA56" s="368"/>
      <c r="AJB56" s="368"/>
      <c r="AJC56" s="368"/>
      <c r="AJD56" s="368"/>
      <c r="AJE56" s="368"/>
      <c r="AJF56" s="368"/>
      <c r="AJG56" s="368"/>
      <c r="AJH56" s="368"/>
      <c r="AJI56" s="368"/>
      <c r="AJJ56" s="368"/>
      <c r="AJK56" s="368"/>
      <c r="AJL56" s="368"/>
      <c r="AJM56" s="368"/>
      <c r="AJN56" s="368"/>
      <c r="AJO56" s="368"/>
      <c r="AJP56" s="368"/>
      <c r="AJQ56" s="368"/>
      <c r="AJR56" s="368"/>
      <c r="AJS56" s="368"/>
      <c r="AJT56" s="368"/>
      <c r="AJU56" s="368"/>
      <c r="AJV56" s="368"/>
      <c r="AJW56" s="368"/>
      <c r="AJX56" s="368"/>
      <c r="AJY56" s="368"/>
      <c r="AJZ56" s="368"/>
      <c r="AKA56" s="368"/>
      <c r="AKB56" s="368"/>
      <c r="AKC56" s="368"/>
      <c r="AKD56" s="368"/>
      <c r="AKE56" s="368"/>
      <c r="AKF56" s="368"/>
      <c r="AKG56" s="368"/>
      <c r="AKH56" s="368"/>
      <c r="AKI56" s="368"/>
      <c r="AKJ56" s="368"/>
      <c r="AKK56" s="368"/>
      <c r="AKL56" s="368"/>
      <c r="AKM56" s="368"/>
      <c r="AKN56" s="368"/>
      <c r="AKO56" s="368"/>
      <c r="AKP56" s="368"/>
      <c r="AKQ56" s="368"/>
      <c r="AKR56" s="368"/>
      <c r="AKS56" s="368"/>
      <c r="AKT56" s="368"/>
      <c r="AKU56" s="368"/>
      <c r="AKV56" s="368"/>
      <c r="AKW56" s="368"/>
      <c r="AKX56" s="368"/>
      <c r="AKY56" s="368"/>
      <c r="AKZ56" s="368"/>
      <c r="ALA56" s="368"/>
      <c r="ALB56" s="368"/>
      <c r="ALC56" s="368"/>
      <c r="ALD56" s="368"/>
      <c r="ALE56" s="368"/>
      <c r="ALF56" s="368"/>
      <c r="ALG56" s="368"/>
      <c r="ALH56" s="368"/>
      <c r="ALI56" s="368"/>
      <c r="ALJ56" s="368"/>
      <c r="ALK56" s="368"/>
      <c r="ALL56" s="368"/>
      <c r="ALM56" s="368"/>
      <c r="ALN56" s="368"/>
      <c r="ALO56" s="368"/>
      <c r="ALP56" s="368"/>
      <c r="ALQ56" s="368"/>
      <c r="ALR56" s="368"/>
      <c r="ALS56" s="368"/>
      <c r="ALT56" s="368"/>
      <c r="ALU56" s="368"/>
      <c r="ALV56" s="368"/>
      <c r="ALW56" s="368"/>
      <c r="ALX56" s="368"/>
      <c r="ALY56" s="368"/>
      <c r="ALZ56" s="368"/>
      <c r="AMA56" s="368"/>
      <c r="AMB56" s="368"/>
      <c r="AMC56" s="368"/>
      <c r="AMD56" s="368"/>
      <c r="AME56" s="368"/>
      <c r="AMF56" s="368"/>
      <c r="AMG56" s="368"/>
      <c r="AMH56" s="368"/>
      <c r="AMI56" s="368"/>
      <c r="AMJ56" s="368"/>
    </row>
    <row r="57" spans="1:1024" s="125" customFormat="1" ht="7.5" customHeight="1">
      <c r="B57" s="765"/>
      <c r="C57" s="766"/>
      <c r="D57" s="766"/>
      <c r="E57" s="766"/>
      <c r="F57" s="766"/>
      <c r="G57" s="766"/>
      <c r="H57" s="767"/>
    </row>
    <row r="58" spans="1:1024" ht="17.25" customHeight="1">
      <c r="A58" s="368"/>
      <c r="B58" s="689" t="s">
        <v>3478</v>
      </c>
      <c r="C58" s="690"/>
      <c r="D58" s="690"/>
      <c r="E58" s="124"/>
      <c r="F58" s="124"/>
      <c r="G58" s="124"/>
      <c r="H58" s="128"/>
      <c r="I58" s="368"/>
      <c r="J58" s="368"/>
      <c r="K58" s="368"/>
      <c r="L58" s="368"/>
      <c r="M58" s="368"/>
      <c r="N58" s="368"/>
      <c r="O58" s="368"/>
      <c r="P58" s="368"/>
      <c r="Q58" s="368"/>
      <c r="R58" s="368"/>
      <c r="S58" s="368"/>
      <c r="T58" s="368"/>
      <c r="U58" s="368"/>
      <c r="V58" s="368"/>
      <c r="W58" s="368"/>
      <c r="X58" s="368"/>
      <c r="Y58" s="368"/>
      <c r="Z58" s="368"/>
      <c r="AA58" s="368"/>
      <c r="AB58" s="368"/>
      <c r="AC58" s="368"/>
      <c r="AD58" s="368"/>
      <c r="AE58" s="368"/>
      <c r="AF58" s="368"/>
      <c r="AG58" s="368"/>
      <c r="AH58" s="368"/>
      <c r="AI58" s="368"/>
      <c r="AJ58" s="368"/>
      <c r="AK58" s="368"/>
      <c r="AL58" s="368"/>
      <c r="AM58" s="368"/>
      <c r="AN58" s="368"/>
      <c r="AO58" s="368"/>
      <c r="AP58" s="368"/>
      <c r="AQ58" s="368"/>
      <c r="AR58" s="368"/>
      <c r="AS58" s="368"/>
      <c r="AT58" s="368"/>
      <c r="AU58" s="368"/>
      <c r="AV58" s="368"/>
      <c r="AW58" s="368"/>
      <c r="AX58" s="368"/>
      <c r="AY58" s="368"/>
      <c r="AZ58" s="368"/>
      <c r="BA58" s="368"/>
      <c r="BB58" s="368"/>
      <c r="BC58" s="368"/>
      <c r="BD58" s="368"/>
      <c r="BE58" s="368"/>
      <c r="BF58" s="368"/>
      <c r="BG58" s="368"/>
      <c r="BH58" s="368"/>
      <c r="BI58" s="368"/>
      <c r="BJ58" s="368"/>
      <c r="BK58" s="368"/>
      <c r="BL58" s="368"/>
      <c r="BM58" s="368"/>
      <c r="BN58" s="368"/>
      <c r="BO58" s="368"/>
      <c r="BP58" s="368"/>
      <c r="BQ58" s="368"/>
      <c r="BR58" s="368"/>
      <c r="BS58" s="368"/>
      <c r="BT58" s="368"/>
      <c r="BU58" s="368"/>
      <c r="BV58" s="368"/>
      <c r="BW58" s="368"/>
      <c r="BX58" s="368"/>
      <c r="BY58" s="368"/>
      <c r="BZ58" s="368"/>
      <c r="CA58" s="368"/>
      <c r="CB58" s="368"/>
      <c r="CC58" s="368"/>
      <c r="CD58" s="368"/>
      <c r="CE58" s="368"/>
      <c r="CF58" s="368"/>
      <c r="CG58" s="368"/>
      <c r="CH58" s="368"/>
      <c r="CI58" s="368"/>
      <c r="CJ58" s="368"/>
      <c r="CK58" s="368"/>
      <c r="CL58" s="368"/>
      <c r="CM58" s="368"/>
      <c r="CN58" s="368"/>
      <c r="CO58" s="368"/>
      <c r="CP58" s="368"/>
      <c r="CQ58" s="368"/>
      <c r="CR58" s="368"/>
      <c r="CS58" s="368"/>
      <c r="CT58" s="368"/>
      <c r="CU58" s="368"/>
      <c r="CV58" s="368"/>
      <c r="CW58" s="368"/>
      <c r="CX58" s="368"/>
      <c r="CY58" s="368"/>
      <c r="CZ58" s="368"/>
      <c r="DA58" s="368"/>
      <c r="DB58" s="368"/>
      <c r="DC58" s="368"/>
      <c r="DD58" s="368"/>
      <c r="DE58" s="368"/>
      <c r="DF58" s="368"/>
      <c r="DG58" s="368"/>
      <c r="DH58" s="368"/>
      <c r="DI58" s="368"/>
      <c r="DJ58" s="368"/>
      <c r="DK58" s="368"/>
      <c r="DL58" s="368"/>
      <c r="DM58" s="368"/>
      <c r="DN58" s="368"/>
      <c r="DO58" s="368"/>
      <c r="DP58" s="368"/>
      <c r="DQ58" s="368"/>
      <c r="DR58" s="368"/>
      <c r="DS58" s="368"/>
      <c r="DT58" s="368"/>
      <c r="DU58" s="368"/>
      <c r="DV58" s="368"/>
      <c r="DW58" s="368"/>
      <c r="DX58" s="368"/>
      <c r="DY58" s="368"/>
      <c r="DZ58" s="368"/>
      <c r="EA58" s="368"/>
      <c r="EB58" s="368"/>
      <c r="EC58" s="368"/>
      <c r="ED58" s="368"/>
      <c r="EE58" s="368"/>
      <c r="EF58" s="368"/>
      <c r="EG58" s="368"/>
      <c r="EH58" s="368"/>
      <c r="EI58" s="368"/>
      <c r="EJ58" s="368"/>
      <c r="EK58" s="368"/>
      <c r="EL58" s="368"/>
      <c r="EM58" s="368"/>
      <c r="EN58" s="368"/>
      <c r="EO58" s="368"/>
      <c r="EP58" s="368"/>
      <c r="EQ58" s="368"/>
      <c r="ER58" s="368"/>
      <c r="ES58" s="368"/>
      <c r="ET58" s="368"/>
      <c r="EU58" s="368"/>
      <c r="EV58" s="368"/>
      <c r="EW58" s="368"/>
      <c r="EX58" s="368"/>
      <c r="EY58" s="368"/>
      <c r="EZ58" s="368"/>
      <c r="FA58" s="368"/>
      <c r="FB58" s="368"/>
      <c r="FC58" s="368"/>
      <c r="FD58" s="368"/>
      <c r="FE58" s="368"/>
      <c r="FF58" s="368"/>
      <c r="FG58" s="368"/>
      <c r="FH58" s="368"/>
      <c r="FI58" s="368"/>
      <c r="FJ58" s="368"/>
      <c r="FK58" s="368"/>
      <c r="FL58" s="368"/>
      <c r="FM58" s="368"/>
      <c r="FN58" s="368"/>
      <c r="FO58" s="368"/>
      <c r="FP58" s="368"/>
      <c r="FQ58" s="368"/>
      <c r="FR58" s="368"/>
      <c r="FS58" s="368"/>
      <c r="FT58" s="368"/>
      <c r="FU58" s="368"/>
      <c r="FV58" s="368"/>
      <c r="FW58" s="368"/>
      <c r="FX58" s="368"/>
      <c r="FY58" s="368"/>
      <c r="FZ58" s="368"/>
      <c r="GA58" s="368"/>
      <c r="GB58" s="368"/>
      <c r="GC58" s="368"/>
      <c r="GD58" s="368"/>
      <c r="GE58" s="368"/>
      <c r="GF58" s="368"/>
      <c r="GG58" s="368"/>
      <c r="GH58" s="368"/>
      <c r="GI58" s="368"/>
      <c r="GJ58" s="368"/>
      <c r="GK58" s="368"/>
      <c r="GL58" s="368"/>
      <c r="GM58" s="368"/>
      <c r="GN58" s="368"/>
      <c r="GO58" s="368"/>
      <c r="GP58" s="368"/>
      <c r="GQ58" s="368"/>
      <c r="GR58" s="368"/>
      <c r="GS58" s="368"/>
      <c r="GT58" s="368"/>
      <c r="GU58" s="368"/>
      <c r="GV58" s="368"/>
      <c r="GW58" s="368"/>
      <c r="GX58" s="368"/>
      <c r="GY58" s="368"/>
      <c r="GZ58" s="368"/>
      <c r="HA58" s="368"/>
      <c r="HB58" s="368"/>
      <c r="HC58" s="368"/>
      <c r="HD58" s="368"/>
      <c r="HE58" s="368"/>
      <c r="HF58" s="368"/>
      <c r="HG58" s="368"/>
      <c r="HH58" s="368"/>
      <c r="HI58" s="368"/>
      <c r="HJ58" s="368"/>
      <c r="HK58" s="368"/>
      <c r="HL58" s="368"/>
      <c r="HM58" s="368"/>
      <c r="HN58" s="368"/>
      <c r="HO58" s="368"/>
      <c r="HP58" s="368"/>
      <c r="HQ58" s="368"/>
      <c r="HR58" s="368"/>
      <c r="HS58" s="368"/>
      <c r="HT58" s="368"/>
      <c r="HU58" s="368"/>
      <c r="HV58" s="368"/>
      <c r="HW58" s="368"/>
      <c r="HX58" s="368"/>
      <c r="HY58" s="368"/>
      <c r="HZ58" s="368"/>
      <c r="IA58" s="368"/>
      <c r="IB58" s="368"/>
      <c r="IC58" s="368"/>
      <c r="ID58" s="368"/>
      <c r="IE58" s="368"/>
      <c r="IF58" s="368"/>
      <c r="IG58" s="368"/>
      <c r="IH58" s="368"/>
      <c r="II58" s="368"/>
      <c r="IJ58" s="368"/>
      <c r="IK58" s="368"/>
      <c r="IL58" s="368"/>
      <c r="IM58" s="368"/>
      <c r="IN58" s="368"/>
      <c r="IO58" s="368"/>
      <c r="IP58" s="368"/>
      <c r="IQ58" s="368"/>
      <c r="IR58" s="368"/>
      <c r="IS58" s="368"/>
      <c r="IT58" s="368"/>
      <c r="IU58" s="368"/>
      <c r="IV58" s="368"/>
      <c r="IW58" s="368"/>
      <c r="IX58" s="368"/>
      <c r="IY58" s="368"/>
      <c r="IZ58" s="368"/>
      <c r="JA58" s="368"/>
      <c r="JB58" s="368"/>
      <c r="JC58" s="368"/>
      <c r="JD58" s="368"/>
      <c r="JE58" s="368"/>
      <c r="JF58" s="368"/>
      <c r="JG58" s="368"/>
      <c r="JH58" s="368"/>
      <c r="JI58" s="368"/>
      <c r="JJ58" s="368"/>
      <c r="JK58" s="368"/>
      <c r="JL58" s="368"/>
      <c r="JM58" s="368"/>
      <c r="JN58" s="368"/>
      <c r="JO58" s="368"/>
      <c r="JP58" s="368"/>
      <c r="JQ58" s="368"/>
      <c r="JR58" s="368"/>
      <c r="JS58" s="368"/>
      <c r="JT58" s="368"/>
      <c r="JU58" s="368"/>
      <c r="JV58" s="368"/>
      <c r="JW58" s="368"/>
      <c r="JX58" s="368"/>
      <c r="JY58" s="368"/>
      <c r="JZ58" s="368"/>
      <c r="KA58" s="368"/>
      <c r="KB58" s="368"/>
      <c r="KC58" s="368"/>
      <c r="KD58" s="368"/>
      <c r="KE58" s="368"/>
      <c r="KF58" s="368"/>
      <c r="KG58" s="368"/>
      <c r="KH58" s="368"/>
      <c r="KI58" s="368"/>
      <c r="KJ58" s="368"/>
      <c r="KK58" s="368"/>
      <c r="KL58" s="368"/>
      <c r="KM58" s="368"/>
      <c r="KN58" s="368"/>
      <c r="KO58" s="368"/>
      <c r="KP58" s="368"/>
      <c r="KQ58" s="368"/>
      <c r="KR58" s="368"/>
      <c r="KS58" s="368"/>
      <c r="KT58" s="368"/>
      <c r="KU58" s="368"/>
      <c r="KV58" s="368"/>
      <c r="KW58" s="368"/>
      <c r="KX58" s="368"/>
      <c r="KY58" s="368"/>
      <c r="KZ58" s="368"/>
      <c r="LA58" s="368"/>
      <c r="LB58" s="368"/>
      <c r="LC58" s="368"/>
      <c r="LD58" s="368"/>
      <c r="LE58" s="368"/>
      <c r="LF58" s="368"/>
      <c r="LG58" s="368"/>
      <c r="LH58" s="368"/>
      <c r="LI58" s="368"/>
      <c r="LJ58" s="368"/>
      <c r="LK58" s="368"/>
      <c r="LL58" s="368"/>
      <c r="LM58" s="368"/>
      <c r="LN58" s="368"/>
      <c r="LO58" s="368"/>
      <c r="LP58" s="368"/>
      <c r="LQ58" s="368"/>
      <c r="LR58" s="368"/>
      <c r="LS58" s="368"/>
      <c r="LT58" s="368"/>
      <c r="LU58" s="368"/>
      <c r="LV58" s="368"/>
      <c r="LW58" s="368"/>
      <c r="LX58" s="368"/>
      <c r="LY58" s="368"/>
      <c r="LZ58" s="368"/>
      <c r="MA58" s="368"/>
      <c r="MB58" s="368"/>
      <c r="MC58" s="368"/>
      <c r="MD58" s="368"/>
      <c r="ME58" s="368"/>
      <c r="MF58" s="368"/>
      <c r="MG58" s="368"/>
      <c r="MH58" s="368"/>
      <c r="MI58" s="368"/>
      <c r="MJ58" s="368"/>
      <c r="MK58" s="368"/>
      <c r="ML58" s="368"/>
      <c r="MM58" s="368"/>
      <c r="MN58" s="368"/>
      <c r="MO58" s="368"/>
      <c r="MP58" s="368"/>
      <c r="MQ58" s="368"/>
      <c r="MR58" s="368"/>
      <c r="MS58" s="368"/>
      <c r="MT58" s="368"/>
      <c r="MU58" s="368"/>
      <c r="MV58" s="368"/>
      <c r="MW58" s="368"/>
      <c r="MX58" s="368"/>
      <c r="MY58" s="368"/>
      <c r="MZ58" s="368"/>
      <c r="NA58" s="368"/>
      <c r="NB58" s="368"/>
      <c r="NC58" s="368"/>
      <c r="ND58" s="368"/>
      <c r="NE58" s="368"/>
      <c r="NF58" s="368"/>
      <c r="NG58" s="368"/>
      <c r="NH58" s="368"/>
      <c r="NI58" s="368"/>
      <c r="NJ58" s="368"/>
      <c r="NK58" s="368"/>
      <c r="NL58" s="368"/>
      <c r="NM58" s="368"/>
      <c r="NN58" s="368"/>
      <c r="NO58" s="368"/>
      <c r="NP58" s="368"/>
      <c r="NQ58" s="368"/>
      <c r="NR58" s="368"/>
      <c r="NS58" s="368"/>
      <c r="NT58" s="368"/>
      <c r="NU58" s="368"/>
      <c r="NV58" s="368"/>
      <c r="NW58" s="368"/>
      <c r="NX58" s="368"/>
      <c r="NY58" s="368"/>
      <c r="NZ58" s="368"/>
      <c r="OA58" s="368"/>
      <c r="OB58" s="368"/>
      <c r="OC58" s="368"/>
      <c r="OD58" s="368"/>
      <c r="OE58" s="368"/>
      <c r="OF58" s="368"/>
      <c r="OG58" s="368"/>
      <c r="OH58" s="368"/>
      <c r="OI58" s="368"/>
      <c r="OJ58" s="368"/>
      <c r="OK58" s="368"/>
      <c r="OL58" s="368"/>
      <c r="OM58" s="368"/>
      <c r="ON58" s="368"/>
      <c r="OO58" s="368"/>
      <c r="OP58" s="368"/>
      <c r="OQ58" s="368"/>
      <c r="OR58" s="368"/>
      <c r="OS58" s="368"/>
      <c r="OT58" s="368"/>
      <c r="OU58" s="368"/>
      <c r="OV58" s="368"/>
      <c r="OW58" s="368"/>
      <c r="OX58" s="368"/>
      <c r="OY58" s="368"/>
      <c r="OZ58" s="368"/>
      <c r="PA58" s="368"/>
      <c r="PB58" s="368"/>
      <c r="PC58" s="368"/>
      <c r="PD58" s="368"/>
      <c r="PE58" s="368"/>
      <c r="PF58" s="368"/>
      <c r="PG58" s="368"/>
      <c r="PH58" s="368"/>
      <c r="PI58" s="368"/>
      <c r="PJ58" s="368"/>
      <c r="PK58" s="368"/>
      <c r="PL58" s="368"/>
      <c r="PM58" s="368"/>
      <c r="PN58" s="368"/>
      <c r="PO58" s="368"/>
      <c r="PP58" s="368"/>
      <c r="PQ58" s="368"/>
      <c r="PR58" s="368"/>
      <c r="PS58" s="368"/>
      <c r="PT58" s="368"/>
      <c r="PU58" s="368"/>
      <c r="PV58" s="368"/>
      <c r="PW58" s="368"/>
      <c r="PX58" s="368"/>
      <c r="PY58" s="368"/>
      <c r="PZ58" s="368"/>
      <c r="QA58" s="368"/>
      <c r="QB58" s="368"/>
      <c r="QC58" s="368"/>
      <c r="QD58" s="368"/>
      <c r="QE58" s="368"/>
      <c r="QF58" s="368"/>
      <c r="QG58" s="368"/>
      <c r="QH58" s="368"/>
      <c r="QI58" s="368"/>
      <c r="QJ58" s="368"/>
      <c r="QK58" s="368"/>
      <c r="QL58" s="368"/>
      <c r="QM58" s="368"/>
      <c r="QN58" s="368"/>
      <c r="QO58" s="368"/>
      <c r="QP58" s="368"/>
      <c r="QQ58" s="368"/>
      <c r="QR58" s="368"/>
      <c r="QS58" s="368"/>
      <c r="QT58" s="368"/>
      <c r="QU58" s="368"/>
      <c r="QV58" s="368"/>
      <c r="QW58" s="368"/>
      <c r="QX58" s="368"/>
      <c r="QY58" s="368"/>
      <c r="QZ58" s="368"/>
      <c r="RA58" s="368"/>
      <c r="RB58" s="368"/>
      <c r="RC58" s="368"/>
      <c r="RD58" s="368"/>
      <c r="RE58" s="368"/>
      <c r="RF58" s="368"/>
      <c r="RG58" s="368"/>
      <c r="RH58" s="368"/>
      <c r="RI58" s="368"/>
      <c r="RJ58" s="368"/>
      <c r="RK58" s="368"/>
      <c r="RL58" s="368"/>
      <c r="RM58" s="368"/>
      <c r="RN58" s="368"/>
      <c r="RO58" s="368"/>
      <c r="RP58" s="368"/>
      <c r="RQ58" s="368"/>
      <c r="RR58" s="368"/>
      <c r="RS58" s="368"/>
      <c r="RT58" s="368"/>
      <c r="RU58" s="368"/>
      <c r="RV58" s="368"/>
      <c r="RW58" s="368"/>
      <c r="RX58" s="368"/>
      <c r="RY58" s="368"/>
      <c r="RZ58" s="368"/>
      <c r="SA58" s="368"/>
      <c r="SB58" s="368"/>
      <c r="SC58" s="368"/>
      <c r="SD58" s="368"/>
      <c r="SE58" s="368"/>
      <c r="SF58" s="368"/>
      <c r="SG58" s="368"/>
      <c r="SH58" s="368"/>
      <c r="SI58" s="368"/>
      <c r="SJ58" s="368"/>
      <c r="SK58" s="368"/>
      <c r="SL58" s="368"/>
      <c r="SM58" s="368"/>
      <c r="SN58" s="368"/>
      <c r="SO58" s="368"/>
      <c r="SP58" s="368"/>
      <c r="SQ58" s="368"/>
      <c r="SR58" s="368"/>
      <c r="SS58" s="368"/>
      <c r="ST58" s="368"/>
      <c r="SU58" s="368"/>
      <c r="SV58" s="368"/>
      <c r="SW58" s="368"/>
      <c r="SX58" s="368"/>
      <c r="SY58" s="368"/>
      <c r="SZ58" s="368"/>
      <c r="TA58" s="368"/>
      <c r="TB58" s="368"/>
      <c r="TC58" s="368"/>
      <c r="TD58" s="368"/>
      <c r="TE58" s="368"/>
      <c r="TF58" s="368"/>
      <c r="TG58" s="368"/>
      <c r="TH58" s="368"/>
      <c r="TI58" s="368"/>
      <c r="TJ58" s="368"/>
      <c r="TK58" s="368"/>
      <c r="TL58" s="368"/>
      <c r="TM58" s="368"/>
      <c r="TN58" s="368"/>
      <c r="TO58" s="368"/>
      <c r="TP58" s="368"/>
      <c r="TQ58" s="368"/>
      <c r="TR58" s="368"/>
      <c r="TS58" s="368"/>
      <c r="TT58" s="368"/>
      <c r="TU58" s="368"/>
      <c r="TV58" s="368"/>
      <c r="TW58" s="368"/>
      <c r="TX58" s="368"/>
      <c r="TY58" s="368"/>
      <c r="TZ58" s="368"/>
      <c r="UA58" s="368"/>
      <c r="UB58" s="368"/>
      <c r="UC58" s="368"/>
      <c r="UD58" s="368"/>
      <c r="UE58" s="368"/>
      <c r="UF58" s="368"/>
      <c r="UG58" s="368"/>
      <c r="UH58" s="368"/>
      <c r="UI58" s="368"/>
      <c r="UJ58" s="368"/>
      <c r="UK58" s="368"/>
      <c r="UL58" s="368"/>
      <c r="UM58" s="368"/>
      <c r="UN58" s="368"/>
      <c r="UO58" s="368"/>
      <c r="UP58" s="368"/>
      <c r="UQ58" s="368"/>
      <c r="UR58" s="368"/>
      <c r="US58" s="368"/>
      <c r="UT58" s="368"/>
      <c r="UU58" s="368"/>
      <c r="UV58" s="368"/>
      <c r="UW58" s="368"/>
      <c r="UX58" s="368"/>
      <c r="UY58" s="368"/>
      <c r="UZ58" s="368"/>
      <c r="VA58" s="368"/>
      <c r="VB58" s="368"/>
      <c r="VC58" s="368"/>
      <c r="VD58" s="368"/>
      <c r="VE58" s="368"/>
      <c r="VF58" s="368"/>
      <c r="VG58" s="368"/>
      <c r="VH58" s="368"/>
      <c r="VI58" s="368"/>
      <c r="VJ58" s="368"/>
      <c r="VK58" s="368"/>
      <c r="VL58" s="368"/>
      <c r="VM58" s="368"/>
      <c r="VN58" s="368"/>
      <c r="VO58" s="368"/>
      <c r="VP58" s="368"/>
      <c r="VQ58" s="368"/>
      <c r="VR58" s="368"/>
      <c r="VS58" s="368"/>
      <c r="VT58" s="368"/>
      <c r="VU58" s="368"/>
      <c r="VV58" s="368"/>
      <c r="VW58" s="368"/>
      <c r="VX58" s="368"/>
      <c r="VY58" s="368"/>
      <c r="VZ58" s="368"/>
      <c r="WA58" s="368"/>
      <c r="WB58" s="368"/>
      <c r="WC58" s="368"/>
      <c r="WD58" s="368"/>
      <c r="WE58" s="368"/>
      <c r="WF58" s="368"/>
      <c r="WG58" s="368"/>
      <c r="WH58" s="368"/>
      <c r="WI58" s="368"/>
      <c r="WJ58" s="368"/>
      <c r="WK58" s="368"/>
      <c r="WL58" s="368"/>
      <c r="WM58" s="368"/>
      <c r="WN58" s="368"/>
      <c r="WO58" s="368"/>
      <c r="WP58" s="368"/>
      <c r="WQ58" s="368"/>
      <c r="WR58" s="368"/>
      <c r="WS58" s="368"/>
      <c r="WT58" s="368"/>
      <c r="WU58" s="368"/>
      <c r="WV58" s="368"/>
      <c r="WW58" s="368"/>
      <c r="WX58" s="368"/>
      <c r="WY58" s="368"/>
      <c r="WZ58" s="368"/>
      <c r="XA58" s="368"/>
      <c r="XB58" s="368"/>
      <c r="XC58" s="368"/>
      <c r="XD58" s="368"/>
      <c r="XE58" s="368"/>
      <c r="XF58" s="368"/>
      <c r="XG58" s="368"/>
      <c r="XH58" s="368"/>
      <c r="XI58" s="368"/>
      <c r="XJ58" s="368"/>
      <c r="XK58" s="368"/>
      <c r="XL58" s="368"/>
      <c r="XM58" s="368"/>
      <c r="XN58" s="368"/>
      <c r="XO58" s="368"/>
      <c r="XP58" s="368"/>
      <c r="XQ58" s="368"/>
      <c r="XR58" s="368"/>
      <c r="XS58" s="368"/>
      <c r="XT58" s="368"/>
      <c r="XU58" s="368"/>
      <c r="XV58" s="368"/>
      <c r="XW58" s="368"/>
      <c r="XX58" s="368"/>
      <c r="XY58" s="368"/>
      <c r="XZ58" s="368"/>
      <c r="YA58" s="368"/>
      <c r="YB58" s="368"/>
      <c r="YC58" s="368"/>
      <c r="YD58" s="368"/>
      <c r="YE58" s="368"/>
      <c r="YF58" s="368"/>
      <c r="YG58" s="368"/>
      <c r="YH58" s="368"/>
      <c r="YI58" s="368"/>
      <c r="YJ58" s="368"/>
      <c r="YK58" s="368"/>
      <c r="YL58" s="368"/>
      <c r="YM58" s="368"/>
      <c r="YN58" s="368"/>
      <c r="YO58" s="368"/>
      <c r="YP58" s="368"/>
      <c r="YQ58" s="368"/>
      <c r="YR58" s="368"/>
      <c r="YS58" s="368"/>
      <c r="YT58" s="368"/>
      <c r="YU58" s="368"/>
      <c r="YV58" s="368"/>
      <c r="YW58" s="368"/>
      <c r="YX58" s="368"/>
      <c r="YY58" s="368"/>
      <c r="YZ58" s="368"/>
      <c r="ZA58" s="368"/>
      <c r="ZB58" s="368"/>
      <c r="ZC58" s="368"/>
      <c r="ZD58" s="368"/>
      <c r="ZE58" s="368"/>
      <c r="ZF58" s="368"/>
      <c r="ZG58" s="368"/>
      <c r="ZH58" s="368"/>
      <c r="ZI58" s="368"/>
      <c r="ZJ58" s="368"/>
      <c r="ZK58" s="368"/>
      <c r="ZL58" s="368"/>
      <c r="ZM58" s="368"/>
      <c r="ZN58" s="368"/>
      <c r="ZO58" s="368"/>
      <c r="ZP58" s="368"/>
      <c r="ZQ58" s="368"/>
      <c r="ZR58" s="368"/>
      <c r="ZS58" s="368"/>
      <c r="ZT58" s="368"/>
      <c r="ZU58" s="368"/>
      <c r="ZV58" s="368"/>
      <c r="ZW58" s="368"/>
      <c r="ZX58" s="368"/>
      <c r="ZY58" s="368"/>
      <c r="ZZ58" s="368"/>
      <c r="AAA58" s="368"/>
      <c r="AAB58" s="368"/>
      <c r="AAC58" s="368"/>
      <c r="AAD58" s="368"/>
      <c r="AAE58" s="368"/>
      <c r="AAF58" s="368"/>
      <c r="AAG58" s="368"/>
      <c r="AAH58" s="368"/>
      <c r="AAI58" s="368"/>
      <c r="AAJ58" s="368"/>
      <c r="AAK58" s="368"/>
      <c r="AAL58" s="368"/>
      <c r="AAM58" s="368"/>
      <c r="AAN58" s="368"/>
      <c r="AAO58" s="368"/>
      <c r="AAP58" s="368"/>
      <c r="AAQ58" s="368"/>
      <c r="AAR58" s="368"/>
      <c r="AAS58" s="368"/>
      <c r="AAT58" s="368"/>
      <c r="AAU58" s="368"/>
      <c r="AAV58" s="368"/>
      <c r="AAW58" s="368"/>
      <c r="AAX58" s="368"/>
      <c r="AAY58" s="368"/>
      <c r="AAZ58" s="368"/>
      <c r="ABA58" s="368"/>
      <c r="ABB58" s="368"/>
      <c r="ABC58" s="368"/>
      <c r="ABD58" s="368"/>
      <c r="ABE58" s="368"/>
      <c r="ABF58" s="368"/>
      <c r="ABG58" s="368"/>
      <c r="ABH58" s="368"/>
      <c r="ABI58" s="368"/>
      <c r="ABJ58" s="368"/>
      <c r="ABK58" s="368"/>
      <c r="ABL58" s="368"/>
      <c r="ABM58" s="368"/>
      <c r="ABN58" s="368"/>
      <c r="ABO58" s="368"/>
      <c r="ABP58" s="368"/>
      <c r="ABQ58" s="368"/>
      <c r="ABR58" s="368"/>
      <c r="ABS58" s="368"/>
      <c r="ABT58" s="368"/>
      <c r="ABU58" s="368"/>
      <c r="ABV58" s="368"/>
      <c r="ABW58" s="368"/>
      <c r="ABX58" s="368"/>
      <c r="ABY58" s="368"/>
      <c r="ABZ58" s="368"/>
      <c r="ACA58" s="368"/>
      <c r="ACB58" s="368"/>
      <c r="ACC58" s="368"/>
      <c r="ACD58" s="368"/>
      <c r="ACE58" s="368"/>
      <c r="ACF58" s="368"/>
      <c r="ACG58" s="368"/>
      <c r="ACH58" s="368"/>
      <c r="ACI58" s="368"/>
      <c r="ACJ58" s="368"/>
      <c r="ACK58" s="368"/>
      <c r="ACL58" s="368"/>
      <c r="ACM58" s="368"/>
      <c r="ACN58" s="368"/>
      <c r="ACO58" s="368"/>
      <c r="ACP58" s="368"/>
      <c r="ACQ58" s="368"/>
      <c r="ACR58" s="368"/>
      <c r="ACS58" s="368"/>
      <c r="ACT58" s="368"/>
      <c r="ACU58" s="368"/>
      <c r="ACV58" s="368"/>
      <c r="ACW58" s="368"/>
      <c r="ACX58" s="368"/>
      <c r="ACY58" s="368"/>
      <c r="ACZ58" s="368"/>
      <c r="ADA58" s="368"/>
      <c r="ADB58" s="368"/>
      <c r="ADC58" s="368"/>
      <c r="ADD58" s="368"/>
      <c r="ADE58" s="368"/>
      <c r="ADF58" s="368"/>
      <c r="ADG58" s="368"/>
      <c r="ADH58" s="368"/>
      <c r="ADI58" s="368"/>
      <c r="ADJ58" s="368"/>
      <c r="ADK58" s="368"/>
      <c r="ADL58" s="368"/>
      <c r="ADM58" s="368"/>
      <c r="ADN58" s="368"/>
      <c r="ADO58" s="368"/>
      <c r="ADP58" s="368"/>
      <c r="ADQ58" s="368"/>
      <c r="ADR58" s="368"/>
      <c r="ADS58" s="368"/>
      <c r="ADT58" s="368"/>
      <c r="ADU58" s="368"/>
      <c r="ADV58" s="368"/>
      <c r="ADW58" s="368"/>
      <c r="ADX58" s="368"/>
      <c r="ADY58" s="368"/>
      <c r="ADZ58" s="368"/>
      <c r="AEA58" s="368"/>
      <c r="AEB58" s="368"/>
      <c r="AEC58" s="368"/>
      <c r="AED58" s="368"/>
      <c r="AEE58" s="368"/>
      <c r="AEF58" s="368"/>
      <c r="AEG58" s="368"/>
      <c r="AEH58" s="368"/>
      <c r="AEI58" s="368"/>
      <c r="AEJ58" s="368"/>
      <c r="AEK58" s="368"/>
      <c r="AEL58" s="368"/>
      <c r="AEM58" s="368"/>
      <c r="AEN58" s="368"/>
      <c r="AEO58" s="368"/>
      <c r="AEP58" s="368"/>
      <c r="AEQ58" s="368"/>
      <c r="AER58" s="368"/>
      <c r="AES58" s="368"/>
      <c r="AET58" s="368"/>
      <c r="AEU58" s="368"/>
      <c r="AEV58" s="368"/>
      <c r="AEW58" s="368"/>
      <c r="AEX58" s="368"/>
      <c r="AEY58" s="368"/>
      <c r="AEZ58" s="368"/>
      <c r="AFA58" s="368"/>
      <c r="AFB58" s="368"/>
      <c r="AFC58" s="368"/>
      <c r="AFD58" s="368"/>
      <c r="AFE58" s="368"/>
      <c r="AFF58" s="368"/>
      <c r="AFG58" s="368"/>
      <c r="AFH58" s="368"/>
      <c r="AFI58" s="368"/>
      <c r="AFJ58" s="368"/>
      <c r="AFK58" s="368"/>
      <c r="AFL58" s="368"/>
      <c r="AFM58" s="368"/>
      <c r="AFN58" s="368"/>
      <c r="AFO58" s="368"/>
      <c r="AFP58" s="368"/>
      <c r="AFQ58" s="368"/>
      <c r="AFR58" s="368"/>
      <c r="AFS58" s="368"/>
      <c r="AFT58" s="368"/>
      <c r="AFU58" s="368"/>
      <c r="AFV58" s="368"/>
      <c r="AFW58" s="368"/>
      <c r="AFX58" s="368"/>
      <c r="AFY58" s="368"/>
      <c r="AFZ58" s="368"/>
      <c r="AGA58" s="368"/>
      <c r="AGB58" s="368"/>
      <c r="AGC58" s="368"/>
      <c r="AGD58" s="368"/>
      <c r="AGE58" s="368"/>
      <c r="AGF58" s="368"/>
      <c r="AGG58" s="368"/>
      <c r="AGH58" s="368"/>
      <c r="AGI58" s="368"/>
      <c r="AGJ58" s="368"/>
      <c r="AGK58" s="368"/>
      <c r="AGL58" s="368"/>
      <c r="AGM58" s="368"/>
      <c r="AGN58" s="368"/>
      <c r="AGO58" s="368"/>
      <c r="AGP58" s="368"/>
      <c r="AGQ58" s="368"/>
      <c r="AGR58" s="368"/>
      <c r="AGS58" s="368"/>
      <c r="AGT58" s="368"/>
      <c r="AGU58" s="368"/>
      <c r="AGV58" s="368"/>
      <c r="AGW58" s="368"/>
      <c r="AGX58" s="368"/>
      <c r="AGY58" s="368"/>
      <c r="AGZ58" s="368"/>
      <c r="AHA58" s="368"/>
      <c r="AHB58" s="368"/>
      <c r="AHC58" s="368"/>
      <c r="AHD58" s="368"/>
      <c r="AHE58" s="368"/>
      <c r="AHF58" s="368"/>
      <c r="AHG58" s="368"/>
      <c r="AHH58" s="368"/>
      <c r="AHI58" s="368"/>
      <c r="AHJ58" s="368"/>
      <c r="AHK58" s="368"/>
      <c r="AHL58" s="368"/>
      <c r="AHM58" s="368"/>
      <c r="AHN58" s="368"/>
      <c r="AHO58" s="368"/>
      <c r="AHP58" s="368"/>
      <c r="AHQ58" s="368"/>
      <c r="AHR58" s="368"/>
      <c r="AHS58" s="368"/>
      <c r="AHT58" s="368"/>
      <c r="AHU58" s="368"/>
      <c r="AHV58" s="368"/>
      <c r="AHW58" s="368"/>
      <c r="AHX58" s="368"/>
      <c r="AHY58" s="368"/>
      <c r="AHZ58" s="368"/>
      <c r="AIA58" s="368"/>
      <c r="AIB58" s="368"/>
      <c r="AIC58" s="368"/>
      <c r="AID58" s="368"/>
      <c r="AIE58" s="368"/>
      <c r="AIF58" s="368"/>
      <c r="AIG58" s="368"/>
      <c r="AIH58" s="368"/>
      <c r="AII58" s="368"/>
      <c r="AIJ58" s="368"/>
      <c r="AIK58" s="368"/>
      <c r="AIL58" s="368"/>
      <c r="AIM58" s="368"/>
      <c r="AIN58" s="368"/>
      <c r="AIO58" s="368"/>
      <c r="AIP58" s="368"/>
      <c r="AIQ58" s="368"/>
      <c r="AIR58" s="368"/>
      <c r="AIS58" s="368"/>
      <c r="AIT58" s="368"/>
      <c r="AIU58" s="368"/>
      <c r="AIV58" s="368"/>
      <c r="AIW58" s="368"/>
      <c r="AIX58" s="368"/>
      <c r="AIY58" s="368"/>
      <c r="AIZ58" s="368"/>
      <c r="AJA58" s="368"/>
      <c r="AJB58" s="368"/>
      <c r="AJC58" s="368"/>
      <c r="AJD58" s="368"/>
      <c r="AJE58" s="368"/>
      <c r="AJF58" s="368"/>
      <c r="AJG58" s="368"/>
      <c r="AJH58" s="368"/>
      <c r="AJI58" s="368"/>
      <c r="AJJ58" s="368"/>
      <c r="AJK58" s="368"/>
      <c r="AJL58" s="368"/>
      <c r="AJM58" s="368"/>
      <c r="AJN58" s="368"/>
      <c r="AJO58" s="368"/>
      <c r="AJP58" s="368"/>
      <c r="AJQ58" s="368"/>
      <c r="AJR58" s="368"/>
      <c r="AJS58" s="368"/>
      <c r="AJT58" s="368"/>
      <c r="AJU58" s="368"/>
      <c r="AJV58" s="368"/>
      <c r="AJW58" s="368"/>
      <c r="AJX58" s="368"/>
      <c r="AJY58" s="368"/>
      <c r="AJZ58" s="368"/>
      <c r="AKA58" s="368"/>
      <c r="AKB58" s="368"/>
      <c r="AKC58" s="368"/>
      <c r="AKD58" s="368"/>
      <c r="AKE58" s="368"/>
      <c r="AKF58" s="368"/>
      <c r="AKG58" s="368"/>
      <c r="AKH58" s="368"/>
      <c r="AKI58" s="368"/>
      <c r="AKJ58" s="368"/>
      <c r="AKK58" s="368"/>
      <c r="AKL58" s="368"/>
      <c r="AKM58" s="368"/>
      <c r="AKN58" s="368"/>
      <c r="AKO58" s="368"/>
      <c r="AKP58" s="368"/>
      <c r="AKQ58" s="368"/>
      <c r="AKR58" s="368"/>
      <c r="AKS58" s="368"/>
      <c r="AKT58" s="368"/>
      <c r="AKU58" s="368"/>
      <c r="AKV58" s="368"/>
      <c r="AKW58" s="368"/>
      <c r="AKX58" s="368"/>
      <c r="AKY58" s="368"/>
      <c r="AKZ58" s="368"/>
      <c r="ALA58" s="368"/>
      <c r="ALB58" s="368"/>
      <c r="ALC58" s="368"/>
      <c r="ALD58" s="368"/>
      <c r="ALE58" s="368"/>
      <c r="ALF58" s="368"/>
      <c r="ALG58" s="368"/>
      <c r="ALH58" s="368"/>
      <c r="ALI58" s="368"/>
      <c r="ALJ58" s="368"/>
      <c r="ALK58" s="368"/>
      <c r="ALL58" s="368"/>
      <c r="ALM58" s="368"/>
      <c r="ALN58" s="368"/>
      <c r="ALO58" s="368"/>
      <c r="ALP58" s="368"/>
      <c r="ALQ58" s="368"/>
      <c r="ALR58" s="368"/>
      <c r="ALS58" s="368"/>
      <c r="ALT58" s="368"/>
      <c r="ALU58" s="368"/>
      <c r="ALV58" s="368"/>
      <c r="ALW58" s="368"/>
      <c r="ALX58" s="368"/>
      <c r="ALY58" s="368"/>
      <c r="ALZ58" s="368"/>
      <c r="AMA58" s="368"/>
      <c r="AMB58" s="368"/>
      <c r="AMC58" s="368"/>
      <c r="AMD58" s="368"/>
      <c r="AME58" s="368"/>
      <c r="AMF58" s="368"/>
      <c r="AMG58" s="368"/>
      <c r="AMH58" s="368"/>
      <c r="AMI58" s="368"/>
      <c r="AMJ58" s="368"/>
    </row>
    <row r="59" spans="1:1024" ht="15">
      <c r="A59" s="368"/>
      <c r="B59" s="382"/>
      <c r="C59" s="768" t="s">
        <v>3479</v>
      </c>
      <c r="D59" s="769"/>
      <c r="E59" s="344">
        <f>SUM(E60:E66)</f>
        <v>58709144</v>
      </c>
      <c r="F59" s="344">
        <f>SUM(F60:F66)</f>
        <v>38943164</v>
      </c>
      <c r="G59" s="344">
        <f>SUM(G60:G66)</f>
        <v>-146544823</v>
      </c>
      <c r="H59" s="345">
        <f>SUM(H60:H66)</f>
        <v>0</v>
      </c>
      <c r="I59" s="368"/>
      <c r="J59" s="368"/>
      <c r="K59" s="368"/>
      <c r="L59" s="368"/>
      <c r="M59" s="368"/>
      <c r="N59" s="368"/>
      <c r="O59" s="368"/>
      <c r="P59" s="368"/>
      <c r="Q59" s="368"/>
      <c r="R59" s="368"/>
      <c r="S59" s="368"/>
      <c r="T59" s="368"/>
      <c r="U59" s="368"/>
      <c r="V59" s="368"/>
      <c r="W59" s="368"/>
      <c r="X59" s="368"/>
      <c r="Y59" s="368"/>
      <c r="Z59" s="368"/>
      <c r="AA59" s="368"/>
      <c r="AB59" s="368"/>
      <c r="AC59" s="368"/>
      <c r="AD59" s="368"/>
      <c r="AE59" s="368"/>
      <c r="AF59" s="368"/>
      <c r="AG59" s="368"/>
      <c r="AH59" s="368"/>
      <c r="AI59" s="368"/>
      <c r="AJ59" s="368"/>
      <c r="AK59" s="368"/>
      <c r="AL59" s="368"/>
      <c r="AM59" s="368"/>
      <c r="AN59" s="368"/>
      <c r="AO59" s="368"/>
      <c r="AP59" s="368"/>
      <c r="AQ59" s="368"/>
      <c r="AR59" s="368"/>
      <c r="AS59" s="368"/>
      <c r="AT59" s="368"/>
      <c r="AU59" s="368"/>
      <c r="AV59" s="368"/>
      <c r="AW59" s="368"/>
      <c r="AX59" s="368"/>
      <c r="AY59" s="368"/>
      <c r="AZ59" s="368"/>
      <c r="BA59" s="368"/>
      <c r="BB59" s="368"/>
      <c r="BC59" s="368"/>
      <c r="BD59" s="368"/>
      <c r="BE59" s="368"/>
      <c r="BF59" s="368"/>
      <c r="BG59" s="368"/>
      <c r="BH59" s="368"/>
      <c r="BI59" s="368"/>
      <c r="BJ59" s="368"/>
      <c r="BK59" s="368"/>
      <c r="BL59" s="368"/>
      <c r="BM59" s="368"/>
      <c r="BN59" s="368"/>
      <c r="BO59" s="368"/>
      <c r="BP59" s="368"/>
      <c r="BQ59" s="368"/>
      <c r="BR59" s="368"/>
      <c r="BS59" s="368"/>
      <c r="BT59" s="368"/>
      <c r="BU59" s="368"/>
      <c r="BV59" s="368"/>
      <c r="BW59" s="368"/>
      <c r="BX59" s="368"/>
      <c r="BY59" s="368"/>
      <c r="BZ59" s="368"/>
      <c r="CA59" s="368"/>
      <c r="CB59" s="368"/>
      <c r="CC59" s="368"/>
      <c r="CD59" s="368"/>
      <c r="CE59" s="368"/>
      <c r="CF59" s="368"/>
      <c r="CG59" s="368"/>
      <c r="CH59" s="368"/>
      <c r="CI59" s="368"/>
      <c r="CJ59" s="368"/>
      <c r="CK59" s="368"/>
      <c r="CL59" s="368"/>
      <c r="CM59" s="368"/>
      <c r="CN59" s="368"/>
      <c r="CO59" s="368"/>
      <c r="CP59" s="368"/>
      <c r="CQ59" s="368"/>
      <c r="CR59" s="368"/>
      <c r="CS59" s="368"/>
      <c r="CT59" s="368"/>
      <c r="CU59" s="368"/>
      <c r="CV59" s="368"/>
      <c r="CW59" s="368"/>
      <c r="CX59" s="368"/>
      <c r="CY59" s="368"/>
      <c r="CZ59" s="368"/>
      <c r="DA59" s="368"/>
      <c r="DB59" s="368"/>
      <c r="DC59" s="368"/>
      <c r="DD59" s="368"/>
      <c r="DE59" s="368"/>
      <c r="DF59" s="368"/>
      <c r="DG59" s="368"/>
      <c r="DH59" s="368"/>
      <c r="DI59" s="368"/>
      <c r="DJ59" s="368"/>
      <c r="DK59" s="368"/>
      <c r="DL59" s="368"/>
      <c r="DM59" s="368"/>
      <c r="DN59" s="368"/>
      <c r="DO59" s="368"/>
      <c r="DP59" s="368"/>
      <c r="DQ59" s="368"/>
      <c r="DR59" s="368"/>
      <c r="DS59" s="368"/>
      <c r="DT59" s="368"/>
      <c r="DU59" s="368"/>
      <c r="DV59" s="368"/>
      <c r="DW59" s="368"/>
      <c r="DX59" s="368"/>
      <c r="DY59" s="368"/>
      <c r="DZ59" s="368"/>
      <c r="EA59" s="368"/>
      <c r="EB59" s="368"/>
      <c r="EC59" s="368"/>
      <c r="ED59" s="368"/>
      <c r="EE59" s="368"/>
      <c r="EF59" s="368"/>
      <c r="EG59" s="368"/>
      <c r="EH59" s="368"/>
      <c r="EI59" s="368"/>
      <c r="EJ59" s="368"/>
      <c r="EK59" s="368"/>
      <c r="EL59" s="368"/>
      <c r="EM59" s="368"/>
      <c r="EN59" s="368"/>
      <c r="EO59" s="368"/>
      <c r="EP59" s="368"/>
      <c r="EQ59" s="368"/>
      <c r="ER59" s="368"/>
      <c r="ES59" s="368"/>
      <c r="ET59" s="368"/>
      <c r="EU59" s="368"/>
      <c r="EV59" s="368"/>
      <c r="EW59" s="368"/>
      <c r="EX59" s="368"/>
      <c r="EY59" s="368"/>
      <c r="EZ59" s="368"/>
      <c r="FA59" s="368"/>
      <c r="FB59" s="368"/>
      <c r="FC59" s="368"/>
      <c r="FD59" s="368"/>
      <c r="FE59" s="368"/>
      <c r="FF59" s="368"/>
      <c r="FG59" s="368"/>
      <c r="FH59" s="368"/>
      <c r="FI59" s="368"/>
      <c r="FJ59" s="368"/>
      <c r="FK59" s="368"/>
      <c r="FL59" s="368"/>
      <c r="FM59" s="368"/>
      <c r="FN59" s="368"/>
      <c r="FO59" s="368"/>
      <c r="FP59" s="368"/>
      <c r="FQ59" s="368"/>
      <c r="FR59" s="368"/>
      <c r="FS59" s="368"/>
      <c r="FT59" s="368"/>
      <c r="FU59" s="368"/>
      <c r="FV59" s="368"/>
      <c r="FW59" s="368"/>
      <c r="FX59" s="368"/>
      <c r="FY59" s="368"/>
      <c r="FZ59" s="368"/>
      <c r="GA59" s="368"/>
      <c r="GB59" s="368"/>
      <c r="GC59" s="368"/>
      <c r="GD59" s="368"/>
      <c r="GE59" s="368"/>
      <c r="GF59" s="368"/>
      <c r="GG59" s="368"/>
      <c r="GH59" s="368"/>
      <c r="GI59" s="368"/>
      <c r="GJ59" s="368"/>
      <c r="GK59" s="368"/>
      <c r="GL59" s="368"/>
      <c r="GM59" s="368"/>
      <c r="GN59" s="368"/>
      <c r="GO59" s="368"/>
      <c r="GP59" s="368"/>
      <c r="GQ59" s="368"/>
      <c r="GR59" s="368"/>
      <c r="GS59" s="368"/>
      <c r="GT59" s="368"/>
      <c r="GU59" s="368"/>
      <c r="GV59" s="368"/>
      <c r="GW59" s="368"/>
      <c r="GX59" s="368"/>
      <c r="GY59" s="368"/>
      <c r="GZ59" s="368"/>
      <c r="HA59" s="368"/>
      <c r="HB59" s="368"/>
      <c r="HC59" s="368"/>
      <c r="HD59" s="368"/>
      <c r="HE59" s="368"/>
      <c r="HF59" s="368"/>
      <c r="HG59" s="368"/>
      <c r="HH59" s="368"/>
      <c r="HI59" s="368"/>
      <c r="HJ59" s="368"/>
      <c r="HK59" s="368"/>
      <c r="HL59" s="368"/>
      <c r="HM59" s="368"/>
      <c r="HN59" s="368"/>
      <c r="HO59" s="368"/>
      <c r="HP59" s="368"/>
      <c r="HQ59" s="368"/>
      <c r="HR59" s="368"/>
      <c r="HS59" s="368"/>
      <c r="HT59" s="368"/>
      <c r="HU59" s="368"/>
      <c r="HV59" s="368"/>
      <c r="HW59" s="368"/>
      <c r="HX59" s="368"/>
      <c r="HY59" s="368"/>
      <c r="HZ59" s="368"/>
      <c r="IA59" s="368"/>
      <c r="IB59" s="368"/>
      <c r="IC59" s="368"/>
      <c r="ID59" s="368"/>
      <c r="IE59" s="368"/>
      <c r="IF59" s="368"/>
      <c r="IG59" s="368"/>
      <c r="IH59" s="368"/>
      <c r="II59" s="368"/>
      <c r="IJ59" s="368"/>
      <c r="IK59" s="368"/>
      <c r="IL59" s="368"/>
      <c r="IM59" s="368"/>
      <c r="IN59" s="368"/>
      <c r="IO59" s="368"/>
      <c r="IP59" s="368"/>
      <c r="IQ59" s="368"/>
      <c r="IR59" s="368"/>
      <c r="IS59" s="368"/>
      <c r="IT59" s="368"/>
      <c r="IU59" s="368"/>
      <c r="IV59" s="368"/>
      <c r="IW59" s="368"/>
      <c r="IX59" s="368"/>
      <c r="IY59" s="368"/>
      <c r="IZ59" s="368"/>
      <c r="JA59" s="368"/>
      <c r="JB59" s="368"/>
      <c r="JC59" s="368"/>
      <c r="JD59" s="368"/>
      <c r="JE59" s="368"/>
      <c r="JF59" s="368"/>
      <c r="JG59" s="368"/>
      <c r="JH59" s="368"/>
      <c r="JI59" s="368"/>
      <c r="JJ59" s="368"/>
      <c r="JK59" s="368"/>
      <c r="JL59" s="368"/>
      <c r="JM59" s="368"/>
      <c r="JN59" s="368"/>
      <c r="JO59" s="368"/>
      <c r="JP59" s="368"/>
      <c r="JQ59" s="368"/>
      <c r="JR59" s="368"/>
      <c r="JS59" s="368"/>
      <c r="JT59" s="368"/>
      <c r="JU59" s="368"/>
      <c r="JV59" s="368"/>
      <c r="JW59" s="368"/>
      <c r="JX59" s="368"/>
      <c r="JY59" s="368"/>
      <c r="JZ59" s="368"/>
      <c r="KA59" s="368"/>
      <c r="KB59" s="368"/>
      <c r="KC59" s="368"/>
      <c r="KD59" s="368"/>
      <c r="KE59" s="368"/>
      <c r="KF59" s="368"/>
      <c r="KG59" s="368"/>
      <c r="KH59" s="368"/>
      <c r="KI59" s="368"/>
      <c r="KJ59" s="368"/>
      <c r="KK59" s="368"/>
      <c r="KL59" s="368"/>
      <c r="KM59" s="368"/>
      <c r="KN59" s="368"/>
      <c r="KO59" s="368"/>
      <c r="KP59" s="368"/>
      <c r="KQ59" s="368"/>
      <c r="KR59" s="368"/>
      <c r="KS59" s="368"/>
      <c r="KT59" s="368"/>
      <c r="KU59" s="368"/>
      <c r="KV59" s="368"/>
      <c r="KW59" s="368"/>
      <c r="KX59" s="368"/>
      <c r="KY59" s="368"/>
      <c r="KZ59" s="368"/>
      <c r="LA59" s="368"/>
      <c r="LB59" s="368"/>
      <c r="LC59" s="368"/>
      <c r="LD59" s="368"/>
      <c r="LE59" s="368"/>
      <c r="LF59" s="368"/>
      <c r="LG59" s="368"/>
      <c r="LH59" s="368"/>
      <c r="LI59" s="368"/>
      <c r="LJ59" s="368"/>
      <c r="LK59" s="368"/>
      <c r="LL59" s="368"/>
      <c r="LM59" s="368"/>
      <c r="LN59" s="368"/>
      <c r="LO59" s="368"/>
      <c r="LP59" s="368"/>
      <c r="LQ59" s="368"/>
      <c r="LR59" s="368"/>
      <c r="LS59" s="368"/>
      <c r="LT59" s="368"/>
      <c r="LU59" s="368"/>
      <c r="LV59" s="368"/>
      <c r="LW59" s="368"/>
      <c r="LX59" s="368"/>
      <c r="LY59" s="368"/>
      <c r="LZ59" s="368"/>
      <c r="MA59" s="368"/>
      <c r="MB59" s="368"/>
      <c r="MC59" s="368"/>
      <c r="MD59" s="368"/>
      <c r="ME59" s="368"/>
      <c r="MF59" s="368"/>
      <c r="MG59" s="368"/>
      <c r="MH59" s="368"/>
      <c r="MI59" s="368"/>
      <c r="MJ59" s="368"/>
      <c r="MK59" s="368"/>
      <c r="ML59" s="368"/>
      <c r="MM59" s="368"/>
      <c r="MN59" s="368"/>
      <c r="MO59" s="368"/>
      <c r="MP59" s="368"/>
      <c r="MQ59" s="368"/>
      <c r="MR59" s="368"/>
      <c r="MS59" s="368"/>
      <c r="MT59" s="368"/>
      <c r="MU59" s="368"/>
      <c r="MV59" s="368"/>
      <c r="MW59" s="368"/>
      <c r="MX59" s="368"/>
      <c r="MY59" s="368"/>
      <c r="MZ59" s="368"/>
      <c r="NA59" s="368"/>
      <c r="NB59" s="368"/>
      <c r="NC59" s="368"/>
      <c r="ND59" s="368"/>
      <c r="NE59" s="368"/>
      <c r="NF59" s="368"/>
      <c r="NG59" s="368"/>
      <c r="NH59" s="368"/>
      <c r="NI59" s="368"/>
      <c r="NJ59" s="368"/>
      <c r="NK59" s="368"/>
      <c r="NL59" s="368"/>
      <c r="NM59" s="368"/>
      <c r="NN59" s="368"/>
      <c r="NO59" s="368"/>
      <c r="NP59" s="368"/>
      <c r="NQ59" s="368"/>
      <c r="NR59" s="368"/>
      <c r="NS59" s="368"/>
      <c r="NT59" s="368"/>
      <c r="NU59" s="368"/>
      <c r="NV59" s="368"/>
      <c r="NW59" s="368"/>
      <c r="NX59" s="368"/>
      <c r="NY59" s="368"/>
      <c r="NZ59" s="368"/>
      <c r="OA59" s="368"/>
      <c r="OB59" s="368"/>
      <c r="OC59" s="368"/>
      <c r="OD59" s="368"/>
      <c r="OE59" s="368"/>
      <c r="OF59" s="368"/>
      <c r="OG59" s="368"/>
      <c r="OH59" s="368"/>
      <c r="OI59" s="368"/>
      <c r="OJ59" s="368"/>
      <c r="OK59" s="368"/>
      <c r="OL59" s="368"/>
      <c r="OM59" s="368"/>
      <c r="ON59" s="368"/>
      <c r="OO59" s="368"/>
      <c r="OP59" s="368"/>
      <c r="OQ59" s="368"/>
      <c r="OR59" s="368"/>
      <c r="OS59" s="368"/>
      <c r="OT59" s="368"/>
      <c r="OU59" s="368"/>
      <c r="OV59" s="368"/>
      <c r="OW59" s="368"/>
      <c r="OX59" s="368"/>
      <c r="OY59" s="368"/>
      <c r="OZ59" s="368"/>
      <c r="PA59" s="368"/>
      <c r="PB59" s="368"/>
      <c r="PC59" s="368"/>
      <c r="PD59" s="368"/>
      <c r="PE59" s="368"/>
      <c r="PF59" s="368"/>
      <c r="PG59" s="368"/>
      <c r="PH59" s="368"/>
      <c r="PI59" s="368"/>
      <c r="PJ59" s="368"/>
      <c r="PK59" s="368"/>
      <c r="PL59" s="368"/>
      <c r="PM59" s="368"/>
      <c r="PN59" s="368"/>
      <c r="PO59" s="368"/>
      <c r="PP59" s="368"/>
      <c r="PQ59" s="368"/>
      <c r="PR59" s="368"/>
      <c r="PS59" s="368"/>
      <c r="PT59" s="368"/>
      <c r="PU59" s="368"/>
      <c r="PV59" s="368"/>
      <c r="PW59" s="368"/>
      <c r="PX59" s="368"/>
      <c r="PY59" s="368"/>
      <c r="PZ59" s="368"/>
      <c r="QA59" s="368"/>
      <c r="QB59" s="368"/>
      <c r="QC59" s="368"/>
      <c r="QD59" s="368"/>
      <c r="QE59" s="368"/>
      <c r="QF59" s="368"/>
      <c r="QG59" s="368"/>
      <c r="QH59" s="368"/>
      <c r="QI59" s="368"/>
      <c r="QJ59" s="368"/>
      <c r="QK59" s="368"/>
      <c r="QL59" s="368"/>
      <c r="QM59" s="368"/>
      <c r="QN59" s="368"/>
      <c r="QO59" s="368"/>
      <c r="QP59" s="368"/>
      <c r="QQ59" s="368"/>
      <c r="QR59" s="368"/>
      <c r="QS59" s="368"/>
      <c r="QT59" s="368"/>
      <c r="QU59" s="368"/>
      <c r="QV59" s="368"/>
      <c r="QW59" s="368"/>
      <c r="QX59" s="368"/>
      <c r="QY59" s="368"/>
      <c r="QZ59" s="368"/>
      <c r="RA59" s="368"/>
      <c r="RB59" s="368"/>
      <c r="RC59" s="368"/>
      <c r="RD59" s="368"/>
      <c r="RE59" s="368"/>
      <c r="RF59" s="368"/>
      <c r="RG59" s="368"/>
      <c r="RH59" s="368"/>
      <c r="RI59" s="368"/>
      <c r="RJ59" s="368"/>
      <c r="RK59" s="368"/>
      <c r="RL59" s="368"/>
      <c r="RM59" s="368"/>
      <c r="RN59" s="368"/>
      <c r="RO59" s="368"/>
      <c r="RP59" s="368"/>
      <c r="RQ59" s="368"/>
      <c r="RR59" s="368"/>
      <c r="RS59" s="368"/>
      <c r="RT59" s="368"/>
      <c r="RU59" s="368"/>
      <c r="RV59" s="368"/>
      <c r="RW59" s="368"/>
      <c r="RX59" s="368"/>
      <c r="RY59" s="368"/>
      <c r="RZ59" s="368"/>
      <c r="SA59" s="368"/>
      <c r="SB59" s="368"/>
      <c r="SC59" s="368"/>
      <c r="SD59" s="368"/>
      <c r="SE59" s="368"/>
      <c r="SF59" s="368"/>
      <c r="SG59" s="368"/>
      <c r="SH59" s="368"/>
      <c r="SI59" s="368"/>
      <c r="SJ59" s="368"/>
      <c r="SK59" s="368"/>
      <c r="SL59" s="368"/>
      <c r="SM59" s="368"/>
      <c r="SN59" s="368"/>
      <c r="SO59" s="368"/>
      <c r="SP59" s="368"/>
      <c r="SQ59" s="368"/>
      <c r="SR59" s="368"/>
      <c r="SS59" s="368"/>
      <c r="ST59" s="368"/>
      <c r="SU59" s="368"/>
      <c r="SV59" s="368"/>
      <c r="SW59" s="368"/>
      <c r="SX59" s="368"/>
      <c r="SY59" s="368"/>
      <c r="SZ59" s="368"/>
      <c r="TA59" s="368"/>
      <c r="TB59" s="368"/>
      <c r="TC59" s="368"/>
      <c r="TD59" s="368"/>
      <c r="TE59" s="368"/>
      <c r="TF59" s="368"/>
      <c r="TG59" s="368"/>
      <c r="TH59" s="368"/>
      <c r="TI59" s="368"/>
      <c r="TJ59" s="368"/>
      <c r="TK59" s="368"/>
      <c r="TL59" s="368"/>
      <c r="TM59" s="368"/>
      <c r="TN59" s="368"/>
      <c r="TO59" s="368"/>
      <c r="TP59" s="368"/>
      <c r="TQ59" s="368"/>
      <c r="TR59" s="368"/>
      <c r="TS59" s="368"/>
      <c r="TT59" s="368"/>
      <c r="TU59" s="368"/>
      <c r="TV59" s="368"/>
      <c r="TW59" s="368"/>
      <c r="TX59" s="368"/>
      <c r="TY59" s="368"/>
      <c r="TZ59" s="368"/>
      <c r="UA59" s="368"/>
      <c r="UB59" s="368"/>
      <c r="UC59" s="368"/>
      <c r="UD59" s="368"/>
      <c r="UE59" s="368"/>
      <c r="UF59" s="368"/>
      <c r="UG59" s="368"/>
      <c r="UH59" s="368"/>
      <c r="UI59" s="368"/>
      <c r="UJ59" s="368"/>
      <c r="UK59" s="368"/>
      <c r="UL59" s="368"/>
      <c r="UM59" s="368"/>
      <c r="UN59" s="368"/>
      <c r="UO59" s="368"/>
      <c r="UP59" s="368"/>
      <c r="UQ59" s="368"/>
      <c r="UR59" s="368"/>
      <c r="US59" s="368"/>
      <c r="UT59" s="368"/>
      <c r="UU59" s="368"/>
      <c r="UV59" s="368"/>
      <c r="UW59" s="368"/>
      <c r="UX59" s="368"/>
      <c r="UY59" s="368"/>
      <c r="UZ59" s="368"/>
      <c r="VA59" s="368"/>
      <c r="VB59" s="368"/>
      <c r="VC59" s="368"/>
      <c r="VD59" s="368"/>
      <c r="VE59" s="368"/>
      <c r="VF59" s="368"/>
      <c r="VG59" s="368"/>
      <c r="VH59" s="368"/>
      <c r="VI59" s="368"/>
      <c r="VJ59" s="368"/>
      <c r="VK59" s="368"/>
      <c r="VL59" s="368"/>
      <c r="VM59" s="368"/>
      <c r="VN59" s="368"/>
      <c r="VO59" s="368"/>
      <c r="VP59" s="368"/>
      <c r="VQ59" s="368"/>
      <c r="VR59" s="368"/>
      <c r="VS59" s="368"/>
      <c r="VT59" s="368"/>
      <c r="VU59" s="368"/>
      <c r="VV59" s="368"/>
      <c r="VW59" s="368"/>
      <c r="VX59" s="368"/>
      <c r="VY59" s="368"/>
      <c r="VZ59" s="368"/>
      <c r="WA59" s="368"/>
      <c r="WB59" s="368"/>
      <c r="WC59" s="368"/>
      <c r="WD59" s="368"/>
      <c r="WE59" s="368"/>
      <c r="WF59" s="368"/>
      <c r="WG59" s="368"/>
      <c r="WH59" s="368"/>
      <c r="WI59" s="368"/>
      <c r="WJ59" s="368"/>
      <c r="WK59" s="368"/>
      <c r="WL59" s="368"/>
      <c r="WM59" s="368"/>
      <c r="WN59" s="368"/>
      <c r="WO59" s="368"/>
      <c r="WP59" s="368"/>
      <c r="WQ59" s="368"/>
      <c r="WR59" s="368"/>
      <c r="WS59" s="368"/>
      <c r="WT59" s="368"/>
      <c r="WU59" s="368"/>
      <c r="WV59" s="368"/>
      <c r="WW59" s="368"/>
      <c r="WX59" s="368"/>
      <c r="WY59" s="368"/>
      <c r="WZ59" s="368"/>
      <c r="XA59" s="368"/>
      <c r="XB59" s="368"/>
      <c r="XC59" s="368"/>
      <c r="XD59" s="368"/>
      <c r="XE59" s="368"/>
      <c r="XF59" s="368"/>
      <c r="XG59" s="368"/>
      <c r="XH59" s="368"/>
      <c r="XI59" s="368"/>
      <c r="XJ59" s="368"/>
      <c r="XK59" s="368"/>
      <c r="XL59" s="368"/>
      <c r="XM59" s="368"/>
      <c r="XN59" s="368"/>
      <c r="XO59" s="368"/>
      <c r="XP59" s="368"/>
      <c r="XQ59" s="368"/>
      <c r="XR59" s="368"/>
      <c r="XS59" s="368"/>
      <c r="XT59" s="368"/>
      <c r="XU59" s="368"/>
      <c r="XV59" s="368"/>
      <c r="XW59" s="368"/>
      <c r="XX59" s="368"/>
      <c r="XY59" s="368"/>
      <c r="XZ59" s="368"/>
      <c r="YA59" s="368"/>
      <c r="YB59" s="368"/>
      <c r="YC59" s="368"/>
      <c r="YD59" s="368"/>
      <c r="YE59" s="368"/>
      <c r="YF59" s="368"/>
      <c r="YG59" s="368"/>
      <c r="YH59" s="368"/>
      <c r="YI59" s="368"/>
      <c r="YJ59" s="368"/>
      <c r="YK59" s="368"/>
      <c r="YL59" s="368"/>
      <c r="YM59" s="368"/>
      <c r="YN59" s="368"/>
      <c r="YO59" s="368"/>
      <c r="YP59" s="368"/>
      <c r="YQ59" s="368"/>
      <c r="YR59" s="368"/>
      <c r="YS59" s="368"/>
      <c r="YT59" s="368"/>
      <c r="YU59" s="368"/>
      <c r="YV59" s="368"/>
      <c r="YW59" s="368"/>
      <c r="YX59" s="368"/>
      <c r="YY59" s="368"/>
      <c r="YZ59" s="368"/>
      <c r="ZA59" s="368"/>
      <c r="ZB59" s="368"/>
      <c r="ZC59" s="368"/>
      <c r="ZD59" s="368"/>
      <c r="ZE59" s="368"/>
      <c r="ZF59" s="368"/>
      <c r="ZG59" s="368"/>
      <c r="ZH59" s="368"/>
      <c r="ZI59" s="368"/>
      <c r="ZJ59" s="368"/>
      <c r="ZK59" s="368"/>
      <c r="ZL59" s="368"/>
      <c r="ZM59" s="368"/>
      <c r="ZN59" s="368"/>
      <c r="ZO59" s="368"/>
      <c r="ZP59" s="368"/>
      <c r="ZQ59" s="368"/>
      <c r="ZR59" s="368"/>
      <c r="ZS59" s="368"/>
      <c r="ZT59" s="368"/>
      <c r="ZU59" s="368"/>
      <c r="ZV59" s="368"/>
      <c r="ZW59" s="368"/>
      <c r="ZX59" s="368"/>
      <c r="ZY59" s="368"/>
      <c r="ZZ59" s="368"/>
      <c r="AAA59" s="368"/>
      <c r="AAB59" s="368"/>
      <c r="AAC59" s="368"/>
      <c r="AAD59" s="368"/>
      <c r="AAE59" s="368"/>
      <c r="AAF59" s="368"/>
      <c r="AAG59" s="368"/>
      <c r="AAH59" s="368"/>
      <c r="AAI59" s="368"/>
      <c r="AAJ59" s="368"/>
      <c r="AAK59" s="368"/>
      <c r="AAL59" s="368"/>
      <c r="AAM59" s="368"/>
      <c r="AAN59" s="368"/>
      <c r="AAO59" s="368"/>
      <c r="AAP59" s="368"/>
      <c r="AAQ59" s="368"/>
      <c r="AAR59" s="368"/>
      <c r="AAS59" s="368"/>
      <c r="AAT59" s="368"/>
      <c r="AAU59" s="368"/>
      <c r="AAV59" s="368"/>
      <c r="AAW59" s="368"/>
      <c r="AAX59" s="368"/>
      <c r="AAY59" s="368"/>
      <c r="AAZ59" s="368"/>
      <c r="ABA59" s="368"/>
      <c r="ABB59" s="368"/>
      <c r="ABC59" s="368"/>
      <c r="ABD59" s="368"/>
      <c r="ABE59" s="368"/>
      <c r="ABF59" s="368"/>
      <c r="ABG59" s="368"/>
      <c r="ABH59" s="368"/>
      <c r="ABI59" s="368"/>
      <c r="ABJ59" s="368"/>
      <c r="ABK59" s="368"/>
      <c r="ABL59" s="368"/>
      <c r="ABM59" s="368"/>
      <c r="ABN59" s="368"/>
      <c r="ABO59" s="368"/>
      <c r="ABP59" s="368"/>
      <c r="ABQ59" s="368"/>
      <c r="ABR59" s="368"/>
      <c r="ABS59" s="368"/>
      <c r="ABT59" s="368"/>
      <c r="ABU59" s="368"/>
      <c r="ABV59" s="368"/>
      <c r="ABW59" s="368"/>
      <c r="ABX59" s="368"/>
      <c r="ABY59" s="368"/>
      <c r="ABZ59" s="368"/>
      <c r="ACA59" s="368"/>
      <c r="ACB59" s="368"/>
      <c r="ACC59" s="368"/>
      <c r="ACD59" s="368"/>
      <c r="ACE59" s="368"/>
      <c r="ACF59" s="368"/>
      <c r="ACG59" s="368"/>
      <c r="ACH59" s="368"/>
      <c r="ACI59" s="368"/>
      <c r="ACJ59" s="368"/>
      <c r="ACK59" s="368"/>
      <c r="ACL59" s="368"/>
      <c r="ACM59" s="368"/>
      <c r="ACN59" s="368"/>
      <c r="ACO59" s="368"/>
      <c r="ACP59" s="368"/>
      <c r="ACQ59" s="368"/>
      <c r="ACR59" s="368"/>
      <c r="ACS59" s="368"/>
      <c r="ACT59" s="368"/>
      <c r="ACU59" s="368"/>
      <c r="ACV59" s="368"/>
      <c r="ACW59" s="368"/>
      <c r="ACX59" s="368"/>
      <c r="ACY59" s="368"/>
      <c r="ACZ59" s="368"/>
      <c r="ADA59" s="368"/>
      <c r="ADB59" s="368"/>
      <c r="ADC59" s="368"/>
      <c r="ADD59" s="368"/>
      <c r="ADE59" s="368"/>
      <c r="ADF59" s="368"/>
      <c r="ADG59" s="368"/>
      <c r="ADH59" s="368"/>
      <c r="ADI59" s="368"/>
      <c r="ADJ59" s="368"/>
      <c r="ADK59" s="368"/>
      <c r="ADL59" s="368"/>
      <c r="ADM59" s="368"/>
      <c r="ADN59" s="368"/>
      <c r="ADO59" s="368"/>
      <c r="ADP59" s="368"/>
      <c r="ADQ59" s="368"/>
      <c r="ADR59" s="368"/>
      <c r="ADS59" s="368"/>
      <c r="ADT59" s="368"/>
      <c r="ADU59" s="368"/>
      <c r="ADV59" s="368"/>
      <c r="ADW59" s="368"/>
      <c r="ADX59" s="368"/>
      <c r="ADY59" s="368"/>
      <c r="ADZ59" s="368"/>
      <c r="AEA59" s="368"/>
      <c r="AEB59" s="368"/>
      <c r="AEC59" s="368"/>
      <c r="AED59" s="368"/>
      <c r="AEE59" s="368"/>
      <c r="AEF59" s="368"/>
      <c r="AEG59" s="368"/>
      <c r="AEH59" s="368"/>
      <c r="AEI59" s="368"/>
      <c r="AEJ59" s="368"/>
      <c r="AEK59" s="368"/>
      <c r="AEL59" s="368"/>
      <c r="AEM59" s="368"/>
      <c r="AEN59" s="368"/>
      <c r="AEO59" s="368"/>
      <c r="AEP59" s="368"/>
      <c r="AEQ59" s="368"/>
      <c r="AER59" s="368"/>
      <c r="AES59" s="368"/>
      <c r="AET59" s="368"/>
      <c r="AEU59" s="368"/>
      <c r="AEV59" s="368"/>
      <c r="AEW59" s="368"/>
      <c r="AEX59" s="368"/>
      <c r="AEY59" s="368"/>
      <c r="AEZ59" s="368"/>
      <c r="AFA59" s="368"/>
      <c r="AFB59" s="368"/>
      <c r="AFC59" s="368"/>
      <c r="AFD59" s="368"/>
      <c r="AFE59" s="368"/>
      <c r="AFF59" s="368"/>
      <c r="AFG59" s="368"/>
      <c r="AFH59" s="368"/>
      <c r="AFI59" s="368"/>
      <c r="AFJ59" s="368"/>
      <c r="AFK59" s="368"/>
      <c r="AFL59" s="368"/>
      <c r="AFM59" s="368"/>
      <c r="AFN59" s="368"/>
      <c r="AFO59" s="368"/>
      <c r="AFP59" s="368"/>
      <c r="AFQ59" s="368"/>
      <c r="AFR59" s="368"/>
      <c r="AFS59" s="368"/>
      <c r="AFT59" s="368"/>
      <c r="AFU59" s="368"/>
      <c r="AFV59" s="368"/>
      <c r="AFW59" s="368"/>
      <c r="AFX59" s="368"/>
      <c r="AFY59" s="368"/>
      <c r="AFZ59" s="368"/>
      <c r="AGA59" s="368"/>
      <c r="AGB59" s="368"/>
      <c r="AGC59" s="368"/>
      <c r="AGD59" s="368"/>
      <c r="AGE59" s="368"/>
      <c r="AGF59" s="368"/>
      <c r="AGG59" s="368"/>
      <c r="AGH59" s="368"/>
      <c r="AGI59" s="368"/>
      <c r="AGJ59" s="368"/>
      <c r="AGK59" s="368"/>
      <c r="AGL59" s="368"/>
      <c r="AGM59" s="368"/>
      <c r="AGN59" s="368"/>
      <c r="AGO59" s="368"/>
      <c r="AGP59" s="368"/>
      <c r="AGQ59" s="368"/>
      <c r="AGR59" s="368"/>
      <c r="AGS59" s="368"/>
      <c r="AGT59" s="368"/>
      <c r="AGU59" s="368"/>
      <c r="AGV59" s="368"/>
      <c r="AGW59" s="368"/>
      <c r="AGX59" s="368"/>
      <c r="AGY59" s="368"/>
      <c r="AGZ59" s="368"/>
      <c r="AHA59" s="368"/>
      <c r="AHB59" s="368"/>
      <c r="AHC59" s="368"/>
      <c r="AHD59" s="368"/>
      <c r="AHE59" s="368"/>
      <c r="AHF59" s="368"/>
      <c r="AHG59" s="368"/>
      <c r="AHH59" s="368"/>
      <c r="AHI59" s="368"/>
      <c r="AHJ59" s="368"/>
      <c r="AHK59" s="368"/>
      <c r="AHL59" s="368"/>
      <c r="AHM59" s="368"/>
      <c r="AHN59" s="368"/>
      <c r="AHO59" s="368"/>
      <c r="AHP59" s="368"/>
      <c r="AHQ59" s="368"/>
      <c r="AHR59" s="368"/>
      <c r="AHS59" s="368"/>
      <c r="AHT59" s="368"/>
      <c r="AHU59" s="368"/>
      <c r="AHV59" s="368"/>
      <c r="AHW59" s="368"/>
      <c r="AHX59" s="368"/>
      <c r="AHY59" s="368"/>
      <c r="AHZ59" s="368"/>
      <c r="AIA59" s="368"/>
      <c r="AIB59" s="368"/>
      <c r="AIC59" s="368"/>
      <c r="AID59" s="368"/>
      <c r="AIE59" s="368"/>
      <c r="AIF59" s="368"/>
      <c r="AIG59" s="368"/>
      <c r="AIH59" s="368"/>
      <c r="AII59" s="368"/>
      <c r="AIJ59" s="368"/>
      <c r="AIK59" s="368"/>
      <c r="AIL59" s="368"/>
      <c r="AIM59" s="368"/>
      <c r="AIN59" s="368"/>
      <c r="AIO59" s="368"/>
      <c r="AIP59" s="368"/>
      <c r="AIQ59" s="368"/>
      <c r="AIR59" s="368"/>
      <c r="AIS59" s="368"/>
      <c r="AIT59" s="368"/>
      <c r="AIU59" s="368"/>
      <c r="AIV59" s="368"/>
      <c r="AIW59" s="368"/>
      <c r="AIX59" s="368"/>
      <c r="AIY59" s="368"/>
      <c r="AIZ59" s="368"/>
      <c r="AJA59" s="368"/>
      <c r="AJB59" s="368"/>
      <c r="AJC59" s="368"/>
      <c r="AJD59" s="368"/>
      <c r="AJE59" s="368"/>
      <c r="AJF59" s="368"/>
      <c r="AJG59" s="368"/>
      <c r="AJH59" s="368"/>
      <c r="AJI59" s="368"/>
      <c r="AJJ59" s="368"/>
      <c r="AJK59" s="368"/>
      <c r="AJL59" s="368"/>
      <c r="AJM59" s="368"/>
      <c r="AJN59" s="368"/>
      <c r="AJO59" s="368"/>
      <c r="AJP59" s="368"/>
      <c r="AJQ59" s="368"/>
      <c r="AJR59" s="368"/>
      <c r="AJS59" s="368"/>
      <c r="AJT59" s="368"/>
      <c r="AJU59" s="368"/>
      <c r="AJV59" s="368"/>
      <c r="AJW59" s="368"/>
      <c r="AJX59" s="368"/>
      <c r="AJY59" s="368"/>
      <c r="AJZ59" s="368"/>
      <c r="AKA59" s="368"/>
      <c r="AKB59" s="368"/>
      <c r="AKC59" s="368"/>
      <c r="AKD59" s="368"/>
      <c r="AKE59" s="368"/>
      <c r="AKF59" s="368"/>
      <c r="AKG59" s="368"/>
      <c r="AKH59" s="368"/>
      <c r="AKI59" s="368"/>
      <c r="AKJ59" s="368"/>
      <c r="AKK59" s="368"/>
      <c r="AKL59" s="368"/>
      <c r="AKM59" s="368"/>
      <c r="AKN59" s="368"/>
      <c r="AKO59" s="368"/>
      <c r="AKP59" s="368"/>
      <c r="AKQ59" s="368"/>
      <c r="AKR59" s="368"/>
      <c r="AKS59" s="368"/>
      <c r="AKT59" s="368"/>
      <c r="AKU59" s="368"/>
      <c r="AKV59" s="368"/>
      <c r="AKW59" s="368"/>
      <c r="AKX59" s="368"/>
      <c r="AKY59" s="368"/>
      <c r="AKZ59" s="368"/>
      <c r="ALA59" s="368"/>
      <c r="ALB59" s="368"/>
      <c r="ALC59" s="368"/>
      <c r="ALD59" s="368"/>
      <c r="ALE59" s="368"/>
      <c r="ALF59" s="368"/>
      <c r="ALG59" s="368"/>
      <c r="ALH59" s="368"/>
      <c r="ALI59" s="368"/>
      <c r="ALJ59" s="368"/>
      <c r="ALK59" s="368"/>
      <c r="ALL59" s="368"/>
      <c r="ALM59" s="368"/>
      <c r="ALN59" s="368"/>
      <c r="ALO59" s="368"/>
      <c r="ALP59" s="368"/>
      <c r="ALQ59" s="368"/>
      <c r="ALR59" s="368"/>
      <c r="ALS59" s="368"/>
      <c r="ALT59" s="368"/>
      <c r="ALU59" s="368"/>
      <c r="ALV59" s="368"/>
      <c r="ALW59" s="368"/>
      <c r="ALX59" s="368"/>
      <c r="ALY59" s="368"/>
      <c r="ALZ59" s="368"/>
      <c r="AMA59" s="368"/>
      <c r="AMB59" s="368"/>
      <c r="AMC59" s="368"/>
      <c r="AMD59" s="368"/>
      <c r="AME59" s="368"/>
      <c r="AMF59" s="368"/>
      <c r="AMG59" s="368"/>
      <c r="AMH59" s="368"/>
      <c r="AMI59" s="368"/>
      <c r="AMJ59" s="368"/>
    </row>
    <row r="60" spans="1:1024" s="218" customFormat="1" ht="14.25" customHeight="1">
      <c r="B60" s="373"/>
      <c r="C60" s="376"/>
      <c r="D60" s="226" t="s">
        <v>3480</v>
      </c>
      <c r="E60" s="227">
        <f>'Consolidated Financials'!H126-'Consolidated Financials'!G126</f>
        <v>60009144</v>
      </c>
      <c r="F60" s="227">
        <f>'Consolidated Financials'!I126-'Consolidated Financials'!H126</f>
        <v>38943164</v>
      </c>
      <c r="G60" s="227">
        <f>'Consolidated Financials'!J126-'Consolidated Financials'!I126</f>
        <v>-146544823</v>
      </c>
      <c r="H60" s="228">
        <f>'Consolidated Financials'!K126-'Consolidated Financials'!J126</f>
        <v>0</v>
      </c>
    </row>
    <row r="61" spans="1:1024" s="383" customFormat="1" ht="14.25" customHeight="1">
      <c r="B61" s="382"/>
      <c r="C61" s="377"/>
      <c r="D61" s="226" t="s">
        <v>3481</v>
      </c>
      <c r="E61" s="227">
        <f>'Consolidated Financials'!H127-'Consolidated Financials'!G127</f>
        <v>0</v>
      </c>
      <c r="F61" s="227">
        <f>'Consolidated Financials'!I127-'Consolidated Financials'!H127</f>
        <v>0</v>
      </c>
      <c r="G61" s="227">
        <f>'Consolidated Financials'!J127-'Consolidated Financials'!I127</f>
        <v>0</v>
      </c>
      <c r="H61" s="228">
        <f>'Consolidated Financials'!K127-'Consolidated Financials'!J127</f>
        <v>0</v>
      </c>
    </row>
    <row r="62" spans="1:1024" s="383" customFormat="1" ht="14.25" customHeight="1">
      <c r="B62" s="382"/>
      <c r="C62" s="377"/>
      <c r="D62" s="226" t="s">
        <v>3482</v>
      </c>
      <c r="E62" s="227">
        <f>'Consolidated Financials'!H128-'Consolidated Financials'!G128</f>
        <v>0</v>
      </c>
      <c r="F62" s="227">
        <f>'Consolidated Financials'!I128-'Consolidated Financials'!H128</f>
        <v>0</v>
      </c>
      <c r="G62" s="227">
        <f>'Consolidated Financials'!J128-'Consolidated Financials'!I128</f>
        <v>0</v>
      </c>
      <c r="H62" s="228">
        <f>'Consolidated Financials'!K128-'Consolidated Financials'!J128</f>
        <v>0</v>
      </c>
    </row>
    <row r="63" spans="1:1024" s="383" customFormat="1" ht="14.25" customHeight="1">
      <c r="B63" s="382"/>
      <c r="C63" s="377"/>
      <c r="D63" s="226" t="s">
        <v>3483</v>
      </c>
      <c r="E63" s="227">
        <f>'Consolidated Financials'!H129-'Consolidated Financials'!G129</f>
        <v>0</v>
      </c>
      <c r="F63" s="227">
        <f>'Consolidated Financials'!I129-'Consolidated Financials'!H129</f>
        <v>0</v>
      </c>
      <c r="G63" s="227">
        <f>'Consolidated Financials'!J129-'Consolidated Financials'!I129</f>
        <v>0</v>
      </c>
      <c r="H63" s="228">
        <f>'Consolidated Financials'!K129-'Consolidated Financials'!J129</f>
        <v>0</v>
      </c>
    </row>
    <row r="64" spans="1:1024" s="383" customFormat="1" ht="14.25" customHeight="1">
      <c r="B64" s="382"/>
      <c r="C64" s="377"/>
      <c r="D64" s="226" t="s">
        <v>3484</v>
      </c>
      <c r="E64" s="227">
        <f>'Consolidated Financials'!H130-'Consolidated Financials'!G130</f>
        <v>-1300000</v>
      </c>
      <c r="F64" s="227">
        <f>'Consolidated Financials'!I130-'Consolidated Financials'!H130</f>
        <v>0</v>
      </c>
      <c r="G64" s="227">
        <f>'Consolidated Financials'!J130-'Consolidated Financials'!I130</f>
        <v>0</v>
      </c>
      <c r="H64" s="228">
        <f>'Consolidated Financials'!K130-'Consolidated Financials'!J130</f>
        <v>0</v>
      </c>
    </row>
    <row r="65" spans="1:1024" s="383" customFormat="1" ht="14.25" customHeight="1">
      <c r="B65" s="382"/>
      <c r="C65" s="218"/>
      <c r="D65" s="226" t="s">
        <v>3485</v>
      </c>
      <c r="E65" s="227">
        <f>'Consolidated Financials'!H131-'Consolidated Financials'!G131</f>
        <v>0</v>
      </c>
      <c r="F65" s="227">
        <f>'Consolidated Financials'!I131-'Consolidated Financials'!H131</f>
        <v>0</v>
      </c>
      <c r="G65" s="227">
        <f>'Consolidated Financials'!J131-'Consolidated Financials'!I131</f>
        <v>0</v>
      </c>
      <c r="H65" s="228">
        <f>'Consolidated Financials'!K131-'Consolidated Financials'!J131</f>
        <v>0</v>
      </c>
    </row>
    <row r="66" spans="1:1024" s="383" customFormat="1" ht="14.25" customHeight="1">
      <c r="B66" s="382"/>
      <c r="C66" s="218"/>
      <c r="D66" s="226" t="s">
        <v>3486</v>
      </c>
      <c r="E66" s="227">
        <f>'Consolidated Financials'!H132-'Consolidated Financials'!G132</f>
        <v>0</v>
      </c>
      <c r="F66" s="227">
        <f>'Consolidated Financials'!I132-'Consolidated Financials'!H132</f>
        <v>0</v>
      </c>
      <c r="G66" s="227">
        <f>'Consolidated Financials'!J132-'Consolidated Financials'!I132</f>
        <v>0</v>
      </c>
      <c r="H66" s="228">
        <f>'Consolidated Financials'!K132-'Consolidated Financials'!J132</f>
        <v>0</v>
      </c>
    </row>
    <row r="67" spans="1:1024" ht="15">
      <c r="A67" s="368"/>
      <c r="B67" s="382"/>
      <c r="C67" s="768" t="s">
        <v>3487</v>
      </c>
      <c r="D67" s="769"/>
      <c r="E67" s="344">
        <f>SUM(E68:E74)</f>
        <v>40371076</v>
      </c>
      <c r="F67" s="344">
        <f>SUM(F68:F74)</f>
        <v>33520129</v>
      </c>
      <c r="G67" s="344">
        <f>SUM(G68:G74)</f>
        <v>-133213744</v>
      </c>
      <c r="H67" s="345">
        <f>SUM(H68:H74)</f>
        <v>0</v>
      </c>
      <c r="I67" s="368"/>
      <c r="J67" s="368"/>
      <c r="K67" s="368"/>
      <c r="L67" s="368"/>
      <c r="M67" s="368"/>
      <c r="N67" s="368"/>
      <c r="O67" s="368"/>
      <c r="P67" s="368"/>
      <c r="Q67" s="368"/>
      <c r="R67" s="368"/>
      <c r="S67" s="368"/>
      <c r="T67" s="368"/>
      <c r="U67" s="368"/>
      <c r="V67" s="368"/>
      <c r="W67" s="368"/>
      <c r="X67" s="368"/>
      <c r="Y67" s="368"/>
      <c r="Z67" s="368"/>
      <c r="AA67" s="368"/>
      <c r="AB67" s="368"/>
      <c r="AC67" s="368"/>
      <c r="AD67" s="368"/>
      <c r="AE67" s="368"/>
      <c r="AF67" s="368"/>
      <c r="AG67" s="368"/>
      <c r="AH67" s="368"/>
      <c r="AI67" s="368"/>
      <c r="AJ67" s="368"/>
      <c r="AK67" s="368"/>
      <c r="AL67" s="368"/>
      <c r="AM67" s="368"/>
      <c r="AN67" s="368"/>
      <c r="AO67" s="368"/>
      <c r="AP67" s="368"/>
      <c r="AQ67" s="368"/>
      <c r="AR67" s="368"/>
      <c r="AS67" s="368"/>
      <c r="AT67" s="368"/>
      <c r="AU67" s="368"/>
      <c r="AV67" s="368"/>
      <c r="AW67" s="368"/>
      <c r="AX67" s="368"/>
      <c r="AY67" s="368"/>
      <c r="AZ67" s="368"/>
      <c r="BA67" s="368"/>
      <c r="BB67" s="368"/>
      <c r="BC67" s="368"/>
      <c r="BD67" s="368"/>
      <c r="BE67" s="368"/>
      <c r="BF67" s="368"/>
      <c r="BG67" s="368"/>
      <c r="BH67" s="368"/>
      <c r="BI67" s="368"/>
      <c r="BJ67" s="368"/>
      <c r="BK67" s="368"/>
      <c r="BL67" s="368"/>
      <c r="BM67" s="368"/>
      <c r="BN67" s="368"/>
      <c r="BO67" s="368"/>
      <c r="BP67" s="368"/>
      <c r="BQ67" s="368"/>
      <c r="BR67" s="368"/>
      <c r="BS67" s="368"/>
      <c r="BT67" s="368"/>
      <c r="BU67" s="368"/>
      <c r="BV67" s="368"/>
      <c r="BW67" s="368"/>
      <c r="BX67" s="368"/>
      <c r="BY67" s="368"/>
      <c r="BZ67" s="368"/>
      <c r="CA67" s="368"/>
      <c r="CB67" s="368"/>
      <c r="CC67" s="368"/>
      <c r="CD67" s="368"/>
      <c r="CE67" s="368"/>
      <c r="CF67" s="368"/>
      <c r="CG67" s="368"/>
      <c r="CH67" s="368"/>
      <c r="CI67" s="368"/>
      <c r="CJ67" s="368"/>
      <c r="CK67" s="368"/>
      <c r="CL67" s="368"/>
      <c r="CM67" s="368"/>
      <c r="CN67" s="368"/>
      <c r="CO67" s="368"/>
      <c r="CP67" s="368"/>
      <c r="CQ67" s="368"/>
      <c r="CR67" s="368"/>
      <c r="CS67" s="368"/>
      <c r="CT67" s="368"/>
      <c r="CU67" s="368"/>
      <c r="CV67" s="368"/>
      <c r="CW67" s="368"/>
      <c r="CX67" s="368"/>
      <c r="CY67" s="368"/>
      <c r="CZ67" s="368"/>
      <c r="DA67" s="368"/>
      <c r="DB67" s="368"/>
      <c r="DC67" s="368"/>
      <c r="DD67" s="368"/>
      <c r="DE67" s="368"/>
      <c r="DF67" s="368"/>
      <c r="DG67" s="368"/>
      <c r="DH67" s="368"/>
      <c r="DI67" s="368"/>
      <c r="DJ67" s="368"/>
      <c r="DK67" s="368"/>
      <c r="DL67" s="368"/>
      <c r="DM67" s="368"/>
      <c r="DN67" s="368"/>
      <c r="DO67" s="368"/>
      <c r="DP67" s="368"/>
      <c r="DQ67" s="368"/>
      <c r="DR67" s="368"/>
      <c r="DS67" s="368"/>
      <c r="DT67" s="368"/>
      <c r="DU67" s="368"/>
      <c r="DV67" s="368"/>
      <c r="DW67" s="368"/>
      <c r="DX67" s="368"/>
      <c r="DY67" s="368"/>
      <c r="DZ67" s="368"/>
      <c r="EA67" s="368"/>
      <c r="EB67" s="368"/>
      <c r="EC67" s="368"/>
      <c r="ED67" s="368"/>
      <c r="EE67" s="368"/>
      <c r="EF67" s="368"/>
      <c r="EG67" s="368"/>
      <c r="EH67" s="368"/>
      <c r="EI67" s="368"/>
      <c r="EJ67" s="368"/>
      <c r="EK67" s="368"/>
      <c r="EL67" s="368"/>
      <c r="EM67" s="368"/>
      <c r="EN67" s="368"/>
      <c r="EO67" s="368"/>
      <c r="EP67" s="368"/>
      <c r="EQ67" s="368"/>
      <c r="ER67" s="368"/>
      <c r="ES67" s="368"/>
      <c r="ET67" s="368"/>
      <c r="EU67" s="368"/>
      <c r="EV67" s="368"/>
      <c r="EW67" s="368"/>
      <c r="EX67" s="368"/>
      <c r="EY67" s="368"/>
      <c r="EZ67" s="368"/>
      <c r="FA67" s="368"/>
      <c r="FB67" s="368"/>
      <c r="FC67" s="368"/>
      <c r="FD67" s="368"/>
      <c r="FE67" s="368"/>
      <c r="FF67" s="368"/>
      <c r="FG67" s="368"/>
      <c r="FH67" s="368"/>
      <c r="FI67" s="368"/>
      <c r="FJ67" s="368"/>
      <c r="FK67" s="368"/>
      <c r="FL67" s="368"/>
      <c r="FM67" s="368"/>
      <c r="FN67" s="368"/>
      <c r="FO67" s="368"/>
      <c r="FP67" s="368"/>
      <c r="FQ67" s="368"/>
      <c r="FR67" s="368"/>
      <c r="FS67" s="368"/>
      <c r="FT67" s="368"/>
      <c r="FU67" s="368"/>
      <c r="FV67" s="368"/>
      <c r="FW67" s="368"/>
      <c r="FX67" s="368"/>
      <c r="FY67" s="368"/>
      <c r="FZ67" s="368"/>
      <c r="GA67" s="368"/>
      <c r="GB67" s="368"/>
      <c r="GC67" s="368"/>
      <c r="GD67" s="368"/>
      <c r="GE67" s="368"/>
      <c r="GF67" s="368"/>
      <c r="GG67" s="368"/>
      <c r="GH67" s="368"/>
      <c r="GI67" s="368"/>
      <c r="GJ67" s="368"/>
      <c r="GK67" s="368"/>
      <c r="GL67" s="368"/>
      <c r="GM67" s="368"/>
      <c r="GN67" s="368"/>
      <c r="GO67" s="368"/>
      <c r="GP67" s="368"/>
      <c r="GQ67" s="368"/>
      <c r="GR67" s="368"/>
      <c r="GS67" s="368"/>
      <c r="GT67" s="368"/>
      <c r="GU67" s="368"/>
      <c r="GV67" s="368"/>
      <c r="GW67" s="368"/>
      <c r="GX67" s="368"/>
      <c r="GY67" s="368"/>
      <c r="GZ67" s="368"/>
      <c r="HA67" s="368"/>
      <c r="HB67" s="368"/>
      <c r="HC67" s="368"/>
      <c r="HD67" s="368"/>
      <c r="HE67" s="368"/>
      <c r="HF67" s="368"/>
      <c r="HG67" s="368"/>
      <c r="HH67" s="368"/>
      <c r="HI67" s="368"/>
      <c r="HJ67" s="368"/>
      <c r="HK67" s="368"/>
      <c r="HL67" s="368"/>
      <c r="HM67" s="368"/>
      <c r="HN67" s="368"/>
      <c r="HO67" s="368"/>
      <c r="HP67" s="368"/>
      <c r="HQ67" s="368"/>
      <c r="HR67" s="368"/>
      <c r="HS67" s="368"/>
      <c r="HT67" s="368"/>
      <c r="HU67" s="368"/>
      <c r="HV67" s="368"/>
      <c r="HW67" s="368"/>
      <c r="HX67" s="368"/>
      <c r="HY67" s="368"/>
      <c r="HZ67" s="368"/>
      <c r="IA67" s="368"/>
      <c r="IB67" s="368"/>
      <c r="IC67" s="368"/>
      <c r="ID67" s="368"/>
      <c r="IE67" s="368"/>
      <c r="IF67" s="368"/>
      <c r="IG67" s="368"/>
      <c r="IH67" s="368"/>
      <c r="II67" s="368"/>
      <c r="IJ67" s="368"/>
      <c r="IK67" s="368"/>
      <c r="IL67" s="368"/>
      <c r="IM67" s="368"/>
      <c r="IN67" s="368"/>
      <c r="IO67" s="368"/>
      <c r="IP67" s="368"/>
      <c r="IQ67" s="368"/>
      <c r="IR67" s="368"/>
      <c r="IS67" s="368"/>
      <c r="IT67" s="368"/>
      <c r="IU67" s="368"/>
      <c r="IV67" s="368"/>
      <c r="IW67" s="368"/>
      <c r="IX67" s="368"/>
      <c r="IY67" s="368"/>
      <c r="IZ67" s="368"/>
      <c r="JA67" s="368"/>
      <c r="JB67" s="368"/>
      <c r="JC67" s="368"/>
      <c r="JD67" s="368"/>
      <c r="JE67" s="368"/>
      <c r="JF67" s="368"/>
      <c r="JG67" s="368"/>
      <c r="JH67" s="368"/>
      <c r="JI67" s="368"/>
      <c r="JJ67" s="368"/>
      <c r="JK67" s="368"/>
      <c r="JL67" s="368"/>
      <c r="JM67" s="368"/>
      <c r="JN67" s="368"/>
      <c r="JO67" s="368"/>
      <c r="JP67" s="368"/>
      <c r="JQ67" s="368"/>
      <c r="JR67" s="368"/>
      <c r="JS67" s="368"/>
      <c r="JT67" s="368"/>
      <c r="JU67" s="368"/>
      <c r="JV67" s="368"/>
      <c r="JW67" s="368"/>
      <c r="JX67" s="368"/>
      <c r="JY67" s="368"/>
      <c r="JZ67" s="368"/>
      <c r="KA67" s="368"/>
      <c r="KB67" s="368"/>
      <c r="KC67" s="368"/>
      <c r="KD67" s="368"/>
      <c r="KE67" s="368"/>
      <c r="KF67" s="368"/>
      <c r="KG67" s="368"/>
      <c r="KH67" s="368"/>
      <c r="KI67" s="368"/>
      <c r="KJ67" s="368"/>
      <c r="KK67" s="368"/>
      <c r="KL67" s="368"/>
      <c r="KM67" s="368"/>
      <c r="KN67" s="368"/>
      <c r="KO67" s="368"/>
      <c r="KP67" s="368"/>
      <c r="KQ67" s="368"/>
      <c r="KR67" s="368"/>
      <c r="KS67" s="368"/>
      <c r="KT67" s="368"/>
      <c r="KU67" s="368"/>
      <c r="KV67" s="368"/>
      <c r="KW67" s="368"/>
      <c r="KX67" s="368"/>
      <c r="KY67" s="368"/>
      <c r="KZ67" s="368"/>
      <c r="LA67" s="368"/>
      <c r="LB67" s="368"/>
      <c r="LC67" s="368"/>
      <c r="LD67" s="368"/>
      <c r="LE67" s="368"/>
      <c r="LF67" s="368"/>
      <c r="LG67" s="368"/>
      <c r="LH67" s="368"/>
      <c r="LI67" s="368"/>
      <c r="LJ67" s="368"/>
      <c r="LK67" s="368"/>
      <c r="LL67" s="368"/>
      <c r="LM67" s="368"/>
      <c r="LN67" s="368"/>
      <c r="LO67" s="368"/>
      <c r="LP67" s="368"/>
      <c r="LQ67" s="368"/>
      <c r="LR67" s="368"/>
      <c r="LS67" s="368"/>
      <c r="LT67" s="368"/>
      <c r="LU67" s="368"/>
      <c r="LV67" s="368"/>
      <c r="LW67" s="368"/>
      <c r="LX67" s="368"/>
      <c r="LY67" s="368"/>
      <c r="LZ67" s="368"/>
      <c r="MA67" s="368"/>
      <c r="MB67" s="368"/>
      <c r="MC67" s="368"/>
      <c r="MD67" s="368"/>
      <c r="ME67" s="368"/>
      <c r="MF67" s="368"/>
      <c r="MG67" s="368"/>
      <c r="MH67" s="368"/>
      <c r="MI67" s="368"/>
      <c r="MJ67" s="368"/>
      <c r="MK67" s="368"/>
      <c r="ML67" s="368"/>
      <c r="MM67" s="368"/>
      <c r="MN67" s="368"/>
      <c r="MO67" s="368"/>
      <c r="MP67" s="368"/>
      <c r="MQ67" s="368"/>
      <c r="MR67" s="368"/>
      <c r="MS67" s="368"/>
      <c r="MT67" s="368"/>
      <c r="MU67" s="368"/>
      <c r="MV67" s="368"/>
      <c r="MW67" s="368"/>
      <c r="MX67" s="368"/>
      <c r="MY67" s="368"/>
      <c r="MZ67" s="368"/>
      <c r="NA67" s="368"/>
      <c r="NB67" s="368"/>
      <c r="NC67" s="368"/>
      <c r="ND67" s="368"/>
      <c r="NE67" s="368"/>
      <c r="NF67" s="368"/>
      <c r="NG67" s="368"/>
      <c r="NH67" s="368"/>
      <c r="NI67" s="368"/>
      <c r="NJ67" s="368"/>
      <c r="NK67" s="368"/>
      <c r="NL67" s="368"/>
      <c r="NM67" s="368"/>
      <c r="NN67" s="368"/>
      <c r="NO67" s="368"/>
      <c r="NP67" s="368"/>
      <c r="NQ67" s="368"/>
      <c r="NR67" s="368"/>
      <c r="NS67" s="368"/>
      <c r="NT67" s="368"/>
      <c r="NU67" s="368"/>
      <c r="NV67" s="368"/>
      <c r="NW67" s="368"/>
      <c r="NX67" s="368"/>
      <c r="NY67" s="368"/>
      <c r="NZ67" s="368"/>
      <c r="OA67" s="368"/>
      <c r="OB67" s="368"/>
      <c r="OC67" s="368"/>
      <c r="OD67" s="368"/>
      <c r="OE67" s="368"/>
      <c r="OF67" s="368"/>
      <c r="OG67" s="368"/>
      <c r="OH67" s="368"/>
      <c r="OI67" s="368"/>
      <c r="OJ67" s="368"/>
      <c r="OK67" s="368"/>
      <c r="OL67" s="368"/>
      <c r="OM67" s="368"/>
      <c r="ON67" s="368"/>
      <c r="OO67" s="368"/>
      <c r="OP67" s="368"/>
      <c r="OQ67" s="368"/>
      <c r="OR67" s="368"/>
      <c r="OS67" s="368"/>
      <c r="OT67" s="368"/>
      <c r="OU67" s="368"/>
      <c r="OV67" s="368"/>
      <c r="OW67" s="368"/>
      <c r="OX67" s="368"/>
      <c r="OY67" s="368"/>
      <c r="OZ67" s="368"/>
      <c r="PA67" s="368"/>
      <c r="PB67" s="368"/>
      <c r="PC67" s="368"/>
      <c r="PD67" s="368"/>
      <c r="PE67" s="368"/>
      <c r="PF67" s="368"/>
      <c r="PG67" s="368"/>
      <c r="PH67" s="368"/>
      <c r="PI67" s="368"/>
      <c r="PJ67" s="368"/>
      <c r="PK67" s="368"/>
      <c r="PL67" s="368"/>
      <c r="PM67" s="368"/>
      <c r="PN67" s="368"/>
      <c r="PO67" s="368"/>
      <c r="PP67" s="368"/>
      <c r="PQ67" s="368"/>
      <c r="PR67" s="368"/>
      <c r="PS67" s="368"/>
      <c r="PT67" s="368"/>
      <c r="PU67" s="368"/>
      <c r="PV67" s="368"/>
      <c r="PW67" s="368"/>
      <c r="PX67" s="368"/>
      <c r="PY67" s="368"/>
      <c r="PZ67" s="368"/>
      <c r="QA67" s="368"/>
      <c r="QB67" s="368"/>
      <c r="QC67" s="368"/>
      <c r="QD67" s="368"/>
      <c r="QE67" s="368"/>
      <c r="QF67" s="368"/>
      <c r="QG67" s="368"/>
      <c r="QH67" s="368"/>
      <c r="QI67" s="368"/>
      <c r="QJ67" s="368"/>
      <c r="QK67" s="368"/>
      <c r="QL67" s="368"/>
      <c r="QM67" s="368"/>
      <c r="QN67" s="368"/>
      <c r="QO67" s="368"/>
      <c r="QP67" s="368"/>
      <c r="QQ67" s="368"/>
      <c r="QR67" s="368"/>
      <c r="QS67" s="368"/>
      <c r="QT67" s="368"/>
      <c r="QU67" s="368"/>
      <c r="QV67" s="368"/>
      <c r="QW67" s="368"/>
      <c r="QX67" s="368"/>
      <c r="QY67" s="368"/>
      <c r="QZ67" s="368"/>
      <c r="RA67" s="368"/>
      <c r="RB67" s="368"/>
      <c r="RC67" s="368"/>
      <c r="RD67" s="368"/>
      <c r="RE67" s="368"/>
      <c r="RF67" s="368"/>
      <c r="RG67" s="368"/>
      <c r="RH67" s="368"/>
      <c r="RI67" s="368"/>
      <c r="RJ67" s="368"/>
      <c r="RK67" s="368"/>
      <c r="RL67" s="368"/>
      <c r="RM67" s="368"/>
      <c r="RN67" s="368"/>
      <c r="RO67" s="368"/>
      <c r="RP67" s="368"/>
      <c r="RQ67" s="368"/>
      <c r="RR67" s="368"/>
      <c r="RS67" s="368"/>
      <c r="RT67" s="368"/>
      <c r="RU67" s="368"/>
      <c r="RV67" s="368"/>
      <c r="RW67" s="368"/>
      <c r="RX67" s="368"/>
      <c r="RY67" s="368"/>
      <c r="RZ67" s="368"/>
      <c r="SA67" s="368"/>
      <c r="SB67" s="368"/>
      <c r="SC67" s="368"/>
      <c r="SD67" s="368"/>
      <c r="SE67" s="368"/>
      <c r="SF67" s="368"/>
      <c r="SG67" s="368"/>
      <c r="SH67" s="368"/>
      <c r="SI67" s="368"/>
      <c r="SJ67" s="368"/>
      <c r="SK67" s="368"/>
      <c r="SL67" s="368"/>
      <c r="SM67" s="368"/>
      <c r="SN67" s="368"/>
      <c r="SO67" s="368"/>
      <c r="SP67" s="368"/>
      <c r="SQ67" s="368"/>
      <c r="SR67" s="368"/>
      <c r="SS67" s="368"/>
      <c r="ST67" s="368"/>
      <c r="SU67" s="368"/>
      <c r="SV67" s="368"/>
      <c r="SW67" s="368"/>
      <c r="SX67" s="368"/>
      <c r="SY67" s="368"/>
      <c r="SZ67" s="368"/>
      <c r="TA67" s="368"/>
      <c r="TB67" s="368"/>
      <c r="TC67" s="368"/>
      <c r="TD67" s="368"/>
      <c r="TE67" s="368"/>
      <c r="TF67" s="368"/>
      <c r="TG67" s="368"/>
      <c r="TH67" s="368"/>
      <c r="TI67" s="368"/>
      <c r="TJ67" s="368"/>
      <c r="TK67" s="368"/>
      <c r="TL67" s="368"/>
      <c r="TM67" s="368"/>
      <c r="TN67" s="368"/>
      <c r="TO67" s="368"/>
      <c r="TP67" s="368"/>
      <c r="TQ67" s="368"/>
      <c r="TR67" s="368"/>
      <c r="TS67" s="368"/>
      <c r="TT67" s="368"/>
      <c r="TU67" s="368"/>
      <c r="TV67" s="368"/>
      <c r="TW67" s="368"/>
      <c r="TX67" s="368"/>
      <c r="TY67" s="368"/>
      <c r="TZ67" s="368"/>
      <c r="UA67" s="368"/>
      <c r="UB67" s="368"/>
      <c r="UC67" s="368"/>
      <c r="UD67" s="368"/>
      <c r="UE67" s="368"/>
      <c r="UF67" s="368"/>
      <c r="UG67" s="368"/>
      <c r="UH67" s="368"/>
      <c r="UI67" s="368"/>
      <c r="UJ67" s="368"/>
      <c r="UK67" s="368"/>
      <c r="UL67" s="368"/>
      <c r="UM67" s="368"/>
      <c r="UN67" s="368"/>
      <c r="UO67" s="368"/>
      <c r="UP67" s="368"/>
      <c r="UQ67" s="368"/>
      <c r="UR67" s="368"/>
      <c r="US67" s="368"/>
      <c r="UT67" s="368"/>
      <c r="UU67" s="368"/>
      <c r="UV67" s="368"/>
      <c r="UW67" s="368"/>
      <c r="UX67" s="368"/>
      <c r="UY67" s="368"/>
      <c r="UZ67" s="368"/>
      <c r="VA67" s="368"/>
      <c r="VB67" s="368"/>
      <c r="VC67" s="368"/>
      <c r="VD67" s="368"/>
      <c r="VE67" s="368"/>
      <c r="VF67" s="368"/>
      <c r="VG67" s="368"/>
      <c r="VH67" s="368"/>
      <c r="VI67" s="368"/>
      <c r="VJ67" s="368"/>
      <c r="VK67" s="368"/>
      <c r="VL67" s="368"/>
      <c r="VM67" s="368"/>
      <c r="VN67" s="368"/>
      <c r="VO67" s="368"/>
      <c r="VP67" s="368"/>
      <c r="VQ67" s="368"/>
      <c r="VR67" s="368"/>
      <c r="VS67" s="368"/>
      <c r="VT67" s="368"/>
      <c r="VU67" s="368"/>
      <c r="VV67" s="368"/>
      <c r="VW67" s="368"/>
      <c r="VX67" s="368"/>
      <c r="VY67" s="368"/>
      <c r="VZ67" s="368"/>
      <c r="WA67" s="368"/>
      <c r="WB67" s="368"/>
      <c r="WC67" s="368"/>
      <c r="WD67" s="368"/>
      <c r="WE67" s="368"/>
      <c r="WF67" s="368"/>
      <c r="WG67" s="368"/>
      <c r="WH67" s="368"/>
      <c r="WI67" s="368"/>
      <c r="WJ67" s="368"/>
      <c r="WK67" s="368"/>
      <c r="WL67" s="368"/>
      <c r="WM67" s="368"/>
      <c r="WN67" s="368"/>
      <c r="WO67" s="368"/>
      <c r="WP67" s="368"/>
      <c r="WQ67" s="368"/>
      <c r="WR67" s="368"/>
      <c r="WS67" s="368"/>
      <c r="WT67" s="368"/>
      <c r="WU67" s="368"/>
      <c r="WV67" s="368"/>
      <c r="WW67" s="368"/>
      <c r="WX67" s="368"/>
      <c r="WY67" s="368"/>
      <c r="WZ67" s="368"/>
      <c r="XA67" s="368"/>
      <c r="XB67" s="368"/>
      <c r="XC67" s="368"/>
      <c r="XD67" s="368"/>
      <c r="XE67" s="368"/>
      <c r="XF67" s="368"/>
      <c r="XG67" s="368"/>
      <c r="XH67" s="368"/>
      <c r="XI67" s="368"/>
      <c r="XJ67" s="368"/>
      <c r="XK67" s="368"/>
      <c r="XL67" s="368"/>
      <c r="XM67" s="368"/>
      <c r="XN67" s="368"/>
      <c r="XO67" s="368"/>
      <c r="XP67" s="368"/>
      <c r="XQ67" s="368"/>
      <c r="XR67" s="368"/>
      <c r="XS67" s="368"/>
      <c r="XT67" s="368"/>
      <c r="XU67" s="368"/>
      <c r="XV67" s="368"/>
      <c r="XW67" s="368"/>
      <c r="XX67" s="368"/>
      <c r="XY67" s="368"/>
      <c r="XZ67" s="368"/>
      <c r="YA67" s="368"/>
      <c r="YB67" s="368"/>
      <c r="YC67" s="368"/>
      <c r="YD67" s="368"/>
      <c r="YE67" s="368"/>
      <c r="YF67" s="368"/>
      <c r="YG67" s="368"/>
      <c r="YH67" s="368"/>
      <c r="YI67" s="368"/>
      <c r="YJ67" s="368"/>
      <c r="YK67" s="368"/>
      <c r="YL67" s="368"/>
      <c r="YM67" s="368"/>
      <c r="YN67" s="368"/>
      <c r="YO67" s="368"/>
      <c r="YP67" s="368"/>
      <c r="YQ67" s="368"/>
      <c r="YR67" s="368"/>
      <c r="YS67" s="368"/>
      <c r="YT67" s="368"/>
      <c r="YU67" s="368"/>
      <c r="YV67" s="368"/>
      <c r="YW67" s="368"/>
      <c r="YX67" s="368"/>
      <c r="YY67" s="368"/>
      <c r="YZ67" s="368"/>
      <c r="ZA67" s="368"/>
      <c r="ZB67" s="368"/>
      <c r="ZC67" s="368"/>
      <c r="ZD67" s="368"/>
      <c r="ZE67" s="368"/>
      <c r="ZF67" s="368"/>
      <c r="ZG67" s="368"/>
      <c r="ZH67" s="368"/>
      <c r="ZI67" s="368"/>
      <c r="ZJ67" s="368"/>
      <c r="ZK67" s="368"/>
      <c r="ZL67" s="368"/>
      <c r="ZM67" s="368"/>
      <c r="ZN67" s="368"/>
      <c r="ZO67" s="368"/>
      <c r="ZP67" s="368"/>
      <c r="ZQ67" s="368"/>
      <c r="ZR67" s="368"/>
      <c r="ZS67" s="368"/>
      <c r="ZT67" s="368"/>
      <c r="ZU67" s="368"/>
      <c r="ZV67" s="368"/>
      <c r="ZW67" s="368"/>
      <c r="ZX67" s="368"/>
      <c r="ZY67" s="368"/>
      <c r="ZZ67" s="368"/>
      <c r="AAA67" s="368"/>
      <c r="AAB67" s="368"/>
      <c r="AAC67" s="368"/>
      <c r="AAD67" s="368"/>
      <c r="AAE67" s="368"/>
      <c r="AAF67" s="368"/>
      <c r="AAG67" s="368"/>
      <c r="AAH67" s="368"/>
      <c r="AAI67" s="368"/>
      <c r="AAJ67" s="368"/>
      <c r="AAK67" s="368"/>
      <c r="AAL67" s="368"/>
      <c r="AAM67" s="368"/>
      <c r="AAN67" s="368"/>
      <c r="AAO67" s="368"/>
      <c r="AAP67" s="368"/>
      <c r="AAQ67" s="368"/>
      <c r="AAR67" s="368"/>
      <c r="AAS67" s="368"/>
      <c r="AAT67" s="368"/>
      <c r="AAU67" s="368"/>
      <c r="AAV67" s="368"/>
      <c r="AAW67" s="368"/>
      <c r="AAX67" s="368"/>
      <c r="AAY67" s="368"/>
      <c r="AAZ67" s="368"/>
      <c r="ABA67" s="368"/>
      <c r="ABB67" s="368"/>
      <c r="ABC67" s="368"/>
      <c r="ABD67" s="368"/>
      <c r="ABE67" s="368"/>
      <c r="ABF67" s="368"/>
      <c r="ABG67" s="368"/>
      <c r="ABH67" s="368"/>
      <c r="ABI67" s="368"/>
      <c r="ABJ67" s="368"/>
      <c r="ABK67" s="368"/>
      <c r="ABL67" s="368"/>
      <c r="ABM67" s="368"/>
      <c r="ABN67" s="368"/>
      <c r="ABO67" s="368"/>
      <c r="ABP67" s="368"/>
      <c r="ABQ67" s="368"/>
      <c r="ABR67" s="368"/>
      <c r="ABS67" s="368"/>
      <c r="ABT67" s="368"/>
      <c r="ABU67" s="368"/>
      <c r="ABV67" s="368"/>
      <c r="ABW67" s="368"/>
      <c r="ABX67" s="368"/>
      <c r="ABY67" s="368"/>
      <c r="ABZ67" s="368"/>
      <c r="ACA67" s="368"/>
      <c r="ACB67" s="368"/>
      <c r="ACC67" s="368"/>
      <c r="ACD67" s="368"/>
      <c r="ACE67" s="368"/>
      <c r="ACF67" s="368"/>
      <c r="ACG67" s="368"/>
      <c r="ACH67" s="368"/>
      <c r="ACI67" s="368"/>
      <c r="ACJ67" s="368"/>
      <c r="ACK67" s="368"/>
      <c r="ACL67" s="368"/>
      <c r="ACM67" s="368"/>
      <c r="ACN67" s="368"/>
      <c r="ACO67" s="368"/>
      <c r="ACP67" s="368"/>
      <c r="ACQ67" s="368"/>
      <c r="ACR67" s="368"/>
      <c r="ACS67" s="368"/>
      <c r="ACT67" s="368"/>
      <c r="ACU67" s="368"/>
      <c r="ACV67" s="368"/>
      <c r="ACW67" s="368"/>
      <c r="ACX67" s="368"/>
      <c r="ACY67" s="368"/>
      <c r="ACZ67" s="368"/>
      <c r="ADA67" s="368"/>
      <c r="ADB67" s="368"/>
      <c r="ADC67" s="368"/>
      <c r="ADD67" s="368"/>
      <c r="ADE67" s="368"/>
      <c r="ADF67" s="368"/>
      <c r="ADG67" s="368"/>
      <c r="ADH67" s="368"/>
      <c r="ADI67" s="368"/>
      <c r="ADJ67" s="368"/>
      <c r="ADK67" s="368"/>
      <c r="ADL67" s="368"/>
      <c r="ADM67" s="368"/>
      <c r="ADN67" s="368"/>
      <c r="ADO67" s="368"/>
      <c r="ADP67" s="368"/>
      <c r="ADQ67" s="368"/>
      <c r="ADR67" s="368"/>
      <c r="ADS67" s="368"/>
      <c r="ADT67" s="368"/>
      <c r="ADU67" s="368"/>
      <c r="ADV67" s="368"/>
      <c r="ADW67" s="368"/>
      <c r="ADX67" s="368"/>
      <c r="ADY67" s="368"/>
      <c r="ADZ67" s="368"/>
      <c r="AEA67" s="368"/>
      <c r="AEB67" s="368"/>
      <c r="AEC67" s="368"/>
      <c r="AED67" s="368"/>
      <c r="AEE67" s="368"/>
      <c r="AEF67" s="368"/>
      <c r="AEG67" s="368"/>
      <c r="AEH67" s="368"/>
      <c r="AEI67" s="368"/>
      <c r="AEJ67" s="368"/>
      <c r="AEK67" s="368"/>
      <c r="AEL67" s="368"/>
      <c r="AEM67" s="368"/>
      <c r="AEN67" s="368"/>
      <c r="AEO67" s="368"/>
      <c r="AEP67" s="368"/>
      <c r="AEQ67" s="368"/>
      <c r="AER67" s="368"/>
      <c r="AES67" s="368"/>
      <c r="AET67" s="368"/>
      <c r="AEU67" s="368"/>
      <c r="AEV67" s="368"/>
      <c r="AEW67" s="368"/>
      <c r="AEX67" s="368"/>
      <c r="AEY67" s="368"/>
      <c r="AEZ67" s="368"/>
      <c r="AFA67" s="368"/>
      <c r="AFB67" s="368"/>
      <c r="AFC67" s="368"/>
      <c r="AFD67" s="368"/>
      <c r="AFE67" s="368"/>
      <c r="AFF67" s="368"/>
      <c r="AFG67" s="368"/>
      <c r="AFH67" s="368"/>
      <c r="AFI67" s="368"/>
      <c r="AFJ67" s="368"/>
      <c r="AFK67" s="368"/>
      <c r="AFL67" s="368"/>
      <c r="AFM67" s="368"/>
      <c r="AFN67" s="368"/>
      <c r="AFO67" s="368"/>
      <c r="AFP67" s="368"/>
      <c r="AFQ67" s="368"/>
      <c r="AFR67" s="368"/>
      <c r="AFS67" s="368"/>
      <c r="AFT67" s="368"/>
      <c r="AFU67" s="368"/>
      <c r="AFV67" s="368"/>
      <c r="AFW67" s="368"/>
      <c r="AFX67" s="368"/>
      <c r="AFY67" s="368"/>
      <c r="AFZ67" s="368"/>
      <c r="AGA67" s="368"/>
      <c r="AGB67" s="368"/>
      <c r="AGC67" s="368"/>
      <c r="AGD67" s="368"/>
      <c r="AGE67" s="368"/>
      <c r="AGF67" s="368"/>
      <c r="AGG67" s="368"/>
      <c r="AGH67" s="368"/>
      <c r="AGI67" s="368"/>
      <c r="AGJ67" s="368"/>
      <c r="AGK67" s="368"/>
      <c r="AGL67" s="368"/>
      <c r="AGM67" s="368"/>
      <c r="AGN67" s="368"/>
      <c r="AGO67" s="368"/>
      <c r="AGP67" s="368"/>
      <c r="AGQ67" s="368"/>
      <c r="AGR67" s="368"/>
      <c r="AGS67" s="368"/>
      <c r="AGT67" s="368"/>
      <c r="AGU67" s="368"/>
      <c r="AGV67" s="368"/>
      <c r="AGW67" s="368"/>
      <c r="AGX67" s="368"/>
      <c r="AGY67" s="368"/>
      <c r="AGZ67" s="368"/>
      <c r="AHA67" s="368"/>
      <c r="AHB67" s="368"/>
      <c r="AHC67" s="368"/>
      <c r="AHD67" s="368"/>
      <c r="AHE67" s="368"/>
      <c r="AHF67" s="368"/>
      <c r="AHG67" s="368"/>
      <c r="AHH67" s="368"/>
      <c r="AHI67" s="368"/>
      <c r="AHJ67" s="368"/>
      <c r="AHK67" s="368"/>
      <c r="AHL67" s="368"/>
      <c r="AHM67" s="368"/>
      <c r="AHN67" s="368"/>
      <c r="AHO67" s="368"/>
      <c r="AHP67" s="368"/>
      <c r="AHQ67" s="368"/>
      <c r="AHR67" s="368"/>
      <c r="AHS67" s="368"/>
      <c r="AHT67" s="368"/>
      <c r="AHU67" s="368"/>
      <c r="AHV67" s="368"/>
      <c r="AHW67" s="368"/>
      <c r="AHX67" s="368"/>
      <c r="AHY67" s="368"/>
      <c r="AHZ67" s="368"/>
      <c r="AIA67" s="368"/>
      <c r="AIB67" s="368"/>
      <c r="AIC67" s="368"/>
      <c r="AID67" s="368"/>
      <c r="AIE67" s="368"/>
      <c r="AIF67" s="368"/>
      <c r="AIG67" s="368"/>
      <c r="AIH67" s="368"/>
      <c r="AII67" s="368"/>
      <c r="AIJ67" s="368"/>
      <c r="AIK67" s="368"/>
      <c r="AIL67" s="368"/>
      <c r="AIM67" s="368"/>
      <c r="AIN67" s="368"/>
      <c r="AIO67" s="368"/>
      <c r="AIP67" s="368"/>
      <c r="AIQ67" s="368"/>
      <c r="AIR67" s="368"/>
      <c r="AIS67" s="368"/>
      <c r="AIT67" s="368"/>
      <c r="AIU67" s="368"/>
      <c r="AIV67" s="368"/>
      <c r="AIW67" s="368"/>
      <c r="AIX67" s="368"/>
      <c r="AIY67" s="368"/>
      <c r="AIZ67" s="368"/>
      <c r="AJA67" s="368"/>
      <c r="AJB67" s="368"/>
      <c r="AJC67" s="368"/>
      <c r="AJD67" s="368"/>
      <c r="AJE67" s="368"/>
      <c r="AJF67" s="368"/>
      <c r="AJG67" s="368"/>
      <c r="AJH67" s="368"/>
      <c r="AJI67" s="368"/>
      <c r="AJJ67" s="368"/>
      <c r="AJK67" s="368"/>
      <c r="AJL67" s="368"/>
      <c r="AJM67" s="368"/>
      <c r="AJN67" s="368"/>
      <c r="AJO67" s="368"/>
      <c r="AJP67" s="368"/>
      <c r="AJQ67" s="368"/>
      <c r="AJR67" s="368"/>
      <c r="AJS67" s="368"/>
      <c r="AJT67" s="368"/>
      <c r="AJU67" s="368"/>
      <c r="AJV67" s="368"/>
      <c r="AJW67" s="368"/>
      <c r="AJX67" s="368"/>
      <c r="AJY67" s="368"/>
      <c r="AJZ67" s="368"/>
      <c r="AKA67" s="368"/>
      <c r="AKB67" s="368"/>
      <c r="AKC67" s="368"/>
      <c r="AKD67" s="368"/>
      <c r="AKE67" s="368"/>
      <c r="AKF67" s="368"/>
      <c r="AKG67" s="368"/>
      <c r="AKH67" s="368"/>
      <c r="AKI67" s="368"/>
      <c r="AKJ67" s="368"/>
      <c r="AKK67" s="368"/>
      <c r="AKL67" s="368"/>
      <c r="AKM67" s="368"/>
      <c r="AKN67" s="368"/>
      <c r="AKO67" s="368"/>
      <c r="AKP67" s="368"/>
      <c r="AKQ67" s="368"/>
      <c r="AKR67" s="368"/>
      <c r="AKS67" s="368"/>
      <c r="AKT67" s="368"/>
      <c r="AKU67" s="368"/>
      <c r="AKV67" s="368"/>
      <c r="AKW67" s="368"/>
      <c r="AKX67" s="368"/>
      <c r="AKY67" s="368"/>
      <c r="AKZ67" s="368"/>
      <c r="ALA67" s="368"/>
      <c r="ALB67" s="368"/>
      <c r="ALC67" s="368"/>
      <c r="ALD67" s="368"/>
      <c r="ALE67" s="368"/>
      <c r="ALF67" s="368"/>
      <c r="ALG67" s="368"/>
      <c r="ALH67" s="368"/>
      <c r="ALI67" s="368"/>
      <c r="ALJ67" s="368"/>
      <c r="ALK67" s="368"/>
      <c r="ALL67" s="368"/>
      <c r="ALM67" s="368"/>
      <c r="ALN67" s="368"/>
      <c r="ALO67" s="368"/>
      <c r="ALP67" s="368"/>
      <c r="ALQ67" s="368"/>
      <c r="ALR67" s="368"/>
      <c r="ALS67" s="368"/>
      <c r="ALT67" s="368"/>
      <c r="ALU67" s="368"/>
      <c r="ALV67" s="368"/>
      <c r="ALW67" s="368"/>
      <c r="ALX67" s="368"/>
      <c r="ALY67" s="368"/>
      <c r="ALZ67" s="368"/>
      <c r="AMA67" s="368"/>
      <c r="AMB67" s="368"/>
      <c r="AMC67" s="368"/>
      <c r="AMD67" s="368"/>
      <c r="AME67" s="368"/>
      <c r="AMF67" s="368"/>
      <c r="AMG67" s="368"/>
      <c r="AMH67" s="368"/>
      <c r="AMI67" s="368"/>
      <c r="AMJ67" s="368"/>
    </row>
    <row r="68" spans="1:1024" s="218" customFormat="1" ht="14.25" customHeight="1">
      <c r="B68" s="382"/>
      <c r="C68" s="376"/>
      <c r="D68" s="226" t="s">
        <v>3488</v>
      </c>
      <c r="E68" s="227">
        <f>'Consolidated Financials'!H145-'Consolidated Financials'!G145</f>
        <v>-16081711</v>
      </c>
      <c r="F68" s="227">
        <f>'Consolidated Financials'!I145-'Consolidated Financials'!H145</f>
        <v>9910201</v>
      </c>
      <c r="G68" s="227">
        <f>'Consolidated Financials'!J145-'Consolidated Financials'!I145</f>
        <v>-10000000</v>
      </c>
      <c r="H68" s="228">
        <f>'Consolidated Financials'!K145-'Consolidated Financials'!J145</f>
        <v>0</v>
      </c>
    </row>
    <row r="69" spans="1:1024" s="218" customFormat="1" ht="14.25" customHeight="1">
      <c r="B69" s="382"/>
      <c r="C69" s="377"/>
      <c r="D69" s="226" t="s">
        <v>3489</v>
      </c>
      <c r="E69" s="227">
        <f>'Consolidated Financials'!H146-'Consolidated Financials'!G146</f>
        <v>22306850</v>
      </c>
      <c r="F69" s="227">
        <f>'Consolidated Financials'!I146-'Consolidated Financials'!H146</f>
        <v>17884521</v>
      </c>
      <c r="G69" s="227">
        <f>'Consolidated Financials'!J146-'Consolidated Financials'!I146</f>
        <v>-83342400</v>
      </c>
      <c r="H69" s="228">
        <f>'Consolidated Financials'!K146-'Consolidated Financials'!J146</f>
        <v>0</v>
      </c>
    </row>
    <row r="70" spans="1:1024" s="218" customFormat="1" ht="14.25" customHeight="1">
      <c r="B70" s="382"/>
      <c r="C70" s="377"/>
      <c r="D70" s="226" t="s">
        <v>3490</v>
      </c>
      <c r="E70" s="227">
        <f>'Consolidated Financials'!H148-'Consolidated Financials'!G148</f>
        <v>0</v>
      </c>
      <c r="F70" s="227">
        <f>'Consolidated Financials'!I148-'Consolidated Financials'!H148</f>
        <v>0</v>
      </c>
      <c r="G70" s="227">
        <f>'Consolidated Financials'!J148-'Consolidated Financials'!I148</f>
        <v>0</v>
      </c>
      <c r="H70" s="228">
        <f>'Consolidated Financials'!K148-'Consolidated Financials'!J148</f>
        <v>0</v>
      </c>
    </row>
    <row r="71" spans="1:1024" s="125" customFormat="1" ht="29.25" customHeight="1">
      <c r="B71" s="382"/>
      <c r="C71" s="384"/>
      <c r="D71" s="298" t="s">
        <v>3491</v>
      </c>
      <c r="E71" s="212">
        <f>'Consolidated Financials'!H147-'Consolidated Financials'!G147</f>
        <v>34145937</v>
      </c>
      <c r="F71" s="212">
        <f>'Consolidated Financials'!I147-'Consolidated Financials'!H147</f>
        <v>5725407</v>
      </c>
      <c r="G71" s="212">
        <f>'Consolidated Financials'!J147-'Consolidated Financials'!I147</f>
        <v>-39871344</v>
      </c>
      <c r="H71" s="213">
        <f>'Consolidated Financials'!K147-'Consolidated Financials'!J147</f>
        <v>0</v>
      </c>
    </row>
    <row r="72" spans="1:1024" s="125" customFormat="1" ht="12.75">
      <c r="B72" s="382"/>
      <c r="C72" s="285"/>
      <c r="D72" s="226" t="s">
        <v>3492</v>
      </c>
      <c r="E72" s="212">
        <f>'Consolidated Financials'!H151-'Consolidated Financials'!G151</f>
        <v>0</v>
      </c>
      <c r="F72" s="212">
        <f>'Consolidated Financials'!I151-'Consolidated Financials'!H151</f>
        <v>0</v>
      </c>
      <c r="G72" s="212">
        <f>'Consolidated Financials'!J151-'Consolidated Financials'!I151</f>
        <v>0</v>
      </c>
      <c r="H72" s="213">
        <f>'Consolidated Financials'!K151-'Consolidated Financials'!J151</f>
        <v>0</v>
      </c>
    </row>
    <row r="73" spans="1:1024" s="125" customFormat="1" ht="12.75">
      <c r="B73" s="382"/>
      <c r="C73" s="285"/>
      <c r="D73" s="226" t="s">
        <v>3493</v>
      </c>
      <c r="E73" s="212">
        <f>'Consolidated Financials'!H149-'Consolidated Financials'!G149</f>
        <v>0</v>
      </c>
      <c r="F73" s="212">
        <f>'Consolidated Financials'!I149-'Consolidated Financials'!H149</f>
        <v>0</v>
      </c>
      <c r="G73" s="212">
        <f>'Consolidated Financials'!J149-'Consolidated Financials'!I149</f>
        <v>0</v>
      </c>
      <c r="H73" s="213">
        <f>'Consolidated Financials'!K149-'Consolidated Financials'!J149</f>
        <v>0</v>
      </c>
    </row>
    <row r="74" spans="1:1024" s="125" customFormat="1" ht="12.75">
      <c r="B74" s="382"/>
      <c r="C74" s="285"/>
      <c r="D74" s="226" t="s">
        <v>3494</v>
      </c>
      <c r="E74" s="212">
        <f>'Consolidated Financials'!H150-'Consolidated Financials'!G150</f>
        <v>0</v>
      </c>
      <c r="F74" s="212">
        <f>'Consolidated Financials'!I150-'Consolidated Financials'!H150</f>
        <v>0</v>
      </c>
      <c r="G74" s="212">
        <f>'Consolidated Financials'!J150-'Consolidated Financials'!I150</f>
        <v>0</v>
      </c>
      <c r="H74" s="213">
        <f>'Consolidated Financials'!K150-'Consolidated Financials'!J150</f>
        <v>0</v>
      </c>
    </row>
    <row r="75" spans="1:1024" s="125" customFormat="1" ht="12.75">
      <c r="B75" s="382"/>
      <c r="C75" s="768" t="s">
        <v>3495</v>
      </c>
      <c r="D75" s="769"/>
      <c r="E75" s="344">
        <f>SUM(E76:E77)</f>
        <v>164483</v>
      </c>
      <c r="F75" s="344">
        <f>SUM(F76:F77)</f>
        <v>301025</v>
      </c>
      <c r="G75" s="344">
        <f>SUM(G76:G77)</f>
        <v>-458592358</v>
      </c>
      <c r="H75" s="345">
        <f>SUM(H76:H77)</f>
        <v>0</v>
      </c>
    </row>
    <row r="76" spans="1:1024" s="218" customFormat="1" ht="14.25" customHeight="1">
      <c r="B76" s="382"/>
      <c r="C76" s="784"/>
      <c r="D76" s="293" t="s">
        <v>3496</v>
      </c>
      <c r="E76" s="227">
        <f>'Consolidated Financials'!H107-'Consolidated Financials'!G107</f>
        <v>2000000</v>
      </c>
      <c r="F76" s="227">
        <f>'Consolidated Financials'!I107-'Consolidated Financials'!H107</f>
        <v>0</v>
      </c>
      <c r="G76" s="227">
        <f>'Consolidated Financials'!J107-'Consolidated Financials'!I107</f>
        <v>-2100000</v>
      </c>
      <c r="H76" s="228">
        <f>'Consolidated Financials'!K107-'Consolidated Financials'!J107</f>
        <v>0</v>
      </c>
    </row>
    <row r="77" spans="1:1024" s="218" customFormat="1" ht="14.25" customHeight="1">
      <c r="B77" s="382"/>
      <c r="C77" s="785"/>
      <c r="D77" s="293" t="s">
        <v>3497</v>
      </c>
      <c r="E77" s="227">
        <f>'Consolidated Financials'!H113-'Consolidated Financials'!G113-'Consolidated Financials'!H92</f>
        <v>-1835517</v>
      </c>
      <c r="F77" s="227">
        <f>'Consolidated Financials'!I113-'Consolidated Financials'!H113-'Consolidated Financials'!I92</f>
        <v>301025</v>
      </c>
      <c r="G77" s="227">
        <f>'Consolidated Financials'!J113-'Consolidated Financials'!I113-'Consolidated Financials'!J92</f>
        <v>-456492358</v>
      </c>
      <c r="H77" s="228">
        <f>'Consolidated Financials'!K113-'Consolidated Financials'!J113-'Consolidated Financials'!K92</f>
        <v>0</v>
      </c>
    </row>
    <row r="78" spans="1:1024" s="125" customFormat="1" ht="12.75">
      <c r="B78" s="382"/>
      <c r="C78" s="768" t="s">
        <v>3498</v>
      </c>
      <c r="D78" s="769"/>
      <c r="E78" s="344">
        <f>SUM(E79:E83)</f>
        <v>-22321151</v>
      </c>
      <c r="F78" s="344">
        <f>SUM(F79:F83)</f>
        <v>-25669905</v>
      </c>
      <c r="G78" s="344">
        <f>SUM(G79:G83)</f>
        <v>0</v>
      </c>
      <c r="H78" s="345">
        <f>SUM(H79:H83)</f>
        <v>0</v>
      </c>
    </row>
    <row r="79" spans="1:1024" s="125" customFormat="1" ht="12.75">
      <c r="B79" s="382"/>
      <c r="C79" s="381"/>
      <c r="D79" s="226" t="s">
        <v>3499</v>
      </c>
      <c r="E79" s="227">
        <f>-'Consolidated Financials'!H68</f>
        <v>-22321151</v>
      </c>
      <c r="F79" s="227">
        <f>-'Consolidated Financials'!I68</f>
        <v>-25669905</v>
      </c>
      <c r="G79" s="227">
        <f>-'Consolidated Financials'!J68</f>
        <v>0</v>
      </c>
      <c r="H79" s="228">
        <f>-'Consolidated Financials'!K68</f>
        <v>0</v>
      </c>
    </row>
    <row r="80" spans="1:1024" s="125" customFormat="1" ht="12.75">
      <c r="B80" s="382"/>
      <c r="C80" s="293"/>
      <c r="D80" s="226" t="s">
        <v>3500</v>
      </c>
      <c r="E80" s="227">
        <f>-'Consolidated Financials'!H69</f>
        <v>0</v>
      </c>
      <c r="F80" s="227">
        <f>-'Consolidated Financials'!I69</f>
        <v>0</v>
      </c>
      <c r="G80" s="227">
        <f>-'Consolidated Financials'!J69</f>
        <v>0</v>
      </c>
      <c r="H80" s="228">
        <f>-'Consolidated Financials'!K69</f>
        <v>0</v>
      </c>
    </row>
    <row r="81" spans="1:1024" s="125" customFormat="1" ht="12.75">
      <c r="B81" s="382"/>
      <c r="C81" s="293"/>
      <c r="D81" s="226" t="s">
        <v>3501</v>
      </c>
      <c r="E81" s="227">
        <f>-'Consolidated Financials'!H70</f>
        <v>0</v>
      </c>
      <c r="F81" s="227">
        <f>-'Consolidated Financials'!I70</f>
        <v>0</v>
      </c>
      <c r="G81" s="227">
        <f>-'Consolidated Financials'!J70</f>
        <v>0</v>
      </c>
      <c r="H81" s="228">
        <f>-'Consolidated Financials'!K70</f>
        <v>0</v>
      </c>
    </row>
    <row r="82" spans="1:1024" s="125" customFormat="1" ht="12.75">
      <c r="B82" s="382"/>
      <c r="C82" s="293"/>
      <c r="D82" s="226" t="s">
        <v>3502</v>
      </c>
      <c r="E82" s="227">
        <f>-'Consolidated Financials'!H71</f>
        <v>0</v>
      </c>
      <c r="F82" s="227">
        <f>-'Consolidated Financials'!I71</f>
        <v>0</v>
      </c>
      <c r="G82" s="227">
        <f>-'Consolidated Financials'!J71</f>
        <v>0</v>
      </c>
      <c r="H82" s="228">
        <f>-'Consolidated Financials'!K71</f>
        <v>0</v>
      </c>
    </row>
    <row r="83" spans="1:1024" s="125" customFormat="1" ht="12.75">
      <c r="B83" s="382"/>
      <c r="C83" s="293"/>
      <c r="D83" s="226" t="s">
        <v>3503</v>
      </c>
      <c r="E83" s="227">
        <f>-'Consolidated Financials'!H72</f>
        <v>0</v>
      </c>
      <c r="F83" s="227">
        <f>-'Consolidated Financials'!I72</f>
        <v>0</v>
      </c>
      <c r="G83" s="227">
        <f>-'Consolidated Financials'!J72</f>
        <v>0</v>
      </c>
      <c r="H83" s="228">
        <f>-'Consolidated Financials'!K72</f>
        <v>0</v>
      </c>
    </row>
    <row r="84" spans="1:1024" ht="17.25" customHeight="1">
      <c r="A84" s="368"/>
      <c r="B84" s="781" t="s">
        <v>3504</v>
      </c>
      <c r="C84" s="782"/>
      <c r="D84" s="783"/>
      <c r="E84" s="379">
        <f>SUM(E59,E67,E75,E78)</f>
        <v>76923552</v>
      </c>
      <c r="F84" s="379">
        <f>SUM(F59,F67,F75,F78)</f>
        <v>47094413</v>
      </c>
      <c r="G84" s="379">
        <f>SUM(G59,G67,G75,G78)</f>
        <v>-738350925</v>
      </c>
      <c r="H84" s="380">
        <f>SUM(H59,H67,H75,H78)</f>
        <v>0</v>
      </c>
      <c r="I84" s="368"/>
      <c r="J84" s="368"/>
      <c r="K84" s="368"/>
      <c r="L84" s="368"/>
      <c r="M84" s="368"/>
      <c r="N84" s="368"/>
      <c r="O84" s="368"/>
      <c r="P84" s="368"/>
      <c r="Q84" s="368"/>
      <c r="R84" s="368"/>
      <c r="S84" s="368"/>
      <c r="T84" s="368"/>
      <c r="U84" s="368"/>
      <c r="V84" s="368"/>
      <c r="W84" s="368"/>
      <c r="X84" s="368"/>
      <c r="Y84" s="368"/>
      <c r="Z84" s="368"/>
      <c r="AA84" s="368"/>
      <c r="AB84" s="368"/>
      <c r="AC84" s="368"/>
      <c r="AD84" s="368"/>
      <c r="AE84" s="368"/>
      <c r="AF84" s="368"/>
      <c r="AG84" s="368"/>
      <c r="AH84" s="368"/>
      <c r="AI84" s="368"/>
      <c r="AJ84" s="368"/>
      <c r="AK84" s="368"/>
      <c r="AL84" s="368"/>
      <c r="AM84" s="368"/>
      <c r="AN84" s="368"/>
      <c r="AO84" s="368"/>
      <c r="AP84" s="368"/>
      <c r="AQ84" s="368"/>
      <c r="AR84" s="368"/>
      <c r="AS84" s="368"/>
      <c r="AT84" s="368"/>
      <c r="AU84" s="368"/>
      <c r="AV84" s="368"/>
      <c r="AW84" s="368"/>
      <c r="AX84" s="368"/>
      <c r="AY84" s="368"/>
      <c r="AZ84" s="368"/>
      <c r="BA84" s="368"/>
      <c r="BB84" s="368"/>
      <c r="BC84" s="368"/>
      <c r="BD84" s="368"/>
      <c r="BE84" s="368"/>
      <c r="BF84" s="368"/>
      <c r="BG84" s="368"/>
      <c r="BH84" s="368"/>
      <c r="BI84" s="368"/>
      <c r="BJ84" s="368"/>
      <c r="BK84" s="368"/>
      <c r="BL84" s="368"/>
      <c r="BM84" s="368"/>
      <c r="BN84" s="368"/>
      <c r="BO84" s="368"/>
      <c r="BP84" s="368"/>
      <c r="BQ84" s="368"/>
      <c r="BR84" s="368"/>
      <c r="BS84" s="368"/>
      <c r="BT84" s="368"/>
      <c r="BU84" s="368"/>
      <c r="BV84" s="368"/>
      <c r="BW84" s="368"/>
      <c r="BX84" s="368"/>
      <c r="BY84" s="368"/>
      <c r="BZ84" s="368"/>
      <c r="CA84" s="368"/>
      <c r="CB84" s="368"/>
      <c r="CC84" s="368"/>
      <c r="CD84" s="368"/>
      <c r="CE84" s="368"/>
      <c r="CF84" s="368"/>
      <c r="CG84" s="368"/>
      <c r="CH84" s="368"/>
      <c r="CI84" s="368"/>
      <c r="CJ84" s="368"/>
      <c r="CK84" s="368"/>
      <c r="CL84" s="368"/>
      <c r="CM84" s="368"/>
      <c r="CN84" s="368"/>
      <c r="CO84" s="368"/>
      <c r="CP84" s="368"/>
      <c r="CQ84" s="368"/>
      <c r="CR84" s="368"/>
      <c r="CS84" s="368"/>
      <c r="CT84" s="368"/>
      <c r="CU84" s="368"/>
      <c r="CV84" s="368"/>
      <c r="CW84" s="368"/>
      <c r="CX84" s="368"/>
      <c r="CY84" s="368"/>
      <c r="CZ84" s="368"/>
      <c r="DA84" s="368"/>
      <c r="DB84" s="368"/>
      <c r="DC84" s="368"/>
      <c r="DD84" s="368"/>
      <c r="DE84" s="368"/>
      <c r="DF84" s="368"/>
      <c r="DG84" s="368"/>
      <c r="DH84" s="368"/>
      <c r="DI84" s="368"/>
      <c r="DJ84" s="368"/>
      <c r="DK84" s="368"/>
      <c r="DL84" s="368"/>
      <c r="DM84" s="368"/>
      <c r="DN84" s="368"/>
      <c r="DO84" s="368"/>
      <c r="DP84" s="368"/>
      <c r="DQ84" s="368"/>
      <c r="DR84" s="368"/>
      <c r="DS84" s="368"/>
      <c r="DT84" s="368"/>
      <c r="DU84" s="368"/>
      <c r="DV84" s="368"/>
      <c r="DW84" s="368"/>
      <c r="DX84" s="368"/>
      <c r="DY84" s="368"/>
      <c r="DZ84" s="368"/>
      <c r="EA84" s="368"/>
      <c r="EB84" s="368"/>
      <c r="EC84" s="368"/>
      <c r="ED84" s="368"/>
      <c r="EE84" s="368"/>
      <c r="EF84" s="368"/>
      <c r="EG84" s="368"/>
      <c r="EH84" s="368"/>
      <c r="EI84" s="368"/>
      <c r="EJ84" s="368"/>
      <c r="EK84" s="368"/>
      <c r="EL84" s="368"/>
      <c r="EM84" s="368"/>
      <c r="EN84" s="368"/>
      <c r="EO84" s="368"/>
      <c r="EP84" s="368"/>
      <c r="EQ84" s="368"/>
      <c r="ER84" s="368"/>
      <c r="ES84" s="368"/>
      <c r="ET84" s="368"/>
      <c r="EU84" s="368"/>
      <c r="EV84" s="368"/>
      <c r="EW84" s="368"/>
      <c r="EX84" s="368"/>
      <c r="EY84" s="368"/>
      <c r="EZ84" s="368"/>
      <c r="FA84" s="368"/>
      <c r="FB84" s="368"/>
      <c r="FC84" s="368"/>
      <c r="FD84" s="368"/>
      <c r="FE84" s="368"/>
      <c r="FF84" s="368"/>
      <c r="FG84" s="368"/>
      <c r="FH84" s="368"/>
      <c r="FI84" s="368"/>
      <c r="FJ84" s="368"/>
      <c r="FK84" s="368"/>
      <c r="FL84" s="368"/>
      <c r="FM84" s="368"/>
      <c r="FN84" s="368"/>
      <c r="FO84" s="368"/>
      <c r="FP84" s="368"/>
      <c r="FQ84" s="368"/>
      <c r="FR84" s="368"/>
      <c r="FS84" s="368"/>
      <c r="FT84" s="368"/>
      <c r="FU84" s="368"/>
      <c r="FV84" s="368"/>
      <c r="FW84" s="368"/>
      <c r="FX84" s="368"/>
      <c r="FY84" s="368"/>
      <c r="FZ84" s="368"/>
      <c r="GA84" s="368"/>
      <c r="GB84" s="368"/>
      <c r="GC84" s="368"/>
      <c r="GD84" s="368"/>
      <c r="GE84" s="368"/>
      <c r="GF84" s="368"/>
      <c r="GG84" s="368"/>
      <c r="GH84" s="368"/>
      <c r="GI84" s="368"/>
      <c r="GJ84" s="368"/>
      <c r="GK84" s="368"/>
      <c r="GL84" s="368"/>
      <c r="GM84" s="368"/>
      <c r="GN84" s="368"/>
      <c r="GO84" s="368"/>
      <c r="GP84" s="368"/>
      <c r="GQ84" s="368"/>
      <c r="GR84" s="368"/>
      <c r="GS84" s="368"/>
      <c r="GT84" s="368"/>
      <c r="GU84" s="368"/>
      <c r="GV84" s="368"/>
      <c r="GW84" s="368"/>
      <c r="GX84" s="368"/>
      <c r="GY84" s="368"/>
      <c r="GZ84" s="368"/>
      <c r="HA84" s="368"/>
      <c r="HB84" s="368"/>
      <c r="HC84" s="368"/>
      <c r="HD84" s="368"/>
      <c r="HE84" s="368"/>
      <c r="HF84" s="368"/>
      <c r="HG84" s="368"/>
      <c r="HH84" s="368"/>
      <c r="HI84" s="368"/>
      <c r="HJ84" s="368"/>
      <c r="HK84" s="368"/>
      <c r="HL84" s="368"/>
      <c r="HM84" s="368"/>
      <c r="HN84" s="368"/>
      <c r="HO84" s="368"/>
      <c r="HP84" s="368"/>
      <c r="HQ84" s="368"/>
      <c r="HR84" s="368"/>
      <c r="HS84" s="368"/>
      <c r="HT84" s="368"/>
      <c r="HU84" s="368"/>
      <c r="HV84" s="368"/>
      <c r="HW84" s="368"/>
      <c r="HX84" s="368"/>
      <c r="HY84" s="368"/>
      <c r="HZ84" s="368"/>
      <c r="IA84" s="368"/>
      <c r="IB84" s="368"/>
      <c r="IC84" s="368"/>
      <c r="ID84" s="368"/>
      <c r="IE84" s="368"/>
      <c r="IF84" s="368"/>
      <c r="IG84" s="368"/>
      <c r="IH84" s="368"/>
      <c r="II84" s="368"/>
      <c r="IJ84" s="368"/>
      <c r="IK84" s="368"/>
      <c r="IL84" s="368"/>
      <c r="IM84" s="368"/>
      <c r="IN84" s="368"/>
      <c r="IO84" s="368"/>
      <c r="IP84" s="368"/>
      <c r="IQ84" s="368"/>
      <c r="IR84" s="368"/>
      <c r="IS84" s="368"/>
      <c r="IT84" s="368"/>
      <c r="IU84" s="368"/>
      <c r="IV84" s="368"/>
      <c r="IW84" s="368"/>
      <c r="IX84" s="368"/>
      <c r="IY84" s="368"/>
      <c r="IZ84" s="368"/>
      <c r="JA84" s="368"/>
      <c r="JB84" s="368"/>
      <c r="JC84" s="368"/>
      <c r="JD84" s="368"/>
      <c r="JE84" s="368"/>
      <c r="JF84" s="368"/>
      <c r="JG84" s="368"/>
      <c r="JH84" s="368"/>
      <c r="JI84" s="368"/>
      <c r="JJ84" s="368"/>
      <c r="JK84" s="368"/>
      <c r="JL84" s="368"/>
      <c r="JM84" s="368"/>
      <c r="JN84" s="368"/>
      <c r="JO84" s="368"/>
      <c r="JP84" s="368"/>
      <c r="JQ84" s="368"/>
      <c r="JR84" s="368"/>
      <c r="JS84" s="368"/>
      <c r="JT84" s="368"/>
      <c r="JU84" s="368"/>
      <c r="JV84" s="368"/>
      <c r="JW84" s="368"/>
      <c r="JX84" s="368"/>
      <c r="JY84" s="368"/>
      <c r="JZ84" s="368"/>
      <c r="KA84" s="368"/>
      <c r="KB84" s="368"/>
      <c r="KC84" s="368"/>
      <c r="KD84" s="368"/>
      <c r="KE84" s="368"/>
      <c r="KF84" s="368"/>
      <c r="KG84" s="368"/>
      <c r="KH84" s="368"/>
      <c r="KI84" s="368"/>
      <c r="KJ84" s="368"/>
      <c r="KK84" s="368"/>
      <c r="KL84" s="368"/>
      <c r="KM84" s="368"/>
      <c r="KN84" s="368"/>
      <c r="KO84" s="368"/>
      <c r="KP84" s="368"/>
      <c r="KQ84" s="368"/>
      <c r="KR84" s="368"/>
      <c r="KS84" s="368"/>
      <c r="KT84" s="368"/>
      <c r="KU84" s="368"/>
      <c r="KV84" s="368"/>
      <c r="KW84" s="368"/>
      <c r="KX84" s="368"/>
      <c r="KY84" s="368"/>
      <c r="KZ84" s="368"/>
      <c r="LA84" s="368"/>
      <c r="LB84" s="368"/>
      <c r="LC84" s="368"/>
      <c r="LD84" s="368"/>
      <c r="LE84" s="368"/>
      <c r="LF84" s="368"/>
      <c r="LG84" s="368"/>
      <c r="LH84" s="368"/>
      <c r="LI84" s="368"/>
      <c r="LJ84" s="368"/>
      <c r="LK84" s="368"/>
      <c r="LL84" s="368"/>
      <c r="LM84" s="368"/>
      <c r="LN84" s="368"/>
      <c r="LO84" s="368"/>
      <c r="LP84" s="368"/>
      <c r="LQ84" s="368"/>
      <c r="LR84" s="368"/>
      <c r="LS84" s="368"/>
      <c r="LT84" s="368"/>
      <c r="LU84" s="368"/>
      <c r="LV84" s="368"/>
      <c r="LW84" s="368"/>
      <c r="LX84" s="368"/>
      <c r="LY84" s="368"/>
      <c r="LZ84" s="368"/>
      <c r="MA84" s="368"/>
      <c r="MB84" s="368"/>
      <c r="MC84" s="368"/>
      <c r="MD84" s="368"/>
      <c r="ME84" s="368"/>
      <c r="MF84" s="368"/>
      <c r="MG84" s="368"/>
      <c r="MH84" s="368"/>
      <c r="MI84" s="368"/>
      <c r="MJ84" s="368"/>
      <c r="MK84" s="368"/>
      <c r="ML84" s="368"/>
      <c r="MM84" s="368"/>
      <c r="MN84" s="368"/>
      <c r="MO84" s="368"/>
      <c r="MP84" s="368"/>
      <c r="MQ84" s="368"/>
      <c r="MR84" s="368"/>
      <c r="MS84" s="368"/>
      <c r="MT84" s="368"/>
      <c r="MU84" s="368"/>
      <c r="MV84" s="368"/>
      <c r="MW84" s="368"/>
      <c r="MX84" s="368"/>
      <c r="MY84" s="368"/>
      <c r="MZ84" s="368"/>
      <c r="NA84" s="368"/>
      <c r="NB84" s="368"/>
      <c r="NC84" s="368"/>
      <c r="ND84" s="368"/>
      <c r="NE84" s="368"/>
      <c r="NF84" s="368"/>
      <c r="NG84" s="368"/>
      <c r="NH84" s="368"/>
      <c r="NI84" s="368"/>
      <c r="NJ84" s="368"/>
      <c r="NK84" s="368"/>
      <c r="NL84" s="368"/>
      <c r="NM84" s="368"/>
      <c r="NN84" s="368"/>
      <c r="NO84" s="368"/>
      <c r="NP84" s="368"/>
      <c r="NQ84" s="368"/>
      <c r="NR84" s="368"/>
      <c r="NS84" s="368"/>
      <c r="NT84" s="368"/>
      <c r="NU84" s="368"/>
      <c r="NV84" s="368"/>
      <c r="NW84" s="368"/>
      <c r="NX84" s="368"/>
      <c r="NY84" s="368"/>
      <c r="NZ84" s="368"/>
      <c r="OA84" s="368"/>
      <c r="OB84" s="368"/>
      <c r="OC84" s="368"/>
      <c r="OD84" s="368"/>
      <c r="OE84" s="368"/>
      <c r="OF84" s="368"/>
      <c r="OG84" s="368"/>
      <c r="OH84" s="368"/>
      <c r="OI84" s="368"/>
      <c r="OJ84" s="368"/>
      <c r="OK84" s="368"/>
      <c r="OL84" s="368"/>
      <c r="OM84" s="368"/>
      <c r="ON84" s="368"/>
      <c r="OO84" s="368"/>
      <c r="OP84" s="368"/>
      <c r="OQ84" s="368"/>
      <c r="OR84" s="368"/>
      <c r="OS84" s="368"/>
      <c r="OT84" s="368"/>
      <c r="OU84" s="368"/>
      <c r="OV84" s="368"/>
      <c r="OW84" s="368"/>
      <c r="OX84" s="368"/>
      <c r="OY84" s="368"/>
      <c r="OZ84" s="368"/>
      <c r="PA84" s="368"/>
      <c r="PB84" s="368"/>
      <c r="PC84" s="368"/>
      <c r="PD84" s="368"/>
      <c r="PE84" s="368"/>
      <c r="PF84" s="368"/>
      <c r="PG84" s="368"/>
      <c r="PH84" s="368"/>
      <c r="PI84" s="368"/>
      <c r="PJ84" s="368"/>
      <c r="PK84" s="368"/>
      <c r="PL84" s="368"/>
      <c r="PM84" s="368"/>
      <c r="PN84" s="368"/>
      <c r="PO84" s="368"/>
      <c r="PP84" s="368"/>
      <c r="PQ84" s="368"/>
      <c r="PR84" s="368"/>
      <c r="PS84" s="368"/>
      <c r="PT84" s="368"/>
      <c r="PU84" s="368"/>
      <c r="PV84" s="368"/>
      <c r="PW84" s="368"/>
      <c r="PX84" s="368"/>
      <c r="PY84" s="368"/>
      <c r="PZ84" s="368"/>
      <c r="QA84" s="368"/>
      <c r="QB84" s="368"/>
      <c r="QC84" s="368"/>
      <c r="QD84" s="368"/>
      <c r="QE84" s="368"/>
      <c r="QF84" s="368"/>
      <c r="QG84" s="368"/>
      <c r="QH84" s="368"/>
      <c r="QI84" s="368"/>
      <c r="QJ84" s="368"/>
      <c r="QK84" s="368"/>
      <c r="QL84" s="368"/>
      <c r="QM84" s="368"/>
      <c r="QN84" s="368"/>
      <c r="QO84" s="368"/>
      <c r="QP84" s="368"/>
      <c r="QQ84" s="368"/>
      <c r="QR84" s="368"/>
      <c r="QS84" s="368"/>
      <c r="QT84" s="368"/>
      <c r="QU84" s="368"/>
      <c r="QV84" s="368"/>
      <c r="QW84" s="368"/>
      <c r="QX84" s="368"/>
      <c r="QY84" s="368"/>
      <c r="QZ84" s="368"/>
      <c r="RA84" s="368"/>
      <c r="RB84" s="368"/>
      <c r="RC84" s="368"/>
      <c r="RD84" s="368"/>
      <c r="RE84" s="368"/>
      <c r="RF84" s="368"/>
      <c r="RG84" s="368"/>
      <c r="RH84" s="368"/>
      <c r="RI84" s="368"/>
      <c r="RJ84" s="368"/>
      <c r="RK84" s="368"/>
      <c r="RL84" s="368"/>
      <c r="RM84" s="368"/>
      <c r="RN84" s="368"/>
      <c r="RO84" s="368"/>
      <c r="RP84" s="368"/>
      <c r="RQ84" s="368"/>
      <c r="RR84" s="368"/>
      <c r="RS84" s="368"/>
      <c r="RT84" s="368"/>
      <c r="RU84" s="368"/>
      <c r="RV84" s="368"/>
      <c r="RW84" s="368"/>
      <c r="RX84" s="368"/>
      <c r="RY84" s="368"/>
      <c r="RZ84" s="368"/>
      <c r="SA84" s="368"/>
      <c r="SB84" s="368"/>
      <c r="SC84" s="368"/>
      <c r="SD84" s="368"/>
      <c r="SE84" s="368"/>
      <c r="SF84" s="368"/>
      <c r="SG84" s="368"/>
      <c r="SH84" s="368"/>
      <c r="SI84" s="368"/>
      <c r="SJ84" s="368"/>
      <c r="SK84" s="368"/>
      <c r="SL84" s="368"/>
      <c r="SM84" s="368"/>
      <c r="SN84" s="368"/>
      <c r="SO84" s="368"/>
      <c r="SP84" s="368"/>
      <c r="SQ84" s="368"/>
      <c r="SR84" s="368"/>
      <c r="SS84" s="368"/>
      <c r="ST84" s="368"/>
      <c r="SU84" s="368"/>
      <c r="SV84" s="368"/>
      <c r="SW84" s="368"/>
      <c r="SX84" s="368"/>
      <c r="SY84" s="368"/>
      <c r="SZ84" s="368"/>
      <c r="TA84" s="368"/>
      <c r="TB84" s="368"/>
      <c r="TC84" s="368"/>
      <c r="TD84" s="368"/>
      <c r="TE84" s="368"/>
      <c r="TF84" s="368"/>
      <c r="TG84" s="368"/>
      <c r="TH84" s="368"/>
      <c r="TI84" s="368"/>
      <c r="TJ84" s="368"/>
      <c r="TK84" s="368"/>
      <c r="TL84" s="368"/>
      <c r="TM84" s="368"/>
      <c r="TN84" s="368"/>
      <c r="TO84" s="368"/>
      <c r="TP84" s="368"/>
      <c r="TQ84" s="368"/>
      <c r="TR84" s="368"/>
      <c r="TS84" s="368"/>
      <c r="TT84" s="368"/>
      <c r="TU84" s="368"/>
      <c r="TV84" s="368"/>
      <c r="TW84" s="368"/>
      <c r="TX84" s="368"/>
      <c r="TY84" s="368"/>
      <c r="TZ84" s="368"/>
      <c r="UA84" s="368"/>
      <c r="UB84" s="368"/>
      <c r="UC84" s="368"/>
      <c r="UD84" s="368"/>
      <c r="UE84" s="368"/>
      <c r="UF84" s="368"/>
      <c r="UG84" s="368"/>
      <c r="UH84" s="368"/>
      <c r="UI84" s="368"/>
      <c r="UJ84" s="368"/>
      <c r="UK84" s="368"/>
      <c r="UL84" s="368"/>
      <c r="UM84" s="368"/>
      <c r="UN84" s="368"/>
      <c r="UO84" s="368"/>
      <c r="UP84" s="368"/>
      <c r="UQ84" s="368"/>
      <c r="UR84" s="368"/>
      <c r="US84" s="368"/>
      <c r="UT84" s="368"/>
      <c r="UU84" s="368"/>
      <c r="UV84" s="368"/>
      <c r="UW84" s="368"/>
      <c r="UX84" s="368"/>
      <c r="UY84" s="368"/>
      <c r="UZ84" s="368"/>
      <c r="VA84" s="368"/>
      <c r="VB84" s="368"/>
      <c r="VC84" s="368"/>
      <c r="VD84" s="368"/>
      <c r="VE84" s="368"/>
      <c r="VF84" s="368"/>
      <c r="VG84" s="368"/>
      <c r="VH84" s="368"/>
      <c r="VI84" s="368"/>
      <c r="VJ84" s="368"/>
      <c r="VK84" s="368"/>
      <c r="VL84" s="368"/>
      <c r="VM84" s="368"/>
      <c r="VN84" s="368"/>
      <c r="VO84" s="368"/>
      <c r="VP84" s="368"/>
      <c r="VQ84" s="368"/>
      <c r="VR84" s="368"/>
      <c r="VS84" s="368"/>
      <c r="VT84" s="368"/>
      <c r="VU84" s="368"/>
      <c r="VV84" s="368"/>
      <c r="VW84" s="368"/>
      <c r="VX84" s="368"/>
      <c r="VY84" s="368"/>
      <c r="VZ84" s="368"/>
      <c r="WA84" s="368"/>
      <c r="WB84" s="368"/>
      <c r="WC84" s="368"/>
      <c r="WD84" s="368"/>
      <c r="WE84" s="368"/>
      <c r="WF84" s="368"/>
      <c r="WG84" s="368"/>
      <c r="WH84" s="368"/>
      <c r="WI84" s="368"/>
      <c r="WJ84" s="368"/>
      <c r="WK84" s="368"/>
      <c r="WL84" s="368"/>
      <c r="WM84" s="368"/>
      <c r="WN84" s="368"/>
      <c r="WO84" s="368"/>
      <c r="WP84" s="368"/>
      <c r="WQ84" s="368"/>
      <c r="WR84" s="368"/>
      <c r="WS84" s="368"/>
      <c r="WT84" s="368"/>
      <c r="WU84" s="368"/>
      <c r="WV84" s="368"/>
      <c r="WW84" s="368"/>
      <c r="WX84" s="368"/>
      <c r="WY84" s="368"/>
      <c r="WZ84" s="368"/>
      <c r="XA84" s="368"/>
      <c r="XB84" s="368"/>
      <c r="XC84" s="368"/>
      <c r="XD84" s="368"/>
      <c r="XE84" s="368"/>
      <c r="XF84" s="368"/>
      <c r="XG84" s="368"/>
      <c r="XH84" s="368"/>
      <c r="XI84" s="368"/>
      <c r="XJ84" s="368"/>
      <c r="XK84" s="368"/>
      <c r="XL84" s="368"/>
      <c r="XM84" s="368"/>
      <c r="XN84" s="368"/>
      <c r="XO84" s="368"/>
      <c r="XP84" s="368"/>
      <c r="XQ84" s="368"/>
      <c r="XR84" s="368"/>
      <c r="XS84" s="368"/>
      <c r="XT84" s="368"/>
      <c r="XU84" s="368"/>
      <c r="XV84" s="368"/>
      <c r="XW84" s="368"/>
      <c r="XX84" s="368"/>
      <c r="XY84" s="368"/>
      <c r="XZ84" s="368"/>
      <c r="YA84" s="368"/>
      <c r="YB84" s="368"/>
      <c r="YC84" s="368"/>
      <c r="YD84" s="368"/>
      <c r="YE84" s="368"/>
      <c r="YF84" s="368"/>
      <c r="YG84" s="368"/>
      <c r="YH84" s="368"/>
      <c r="YI84" s="368"/>
      <c r="YJ84" s="368"/>
      <c r="YK84" s="368"/>
      <c r="YL84" s="368"/>
      <c r="YM84" s="368"/>
      <c r="YN84" s="368"/>
      <c r="YO84" s="368"/>
      <c r="YP84" s="368"/>
      <c r="YQ84" s="368"/>
      <c r="YR84" s="368"/>
      <c r="YS84" s="368"/>
      <c r="YT84" s="368"/>
      <c r="YU84" s="368"/>
      <c r="YV84" s="368"/>
      <c r="YW84" s="368"/>
      <c r="YX84" s="368"/>
      <c r="YY84" s="368"/>
      <c r="YZ84" s="368"/>
      <c r="ZA84" s="368"/>
      <c r="ZB84" s="368"/>
      <c r="ZC84" s="368"/>
      <c r="ZD84" s="368"/>
      <c r="ZE84" s="368"/>
      <c r="ZF84" s="368"/>
      <c r="ZG84" s="368"/>
      <c r="ZH84" s="368"/>
      <c r="ZI84" s="368"/>
      <c r="ZJ84" s="368"/>
      <c r="ZK84" s="368"/>
      <c r="ZL84" s="368"/>
      <c r="ZM84" s="368"/>
      <c r="ZN84" s="368"/>
      <c r="ZO84" s="368"/>
      <c r="ZP84" s="368"/>
      <c r="ZQ84" s="368"/>
      <c r="ZR84" s="368"/>
      <c r="ZS84" s="368"/>
      <c r="ZT84" s="368"/>
      <c r="ZU84" s="368"/>
      <c r="ZV84" s="368"/>
      <c r="ZW84" s="368"/>
      <c r="ZX84" s="368"/>
      <c r="ZY84" s="368"/>
      <c r="ZZ84" s="368"/>
      <c r="AAA84" s="368"/>
      <c r="AAB84" s="368"/>
      <c r="AAC84" s="368"/>
      <c r="AAD84" s="368"/>
      <c r="AAE84" s="368"/>
      <c r="AAF84" s="368"/>
      <c r="AAG84" s="368"/>
      <c r="AAH84" s="368"/>
      <c r="AAI84" s="368"/>
      <c r="AAJ84" s="368"/>
      <c r="AAK84" s="368"/>
      <c r="AAL84" s="368"/>
      <c r="AAM84" s="368"/>
      <c r="AAN84" s="368"/>
      <c r="AAO84" s="368"/>
      <c r="AAP84" s="368"/>
      <c r="AAQ84" s="368"/>
      <c r="AAR84" s="368"/>
      <c r="AAS84" s="368"/>
      <c r="AAT84" s="368"/>
      <c r="AAU84" s="368"/>
      <c r="AAV84" s="368"/>
      <c r="AAW84" s="368"/>
      <c r="AAX84" s="368"/>
      <c r="AAY84" s="368"/>
      <c r="AAZ84" s="368"/>
      <c r="ABA84" s="368"/>
      <c r="ABB84" s="368"/>
      <c r="ABC84" s="368"/>
      <c r="ABD84" s="368"/>
      <c r="ABE84" s="368"/>
      <c r="ABF84" s="368"/>
      <c r="ABG84" s="368"/>
      <c r="ABH84" s="368"/>
      <c r="ABI84" s="368"/>
      <c r="ABJ84" s="368"/>
      <c r="ABK84" s="368"/>
      <c r="ABL84" s="368"/>
      <c r="ABM84" s="368"/>
      <c r="ABN84" s="368"/>
      <c r="ABO84" s="368"/>
      <c r="ABP84" s="368"/>
      <c r="ABQ84" s="368"/>
      <c r="ABR84" s="368"/>
      <c r="ABS84" s="368"/>
      <c r="ABT84" s="368"/>
      <c r="ABU84" s="368"/>
      <c r="ABV84" s="368"/>
      <c r="ABW84" s="368"/>
      <c r="ABX84" s="368"/>
      <c r="ABY84" s="368"/>
      <c r="ABZ84" s="368"/>
      <c r="ACA84" s="368"/>
      <c r="ACB84" s="368"/>
      <c r="ACC84" s="368"/>
      <c r="ACD84" s="368"/>
      <c r="ACE84" s="368"/>
      <c r="ACF84" s="368"/>
      <c r="ACG84" s="368"/>
      <c r="ACH84" s="368"/>
      <c r="ACI84" s="368"/>
      <c r="ACJ84" s="368"/>
      <c r="ACK84" s="368"/>
      <c r="ACL84" s="368"/>
      <c r="ACM84" s="368"/>
      <c r="ACN84" s="368"/>
      <c r="ACO84" s="368"/>
      <c r="ACP84" s="368"/>
      <c r="ACQ84" s="368"/>
      <c r="ACR84" s="368"/>
      <c r="ACS84" s="368"/>
      <c r="ACT84" s="368"/>
      <c r="ACU84" s="368"/>
      <c r="ACV84" s="368"/>
      <c r="ACW84" s="368"/>
      <c r="ACX84" s="368"/>
      <c r="ACY84" s="368"/>
      <c r="ACZ84" s="368"/>
      <c r="ADA84" s="368"/>
      <c r="ADB84" s="368"/>
      <c r="ADC84" s="368"/>
      <c r="ADD84" s="368"/>
      <c r="ADE84" s="368"/>
      <c r="ADF84" s="368"/>
      <c r="ADG84" s="368"/>
      <c r="ADH84" s="368"/>
      <c r="ADI84" s="368"/>
      <c r="ADJ84" s="368"/>
      <c r="ADK84" s="368"/>
      <c r="ADL84" s="368"/>
      <c r="ADM84" s="368"/>
      <c r="ADN84" s="368"/>
      <c r="ADO84" s="368"/>
      <c r="ADP84" s="368"/>
      <c r="ADQ84" s="368"/>
      <c r="ADR84" s="368"/>
      <c r="ADS84" s="368"/>
      <c r="ADT84" s="368"/>
      <c r="ADU84" s="368"/>
      <c r="ADV84" s="368"/>
      <c r="ADW84" s="368"/>
      <c r="ADX84" s="368"/>
      <c r="ADY84" s="368"/>
      <c r="ADZ84" s="368"/>
      <c r="AEA84" s="368"/>
      <c r="AEB84" s="368"/>
      <c r="AEC84" s="368"/>
      <c r="AED84" s="368"/>
      <c r="AEE84" s="368"/>
      <c r="AEF84" s="368"/>
      <c r="AEG84" s="368"/>
      <c r="AEH84" s="368"/>
      <c r="AEI84" s="368"/>
      <c r="AEJ84" s="368"/>
      <c r="AEK84" s="368"/>
      <c r="AEL84" s="368"/>
      <c r="AEM84" s="368"/>
      <c r="AEN84" s="368"/>
      <c r="AEO84" s="368"/>
      <c r="AEP84" s="368"/>
      <c r="AEQ84" s="368"/>
      <c r="AER84" s="368"/>
      <c r="AES84" s="368"/>
      <c r="AET84" s="368"/>
      <c r="AEU84" s="368"/>
      <c r="AEV84" s="368"/>
      <c r="AEW84" s="368"/>
      <c r="AEX84" s="368"/>
      <c r="AEY84" s="368"/>
      <c r="AEZ84" s="368"/>
      <c r="AFA84" s="368"/>
      <c r="AFB84" s="368"/>
      <c r="AFC84" s="368"/>
      <c r="AFD84" s="368"/>
      <c r="AFE84" s="368"/>
      <c r="AFF84" s="368"/>
      <c r="AFG84" s="368"/>
      <c r="AFH84" s="368"/>
      <c r="AFI84" s="368"/>
      <c r="AFJ84" s="368"/>
      <c r="AFK84" s="368"/>
      <c r="AFL84" s="368"/>
      <c r="AFM84" s="368"/>
      <c r="AFN84" s="368"/>
      <c r="AFO84" s="368"/>
      <c r="AFP84" s="368"/>
      <c r="AFQ84" s="368"/>
      <c r="AFR84" s="368"/>
      <c r="AFS84" s="368"/>
      <c r="AFT84" s="368"/>
      <c r="AFU84" s="368"/>
      <c r="AFV84" s="368"/>
      <c r="AFW84" s="368"/>
      <c r="AFX84" s="368"/>
      <c r="AFY84" s="368"/>
      <c r="AFZ84" s="368"/>
      <c r="AGA84" s="368"/>
      <c r="AGB84" s="368"/>
      <c r="AGC84" s="368"/>
      <c r="AGD84" s="368"/>
      <c r="AGE84" s="368"/>
      <c r="AGF84" s="368"/>
      <c r="AGG84" s="368"/>
      <c r="AGH84" s="368"/>
      <c r="AGI84" s="368"/>
      <c r="AGJ84" s="368"/>
      <c r="AGK84" s="368"/>
      <c r="AGL84" s="368"/>
      <c r="AGM84" s="368"/>
      <c r="AGN84" s="368"/>
      <c r="AGO84" s="368"/>
      <c r="AGP84" s="368"/>
      <c r="AGQ84" s="368"/>
      <c r="AGR84" s="368"/>
      <c r="AGS84" s="368"/>
      <c r="AGT84" s="368"/>
      <c r="AGU84" s="368"/>
      <c r="AGV84" s="368"/>
      <c r="AGW84" s="368"/>
      <c r="AGX84" s="368"/>
      <c r="AGY84" s="368"/>
      <c r="AGZ84" s="368"/>
      <c r="AHA84" s="368"/>
      <c r="AHB84" s="368"/>
      <c r="AHC84" s="368"/>
      <c r="AHD84" s="368"/>
      <c r="AHE84" s="368"/>
      <c r="AHF84" s="368"/>
      <c r="AHG84" s="368"/>
      <c r="AHH84" s="368"/>
      <c r="AHI84" s="368"/>
      <c r="AHJ84" s="368"/>
      <c r="AHK84" s="368"/>
      <c r="AHL84" s="368"/>
      <c r="AHM84" s="368"/>
      <c r="AHN84" s="368"/>
      <c r="AHO84" s="368"/>
      <c r="AHP84" s="368"/>
      <c r="AHQ84" s="368"/>
      <c r="AHR84" s="368"/>
      <c r="AHS84" s="368"/>
      <c r="AHT84" s="368"/>
      <c r="AHU84" s="368"/>
      <c r="AHV84" s="368"/>
      <c r="AHW84" s="368"/>
      <c r="AHX84" s="368"/>
      <c r="AHY84" s="368"/>
      <c r="AHZ84" s="368"/>
      <c r="AIA84" s="368"/>
      <c r="AIB84" s="368"/>
      <c r="AIC84" s="368"/>
      <c r="AID84" s="368"/>
      <c r="AIE84" s="368"/>
      <c r="AIF84" s="368"/>
      <c r="AIG84" s="368"/>
      <c r="AIH84" s="368"/>
      <c r="AII84" s="368"/>
      <c r="AIJ84" s="368"/>
      <c r="AIK84" s="368"/>
      <c r="AIL84" s="368"/>
      <c r="AIM84" s="368"/>
      <c r="AIN84" s="368"/>
      <c r="AIO84" s="368"/>
      <c r="AIP84" s="368"/>
      <c r="AIQ84" s="368"/>
      <c r="AIR84" s="368"/>
      <c r="AIS84" s="368"/>
      <c r="AIT84" s="368"/>
      <c r="AIU84" s="368"/>
      <c r="AIV84" s="368"/>
      <c r="AIW84" s="368"/>
      <c r="AIX84" s="368"/>
      <c r="AIY84" s="368"/>
      <c r="AIZ84" s="368"/>
      <c r="AJA84" s="368"/>
      <c r="AJB84" s="368"/>
      <c r="AJC84" s="368"/>
      <c r="AJD84" s="368"/>
      <c r="AJE84" s="368"/>
      <c r="AJF84" s="368"/>
      <c r="AJG84" s="368"/>
      <c r="AJH84" s="368"/>
      <c r="AJI84" s="368"/>
      <c r="AJJ84" s="368"/>
      <c r="AJK84" s="368"/>
      <c r="AJL84" s="368"/>
      <c r="AJM84" s="368"/>
      <c r="AJN84" s="368"/>
      <c r="AJO84" s="368"/>
      <c r="AJP84" s="368"/>
      <c r="AJQ84" s="368"/>
      <c r="AJR84" s="368"/>
      <c r="AJS84" s="368"/>
      <c r="AJT84" s="368"/>
      <c r="AJU84" s="368"/>
      <c r="AJV84" s="368"/>
      <c r="AJW84" s="368"/>
      <c r="AJX84" s="368"/>
      <c r="AJY84" s="368"/>
      <c r="AJZ84" s="368"/>
      <c r="AKA84" s="368"/>
      <c r="AKB84" s="368"/>
      <c r="AKC84" s="368"/>
      <c r="AKD84" s="368"/>
      <c r="AKE84" s="368"/>
      <c r="AKF84" s="368"/>
      <c r="AKG84" s="368"/>
      <c r="AKH84" s="368"/>
      <c r="AKI84" s="368"/>
      <c r="AKJ84" s="368"/>
      <c r="AKK84" s="368"/>
      <c r="AKL84" s="368"/>
      <c r="AKM84" s="368"/>
      <c r="AKN84" s="368"/>
      <c r="AKO84" s="368"/>
      <c r="AKP84" s="368"/>
      <c r="AKQ84" s="368"/>
      <c r="AKR84" s="368"/>
      <c r="AKS84" s="368"/>
      <c r="AKT84" s="368"/>
      <c r="AKU84" s="368"/>
      <c r="AKV84" s="368"/>
      <c r="AKW84" s="368"/>
      <c r="AKX84" s="368"/>
      <c r="AKY84" s="368"/>
      <c r="AKZ84" s="368"/>
      <c r="ALA84" s="368"/>
      <c r="ALB84" s="368"/>
      <c r="ALC84" s="368"/>
      <c r="ALD84" s="368"/>
      <c r="ALE84" s="368"/>
      <c r="ALF84" s="368"/>
      <c r="ALG84" s="368"/>
      <c r="ALH84" s="368"/>
      <c r="ALI84" s="368"/>
      <c r="ALJ84" s="368"/>
      <c r="ALK84" s="368"/>
      <c r="ALL84" s="368"/>
      <c r="ALM84" s="368"/>
      <c r="ALN84" s="368"/>
      <c r="ALO84" s="368"/>
      <c r="ALP84" s="368"/>
      <c r="ALQ84" s="368"/>
      <c r="ALR84" s="368"/>
      <c r="ALS84" s="368"/>
      <c r="ALT84" s="368"/>
      <c r="ALU84" s="368"/>
      <c r="ALV84" s="368"/>
      <c r="ALW84" s="368"/>
      <c r="ALX84" s="368"/>
      <c r="ALY84" s="368"/>
      <c r="ALZ84" s="368"/>
      <c r="AMA84" s="368"/>
      <c r="AMB84" s="368"/>
      <c r="AMC84" s="368"/>
      <c r="AMD84" s="368"/>
      <c r="AME84" s="368"/>
      <c r="AMF84" s="368"/>
      <c r="AMG84" s="368"/>
      <c r="AMH84" s="368"/>
      <c r="AMI84" s="368"/>
      <c r="AMJ84" s="368"/>
    </row>
    <row r="85" spans="1:1024" ht="7.5" customHeight="1">
      <c r="A85" s="368"/>
      <c r="B85" s="761"/>
      <c r="C85" s="762"/>
      <c r="D85" s="762"/>
      <c r="E85" s="762"/>
      <c r="F85" s="762"/>
      <c r="G85" s="762"/>
      <c r="H85" s="763"/>
      <c r="I85" s="368"/>
      <c r="J85" s="368"/>
      <c r="K85" s="368"/>
      <c r="L85" s="368"/>
      <c r="M85" s="368"/>
      <c r="N85" s="368"/>
      <c r="O85" s="368"/>
      <c r="P85" s="368"/>
      <c r="Q85" s="368"/>
      <c r="R85" s="368"/>
      <c r="S85" s="368"/>
      <c r="T85" s="368"/>
      <c r="U85" s="368"/>
      <c r="V85" s="368"/>
      <c r="W85" s="368"/>
      <c r="X85" s="368"/>
      <c r="Y85" s="368"/>
      <c r="Z85" s="368"/>
      <c r="AA85" s="368"/>
      <c r="AB85" s="368"/>
      <c r="AC85" s="368"/>
      <c r="AD85" s="368"/>
      <c r="AE85" s="368"/>
      <c r="AF85" s="368"/>
      <c r="AG85" s="368"/>
      <c r="AH85" s="368"/>
      <c r="AI85" s="368"/>
      <c r="AJ85" s="368"/>
      <c r="AK85" s="368"/>
      <c r="AL85" s="368"/>
      <c r="AM85" s="368"/>
      <c r="AN85" s="368"/>
      <c r="AO85" s="368"/>
      <c r="AP85" s="368"/>
      <c r="AQ85" s="368"/>
      <c r="AR85" s="368"/>
      <c r="AS85" s="368"/>
      <c r="AT85" s="368"/>
      <c r="AU85" s="368"/>
      <c r="AV85" s="368"/>
      <c r="AW85" s="368"/>
      <c r="AX85" s="368"/>
      <c r="AY85" s="368"/>
      <c r="AZ85" s="368"/>
      <c r="BA85" s="368"/>
      <c r="BB85" s="368"/>
      <c r="BC85" s="368"/>
      <c r="BD85" s="368"/>
      <c r="BE85" s="368"/>
      <c r="BF85" s="368"/>
      <c r="BG85" s="368"/>
      <c r="BH85" s="368"/>
      <c r="BI85" s="368"/>
      <c r="BJ85" s="368"/>
      <c r="BK85" s="368"/>
      <c r="BL85" s="368"/>
      <c r="BM85" s="368"/>
      <c r="BN85" s="368"/>
      <c r="BO85" s="368"/>
      <c r="BP85" s="368"/>
      <c r="BQ85" s="368"/>
      <c r="BR85" s="368"/>
      <c r="BS85" s="368"/>
      <c r="BT85" s="368"/>
      <c r="BU85" s="368"/>
      <c r="BV85" s="368"/>
      <c r="BW85" s="368"/>
      <c r="BX85" s="368"/>
      <c r="BY85" s="368"/>
      <c r="BZ85" s="368"/>
      <c r="CA85" s="368"/>
      <c r="CB85" s="368"/>
      <c r="CC85" s="368"/>
      <c r="CD85" s="368"/>
      <c r="CE85" s="368"/>
      <c r="CF85" s="368"/>
      <c r="CG85" s="368"/>
      <c r="CH85" s="368"/>
      <c r="CI85" s="368"/>
      <c r="CJ85" s="368"/>
      <c r="CK85" s="368"/>
      <c r="CL85" s="368"/>
      <c r="CM85" s="368"/>
      <c r="CN85" s="368"/>
      <c r="CO85" s="368"/>
      <c r="CP85" s="368"/>
      <c r="CQ85" s="368"/>
      <c r="CR85" s="368"/>
      <c r="CS85" s="368"/>
      <c r="CT85" s="368"/>
      <c r="CU85" s="368"/>
      <c r="CV85" s="368"/>
      <c r="CW85" s="368"/>
      <c r="CX85" s="368"/>
      <c r="CY85" s="368"/>
      <c r="CZ85" s="368"/>
      <c r="DA85" s="368"/>
      <c r="DB85" s="368"/>
      <c r="DC85" s="368"/>
      <c r="DD85" s="368"/>
      <c r="DE85" s="368"/>
      <c r="DF85" s="368"/>
      <c r="DG85" s="368"/>
      <c r="DH85" s="368"/>
      <c r="DI85" s="368"/>
      <c r="DJ85" s="368"/>
      <c r="DK85" s="368"/>
      <c r="DL85" s="368"/>
      <c r="DM85" s="368"/>
      <c r="DN85" s="368"/>
      <c r="DO85" s="368"/>
      <c r="DP85" s="368"/>
      <c r="DQ85" s="368"/>
      <c r="DR85" s="368"/>
      <c r="DS85" s="368"/>
      <c r="DT85" s="368"/>
      <c r="DU85" s="368"/>
      <c r="DV85" s="368"/>
      <c r="DW85" s="368"/>
      <c r="DX85" s="368"/>
      <c r="DY85" s="368"/>
      <c r="DZ85" s="368"/>
      <c r="EA85" s="368"/>
      <c r="EB85" s="368"/>
      <c r="EC85" s="368"/>
      <c r="ED85" s="368"/>
      <c r="EE85" s="368"/>
      <c r="EF85" s="368"/>
      <c r="EG85" s="368"/>
      <c r="EH85" s="368"/>
      <c r="EI85" s="368"/>
      <c r="EJ85" s="368"/>
      <c r="EK85" s="368"/>
      <c r="EL85" s="368"/>
      <c r="EM85" s="368"/>
      <c r="EN85" s="368"/>
      <c r="EO85" s="368"/>
      <c r="EP85" s="368"/>
      <c r="EQ85" s="368"/>
      <c r="ER85" s="368"/>
      <c r="ES85" s="368"/>
      <c r="ET85" s="368"/>
      <c r="EU85" s="368"/>
      <c r="EV85" s="368"/>
      <c r="EW85" s="368"/>
      <c r="EX85" s="368"/>
      <c r="EY85" s="368"/>
      <c r="EZ85" s="368"/>
      <c r="FA85" s="368"/>
      <c r="FB85" s="368"/>
      <c r="FC85" s="368"/>
      <c r="FD85" s="368"/>
      <c r="FE85" s="368"/>
      <c r="FF85" s="368"/>
      <c r="FG85" s="368"/>
      <c r="FH85" s="368"/>
      <c r="FI85" s="368"/>
      <c r="FJ85" s="368"/>
      <c r="FK85" s="368"/>
      <c r="FL85" s="368"/>
      <c r="FM85" s="368"/>
      <c r="FN85" s="368"/>
      <c r="FO85" s="368"/>
      <c r="FP85" s="368"/>
      <c r="FQ85" s="368"/>
      <c r="FR85" s="368"/>
      <c r="FS85" s="368"/>
      <c r="FT85" s="368"/>
      <c r="FU85" s="368"/>
      <c r="FV85" s="368"/>
      <c r="FW85" s="368"/>
      <c r="FX85" s="368"/>
      <c r="FY85" s="368"/>
      <c r="FZ85" s="368"/>
      <c r="GA85" s="368"/>
      <c r="GB85" s="368"/>
      <c r="GC85" s="368"/>
      <c r="GD85" s="368"/>
      <c r="GE85" s="368"/>
      <c r="GF85" s="368"/>
      <c r="GG85" s="368"/>
      <c r="GH85" s="368"/>
      <c r="GI85" s="368"/>
      <c r="GJ85" s="368"/>
      <c r="GK85" s="368"/>
      <c r="GL85" s="368"/>
      <c r="GM85" s="368"/>
      <c r="GN85" s="368"/>
      <c r="GO85" s="368"/>
      <c r="GP85" s="368"/>
      <c r="GQ85" s="368"/>
      <c r="GR85" s="368"/>
      <c r="GS85" s="368"/>
      <c r="GT85" s="368"/>
      <c r="GU85" s="368"/>
      <c r="GV85" s="368"/>
      <c r="GW85" s="368"/>
      <c r="GX85" s="368"/>
      <c r="GY85" s="368"/>
      <c r="GZ85" s="368"/>
      <c r="HA85" s="368"/>
      <c r="HB85" s="368"/>
      <c r="HC85" s="368"/>
      <c r="HD85" s="368"/>
      <c r="HE85" s="368"/>
      <c r="HF85" s="368"/>
      <c r="HG85" s="368"/>
      <c r="HH85" s="368"/>
      <c r="HI85" s="368"/>
      <c r="HJ85" s="368"/>
      <c r="HK85" s="368"/>
      <c r="HL85" s="368"/>
      <c r="HM85" s="368"/>
      <c r="HN85" s="368"/>
      <c r="HO85" s="368"/>
      <c r="HP85" s="368"/>
      <c r="HQ85" s="368"/>
      <c r="HR85" s="368"/>
      <c r="HS85" s="368"/>
      <c r="HT85" s="368"/>
      <c r="HU85" s="368"/>
      <c r="HV85" s="368"/>
      <c r="HW85" s="368"/>
      <c r="HX85" s="368"/>
      <c r="HY85" s="368"/>
      <c r="HZ85" s="368"/>
      <c r="IA85" s="368"/>
      <c r="IB85" s="368"/>
      <c r="IC85" s="368"/>
      <c r="ID85" s="368"/>
      <c r="IE85" s="368"/>
      <c r="IF85" s="368"/>
      <c r="IG85" s="368"/>
      <c r="IH85" s="368"/>
      <c r="II85" s="368"/>
      <c r="IJ85" s="368"/>
      <c r="IK85" s="368"/>
      <c r="IL85" s="368"/>
      <c r="IM85" s="368"/>
      <c r="IN85" s="368"/>
      <c r="IO85" s="368"/>
      <c r="IP85" s="368"/>
      <c r="IQ85" s="368"/>
      <c r="IR85" s="368"/>
      <c r="IS85" s="368"/>
      <c r="IT85" s="368"/>
      <c r="IU85" s="368"/>
      <c r="IV85" s="368"/>
      <c r="IW85" s="368"/>
      <c r="IX85" s="368"/>
      <c r="IY85" s="368"/>
      <c r="IZ85" s="368"/>
      <c r="JA85" s="368"/>
      <c r="JB85" s="368"/>
      <c r="JC85" s="368"/>
      <c r="JD85" s="368"/>
      <c r="JE85" s="368"/>
      <c r="JF85" s="368"/>
      <c r="JG85" s="368"/>
      <c r="JH85" s="368"/>
      <c r="JI85" s="368"/>
      <c r="JJ85" s="368"/>
      <c r="JK85" s="368"/>
      <c r="JL85" s="368"/>
      <c r="JM85" s="368"/>
      <c r="JN85" s="368"/>
      <c r="JO85" s="368"/>
      <c r="JP85" s="368"/>
      <c r="JQ85" s="368"/>
      <c r="JR85" s="368"/>
      <c r="JS85" s="368"/>
      <c r="JT85" s="368"/>
      <c r="JU85" s="368"/>
      <c r="JV85" s="368"/>
      <c r="JW85" s="368"/>
      <c r="JX85" s="368"/>
      <c r="JY85" s="368"/>
      <c r="JZ85" s="368"/>
      <c r="KA85" s="368"/>
      <c r="KB85" s="368"/>
      <c r="KC85" s="368"/>
      <c r="KD85" s="368"/>
      <c r="KE85" s="368"/>
      <c r="KF85" s="368"/>
      <c r="KG85" s="368"/>
      <c r="KH85" s="368"/>
      <c r="KI85" s="368"/>
      <c r="KJ85" s="368"/>
      <c r="KK85" s="368"/>
      <c r="KL85" s="368"/>
      <c r="KM85" s="368"/>
      <c r="KN85" s="368"/>
      <c r="KO85" s="368"/>
      <c r="KP85" s="368"/>
      <c r="KQ85" s="368"/>
      <c r="KR85" s="368"/>
      <c r="KS85" s="368"/>
      <c r="KT85" s="368"/>
      <c r="KU85" s="368"/>
      <c r="KV85" s="368"/>
      <c r="KW85" s="368"/>
      <c r="KX85" s="368"/>
      <c r="KY85" s="368"/>
      <c r="KZ85" s="368"/>
      <c r="LA85" s="368"/>
      <c r="LB85" s="368"/>
      <c r="LC85" s="368"/>
      <c r="LD85" s="368"/>
      <c r="LE85" s="368"/>
      <c r="LF85" s="368"/>
      <c r="LG85" s="368"/>
      <c r="LH85" s="368"/>
      <c r="LI85" s="368"/>
      <c r="LJ85" s="368"/>
      <c r="LK85" s="368"/>
      <c r="LL85" s="368"/>
      <c r="LM85" s="368"/>
      <c r="LN85" s="368"/>
      <c r="LO85" s="368"/>
      <c r="LP85" s="368"/>
      <c r="LQ85" s="368"/>
      <c r="LR85" s="368"/>
      <c r="LS85" s="368"/>
      <c r="LT85" s="368"/>
      <c r="LU85" s="368"/>
      <c r="LV85" s="368"/>
      <c r="LW85" s="368"/>
      <c r="LX85" s="368"/>
      <c r="LY85" s="368"/>
      <c r="LZ85" s="368"/>
      <c r="MA85" s="368"/>
      <c r="MB85" s="368"/>
      <c r="MC85" s="368"/>
      <c r="MD85" s="368"/>
      <c r="ME85" s="368"/>
      <c r="MF85" s="368"/>
      <c r="MG85" s="368"/>
      <c r="MH85" s="368"/>
      <c r="MI85" s="368"/>
      <c r="MJ85" s="368"/>
      <c r="MK85" s="368"/>
      <c r="ML85" s="368"/>
      <c r="MM85" s="368"/>
      <c r="MN85" s="368"/>
      <c r="MO85" s="368"/>
      <c r="MP85" s="368"/>
      <c r="MQ85" s="368"/>
      <c r="MR85" s="368"/>
      <c r="MS85" s="368"/>
      <c r="MT85" s="368"/>
      <c r="MU85" s="368"/>
      <c r="MV85" s="368"/>
      <c r="MW85" s="368"/>
      <c r="MX85" s="368"/>
      <c r="MY85" s="368"/>
      <c r="MZ85" s="368"/>
      <c r="NA85" s="368"/>
      <c r="NB85" s="368"/>
      <c r="NC85" s="368"/>
      <c r="ND85" s="368"/>
      <c r="NE85" s="368"/>
      <c r="NF85" s="368"/>
      <c r="NG85" s="368"/>
      <c r="NH85" s="368"/>
      <c r="NI85" s="368"/>
      <c r="NJ85" s="368"/>
      <c r="NK85" s="368"/>
      <c r="NL85" s="368"/>
      <c r="NM85" s="368"/>
      <c r="NN85" s="368"/>
      <c r="NO85" s="368"/>
      <c r="NP85" s="368"/>
      <c r="NQ85" s="368"/>
      <c r="NR85" s="368"/>
      <c r="NS85" s="368"/>
      <c r="NT85" s="368"/>
      <c r="NU85" s="368"/>
      <c r="NV85" s="368"/>
      <c r="NW85" s="368"/>
      <c r="NX85" s="368"/>
      <c r="NY85" s="368"/>
      <c r="NZ85" s="368"/>
      <c r="OA85" s="368"/>
      <c r="OB85" s="368"/>
      <c r="OC85" s="368"/>
      <c r="OD85" s="368"/>
      <c r="OE85" s="368"/>
      <c r="OF85" s="368"/>
      <c r="OG85" s="368"/>
      <c r="OH85" s="368"/>
      <c r="OI85" s="368"/>
      <c r="OJ85" s="368"/>
      <c r="OK85" s="368"/>
      <c r="OL85" s="368"/>
      <c r="OM85" s="368"/>
      <c r="ON85" s="368"/>
      <c r="OO85" s="368"/>
      <c r="OP85" s="368"/>
      <c r="OQ85" s="368"/>
      <c r="OR85" s="368"/>
      <c r="OS85" s="368"/>
      <c r="OT85" s="368"/>
      <c r="OU85" s="368"/>
      <c r="OV85" s="368"/>
      <c r="OW85" s="368"/>
      <c r="OX85" s="368"/>
      <c r="OY85" s="368"/>
      <c r="OZ85" s="368"/>
      <c r="PA85" s="368"/>
      <c r="PB85" s="368"/>
      <c r="PC85" s="368"/>
      <c r="PD85" s="368"/>
      <c r="PE85" s="368"/>
      <c r="PF85" s="368"/>
      <c r="PG85" s="368"/>
      <c r="PH85" s="368"/>
      <c r="PI85" s="368"/>
      <c r="PJ85" s="368"/>
      <c r="PK85" s="368"/>
      <c r="PL85" s="368"/>
      <c r="PM85" s="368"/>
      <c r="PN85" s="368"/>
      <c r="PO85" s="368"/>
      <c r="PP85" s="368"/>
      <c r="PQ85" s="368"/>
      <c r="PR85" s="368"/>
      <c r="PS85" s="368"/>
      <c r="PT85" s="368"/>
      <c r="PU85" s="368"/>
      <c r="PV85" s="368"/>
      <c r="PW85" s="368"/>
      <c r="PX85" s="368"/>
      <c r="PY85" s="368"/>
      <c r="PZ85" s="368"/>
      <c r="QA85" s="368"/>
      <c r="QB85" s="368"/>
      <c r="QC85" s="368"/>
      <c r="QD85" s="368"/>
      <c r="QE85" s="368"/>
      <c r="QF85" s="368"/>
      <c r="QG85" s="368"/>
      <c r="QH85" s="368"/>
      <c r="QI85" s="368"/>
      <c r="QJ85" s="368"/>
      <c r="QK85" s="368"/>
      <c r="QL85" s="368"/>
      <c r="QM85" s="368"/>
      <c r="QN85" s="368"/>
      <c r="QO85" s="368"/>
      <c r="QP85" s="368"/>
      <c r="QQ85" s="368"/>
      <c r="QR85" s="368"/>
      <c r="QS85" s="368"/>
      <c r="QT85" s="368"/>
      <c r="QU85" s="368"/>
      <c r="QV85" s="368"/>
      <c r="QW85" s="368"/>
      <c r="QX85" s="368"/>
      <c r="QY85" s="368"/>
      <c r="QZ85" s="368"/>
      <c r="RA85" s="368"/>
      <c r="RB85" s="368"/>
      <c r="RC85" s="368"/>
      <c r="RD85" s="368"/>
      <c r="RE85" s="368"/>
      <c r="RF85" s="368"/>
      <c r="RG85" s="368"/>
      <c r="RH85" s="368"/>
      <c r="RI85" s="368"/>
      <c r="RJ85" s="368"/>
      <c r="RK85" s="368"/>
      <c r="RL85" s="368"/>
      <c r="RM85" s="368"/>
      <c r="RN85" s="368"/>
      <c r="RO85" s="368"/>
      <c r="RP85" s="368"/>
      <c r="RQ85" s="368"/>
      <c r="RR85" s="368"/>
      <c r="RS85" s="368"/>
      <c r="RT85" s="368"/>
      <c r="RU85" s="368"/>
      <c r="RV85" s="368"/>
      <c r="RW85" s="368"/>
      <c r="RX85" s="368"/>
      <c r="RY85" s="368"/>
      <c r="RZ85" s="368"/>
      <c r="SA85" s="368"/>
      <c r="SB85" s="368"/>
      <c r="SC85" s="368"/>
      <c r="SD85" s="368"/>
      <c r="SE85" s="368"/>
      <c r="SF85" s="368"/>
      <c r="SG85" s="368"/>
      <c r="SH85" s="368"/>
      <c r="SI85" s="368"/>
      <c r="SJ85" s="368"/>
      <c r="SK85" s="368"/>
      <c r="SL85" s="368"/>
      <c r="SM85" s="368"/>
      <c r="SN85" s="368"/>
      <c r="SO85" s="368"/>
      <c r="SP85" s="368"/>
      <c r="SQ85" s="368"/>
      <c r="SR85" s="368"/>
      <c r="SS85" s="368"/>
      <c r="ST85" s="368"/>
      <c r="SU85" s="368"/>
      <c r="SV85" s="368"/>
      <c r="SW85" s="368"/>
      <c r="SX85" s="368"/>
      <c r="SY85" s="368"/>
      <c r="SZ85" s="368"/>
      <c r="TA85" s="368"/>
      <c r="TB85" s="368"/>
      <c r="TC85" s="368"/>
      <c r="TD85" s="368"/>
      <c r="TE85" s="368"/>
      <c r="TF85" s="368"/>
      <c r="TG85" s="368"/>
      <c r="TH85" s="368"/>
      <c r="TI85" s="368"/>
      <c r="TJ85" s="368"/>
      <c r="TK85" s="368"/>
      <c r="TL85" s="368"/>
      <c r="TM85" s="368"/>
      <c r="TN85" s="368"/>
      <c r="TO85" s="368"/>
      <c r="TP85" s="368"/>
      <c r="TQ85" s="368"/>
      <c r="TR85" s="368"/>
      <c r="TS85" s="368"/>
      <c r="TT85" s="368"/>
      <c r="TU85" s="368"/>
      <c r="TV85" s="368"/>
      <c r="TW85" s="368"/>
      <c r="TX85" s="368"/>
      <c r="TY85" s="368"/>
      <c r="TZ85" s="368"/>
      <c r="UA85" s="368"/>
      <c r="UB85" s="368"/>
      <c r="UC85" s="368"/>
      <c r="UD85" s="368"/>
      <c r="UE85" s="368"/>
      <c r="UF85" s="368"/>
      <c r="UG85" s="368"/>
      <c r="UH85" s="368"/>
      <c r="UI85" s="368"/>
      <c r="UJ85" s="368"/>
      <c r="UK85" s="368"/>
      <c r="UL85" s="368"/>
      <c r="UM85" s="368"/>
      <c r="UN85" s="368"/>
      <c r="UO85" s="368"/>
      <c r="UP85" s="368"/>
      <c r="UQ85" s="368"/>
      <c r="UR85" s="368"/>
      <c r="US85" s="368"/>
      <c r="UT85" s="368"/>
      <c r="UU85" s="368"/>
      <c r="UV85" s="368"/>
      <c r="UW85" s="368"/>
      <c r="UX85" s="368"/>
      <c r="UY85" s="368"/>
      <c r="UZ85" s="368"/>
      <c r="VA85" s="368"/>
      <c r="VB85" s="368"/>
      <c r="VC85" s="368"/>
      <c r="VD85" s="368"/>
      <c r="VE85" s="368"/>
      <c r="VF85" s="368"/>
      <c r="VG85" s="368"/>
      <c r="VH85" s="368"/>
      <c r="VI85" s="368"/>
      <c r="VJ85" s="368"/>
      <c r="VK85" s="368"/>
      <c r="VL85" s="368"/>
      <c r="VM85" s="368"/>
      <c r="VN85" s="368"/>
      <c r="VO85" s="368"/>
      <c r="VP85" s="368"/>
      <c r="VQ85" s="368"/>
      <c r="VR85" s="368"/>
      <c r="VS85" s="368"/>
      <c r="VT85" s="368"/>
      <c r="VU85" s="368"/>
      <c r="VV85" s="368"/>
      <c r="VW85" s="368"/>
      <c r="VX85" s="368"/>
      <c r="VY85" s="368"/>
      <c r="VZ85" s="368"/>
      <c r="WA85" s="368"/>
      <c r="WB85" s="368"/>
      <c r="WC85" s="368"/>
      <c r="WD85" s="368"/>
      <c r="WE85" s="368"/>
      <c r="WF85" s="368"/>
      <c r="WG85" s="368"/>
      <c r="WH85" s="368"/>
      <c r="WI85" s="368"/>
      <c r="WJ85" s="368"/>
      <c r="WK85" s="368"/>
      <c r="WL85" s="368"/>
      <c r="WM85" s="368"/>
      <c r="WN85" s="368"/>
      <c r="WO85" s="368"/>
      <c r="WP85" s="368"/>
      <c r="WQ85" s="368"/>
      <c r="WR85" s="368"/>
      <c r="WS85" s="368"/>
      <c r="WT85" s="368"/>
      <c r="WU85" s="368"/>
      <c r="WV85" s="368"/>
      <c r="WW85" s="368"/>
      <c r="WX85" s="368"/>
      <c r="WY85" s="368"/>
      <c r="WZ85" s="368"/>
      <c r="XA85" s="368"/>
      <c r="XB85" s="368"/>
      <c r="XC85" s="368"/>
      <c r="XD85" s="368"/>
      <c r="XE85" s="368"/>
      <c r="XF85" s="368"/>
      <c r="XG85" s="368"/>
      <c r="XH85" s="368"/>
      <c r="XI85" s="368"/>
      <c r="XJ85" s="368"/>
      <c r="XK85" s="368"/>
      <c r="XL85" s="368"/>
      <c r="XM85" s="368"/>
      <c r="XN85" s="368"/>
      <c r="XO85" s="368"/>
      <c r="XP85" s="368"/>
      <c r="XQ85" s="368"/>
      <c r="XR85" s="368"/>
      <c r="XS85" s="368"/>
      <c r="XT85" s="368"/>
      <c r="XU85" s="368"/>
      <c r="XV85" s="368"/>
      <c r="XW85" s="368"/>
      <c r="XX85" s="368"/>
      <c r="XY85" s="368"/>
      <c r="XZ85" s="368"/>
      <c r="YA85" s="368"/>
      <c r="YB85" s="368"/>
      <c r="YC85" s="368"/>
      <c r="YD85" s="368"/>
      <c r="YE85" s="368"/>
      <c r="YF85" s="368"/>
      <c r="YG85" s="368"/>
      <c r="YH85" s="368"/>
      <c r="YI85" s="368"/>
      <c r="YJ85" s="368"/>
      <c r="YK85" s="368"/>
      <c r="YL85" s="368"/>
      <c r="YM85" s="368"/>
      <c r="YN85" s="368"/>
      <c r="YO85" s="368"/>
      <c r="YP85" s="368"/>
      <c r="YQ85" s="368"/>
      <c r="YR85" s="368"/>
      <c r="YS85" s="368"/>
      <c r="YT85" s="368"/>
      <c r="YU85" s="368"/>
      <c r="YV85" s="368"/>
      <c r="YW85" s="368"/>
      <c r="YX85" s="368"/>
      <c r="YY85" s="368"/>
      <c r="YZ85" s="368"/>
      <c r="ZA85" s="368"/>
      <c r="ZB85" s="368"/>
      <c r="ZC85" s="368"/>
      <c r="ZD85" s="368"/>
      <c r="ZE85" s="368"/>
      <c r="ZF85" s="368"/>
      <c r="ZG85" s="368"/>
      <c r="ZH85" s="368"/>
      <c r="ZI85" s="368"/>
      <c r="ZJ85" s="368"/>
      <c r="ZK85" s="368"/>
      <c r="ZL85" s="368"/>
      <c r="ZM85" s="368"/>
      <c r="ZN85" s="368"/>
      <c r="ZO85" s="368"/>
      <c r="ZP85" s="368"/>
      <c r="ZQ85" s="368"/>
      <c r="ZR85" s="368"/>
      <c r="ZS85" s="368"/>
      <c r="ZT85" s="368"/>
      <c r="ZU85" s="368"/>
      <c r="ZV85" s="368"/>
      <c r="ZW85" s="368"/>
      <c r="ZX85" s="368"/>
      <c r="ZY85" s="368"/>
      <c r="ZZ85" s="368"/>
      <c r="AAA85" s="368"/>
      <c r="AAB85" s="368"/>
      <c r="AAC85" s="368"/>
      <c r="AAD85" s="368"/>
      <c r="AAE85" s="368"/>
      <c r="AAF85" s="368"/>
      <c r="AAG85" s="368"/>
      <c r="AAH85" s="368"/>
      <c r="AAI85" s="368"/>
      <c r="AAJ85" s="368"/>
      <c r="AAK85" s="368"/>
      <c r="AAL85" s="368"/>
      <c r="AAM85" s="368"/>
      <c r="AAN85" s="368"/>
      <c r="AAO85" s="368"/>
      <c r="AAP85" s="368"/>
      <c r="AAQ85" s="368"/>
      <c r="AAR85" s="368"/>
      <c r="AAS85" s="368"/>
      <c r="AAT85" s="368"/>
      <c r="AAU85" s="368"/>
      <c r="AAV85" s="368"/>
      <c r="AAW85" s="368"/>
      <c r="AAX85" s="368"/>
      <c r="AAY85" s="368"/>
      <c r="AAZ85" s="368"/>
      <c r="ABA85" s="368"/>
      <c r="ABB85" s="368"/>
      <c r="ABC85" s="368"/>
      <c r="ABD85" s="368"/>
      <c r="ABE85" s="368"/>
      <c r="ABF85" s="368"/>
      <c r="ABG85" s="368"/>
      <c r="ABH85" s="368"/>
      <c r="ABI85" s="368"/>
      <c r="ABJ85" s="368"/>
      <c r="ABK85" s="368"/>
      <c r="ABL85" s="368"/>
      <c r="ABM85" s="368"/>
      <c r="ABN85" s="368"/>
      <c r="ABO85" s="368"/>
      <c r="ABP85" s="368"/>
      <c r="ABQ85" s="368"/>
      <c r="ABR85" s="368"/>
      <c r="ABS85" s="368"/>
      <c r="ABT85" s="368"/>
      <c r="ABU85" s="368"/>
      <c r="ABV85" s="368"/>
      <c r="ABW85" s="368"/>
      <c r="ABX85" s="368"/>
      <c r="ABY85" s="368"/>
      <c r="ABZ85" s="368"/>
      <c r="ACA85" s="368"/>
      <c r="ACB85" s="368"/>
      <c r="ACC85" s="368"/>
      <c r="ACD85" s="368"/>
      <c r="ACE85" s="368"/>
      <c r="ACF85" s="368"/>
      <c r="ACG85" s="368"/>
      <c r="ACH85" s="368"/>
      <c r="ACI85" s="368"/>
      <c r="ACJ85" s="368"/>
      <c r="ACK85" s="368"/>
      <c r="ACL85" s="368"/>
      <c r="ACM85" s="368"/>
      <c r="ACN85" s="368"/>
      <c r="ACO85" s="368"/>
      <c r="ACP85" s="368"/>
      <c r="ACQ85" s="368"/>
      <c r="ACR85" s="368"/>
      <c r="ACS85" s="368"/>
      <c r="ACT85" s="368"/>
      <c r="ACU85" s="368"/>
      <c r="ACV85" s="368"/>
      <c r="ACW85" s="368"/>
      <c r="ACX85" s="368"/>
      <c r="ACY85" s="368"/>
      <c r="ACZ85" s="368"/>
      <c r="ADA85" s="368"/>
      <c r="ADB85" s="368"/>
      <c r="ADC85" s="368"/>
      <c r="ADD85" s="368"/>
      <c r="ADE85" s="368"/>
      <c r="ADF85" s="368"/>
      <c r="ADG85" s="368"/>
      <c r="ADH85" s="368"/>
      <c r="ADI85" s="368"/>
      <c r="ADJ85" s="368"/>
      <c r="ADK85" s="368"/>
      <c r="ADL85" s="368"/>
      <c r="ADM85" s="368"/>
      <c r="ADN85" s="368"/>
      <c r="ADO85" s="368"/>
      <c r="ADP85" s="368"/>
      <c r="ADQ85" s="368"/>
      <c r="ADR85" s="368"/>
      <c r="ADS85" s="368"/>
      <c r="ADT85" s="368"/>
      <c r="ADU85" s="368"/>
      <c r="ADV85" s="368"/>
      <c r="ADW85" s="368"/>
      <c r="ADX85" s="368"/>
      <c r="ADY85" s="368"/>
      <c r="ADZ85" s="368"/>
      <c r="AEA85" s="368"/>
      <c r="AEB85" s="368"/>
      <c r="AEC85" s="368"/>
      <c r="AED85" s="368"/>
      <c r="AEE85" s="368"/>
      <c r="AEF85" s="368"/>
      <c r="AEG85" s="368"/>
      <c r="AEH85" s="368"/>
      <c r="AEI85" s="368"/>
      <c r="AEJ85" s="368"/>
      <c r="AEK85" s="368"/>
      <c r="AEL85" s="368"/>
      <c r="AEM85" s="368"/>
      <c r="AEN85" s="368"/>
      <c r="AEO85" s="368"/>
      <c r="AEP85" s="368"/>
      <c r="AEQ85" s="368"/>
      <c r="AER85" s="368"/>
      <c r="AES85" s="368"/>
      <c r="AET85" s="368"/>
      <c r="AEU85" s="368"/>
      <c r="AEV85" s="368"/>
      <c r="AEW85" s="368"/>
      <c r="AEX85" s="368"/>
      <c r="AEY85" s="368"/>
      <c r="AEZ85" s="368"/>
      <c r="AFA85" s="368"/>
      <c r="AFB85" s="368"/>
      <c r="AFC85" s="368"/>
      <c r="AFD85" s="368"/>
      <c r="AFE85" s="368"/>
      <c r="AFF85" s="368"/>
      <c r="AFG85" s="368"/>
      <c r="AFH85" s="368"/>
      <c r="AFI85" s="368"/>
      <c r="AFJ85" s="368"/>
      <c r="AFK85" s="368"/>
      <c r="AFL85" s="368"/>
      <c r="AFM85" s="368"/>
      <c r="AFN85" s="368"/>
      <c r="AFO85" s="368"/>
      <c r="AFP85" s="368"/>
      <c r="AFQ85" s="368"/>
      <c r="AFR85" s="368"/>
      <c r="AFS85" s="368"/>
      <c r="AFT85" s="368"/>
      <c r="AFU85" s="368"/>
      <c r="AFV85" s="368"/>
      <c r="AFW85" s="368"/>
      <c r="AFX85" s="368"/>
      <c r="AFY85" s="368"/>
      <c r="AFZ85" s="368"/>
      <c r="AGA85" s="368"/>
      <c r="AGB85" s="368"/>
      <c r="AGC85" s="368"/>
      <c r="AGD85" s="368"/>
      <c r="AGE85" s="368"/>
      <c r="AGF85" s="368"/>
      <c r="AGG85" s="368"/>
      <c r="AGH85" s="368"/>
      <c r="AGI85" s="368"/>
      <c r="AGJ85" s="368"/>
      <c r="AGK85" s="368"/>
      <c r="AGL85" s="368"/>
      <c r="AGM85" s="368"/>
      <c r="AGN85" s="368"/>
      <c r="AGO85" s="368"/>
      <c r="AGP85" s="368"/>
      <c r="AGQ85" s="368"/>
      <c r="AGR85" s="368"/>
      <c r="AGS85" s="368"/>
      <c r="AGT85" s="368"/>
      <c r="AGU85" s="368"/>
      <c r="AGV85" s="368"/>
      <c r="AGW85" s="368"/>
      <c r="AGX85" s="368"/>
      <c r="AGY85" s="368"/>
      <c r="AGZ85" s="368"/>
      <c r="AHA85" s="368"/>
      <c r="AHB85" s="368"/>
      <c r="AHC85" s="368"/>
      <c r="AHD85" s="368"/>
      <c r="AHE85" s="368"/>
      <c r="AHF85" s="368"/>
      <c r="AHG85" s="368"/>
      <c r="AHH85" s="368"/>
      <c r="AHI85" s="368"/>
      <c r="AHJ85" s="368"/>
      <c r="AHK85" s="368"/>
      <c r="AHL85" s="368"/>
      <c r="AHM85" s="368"/>
      <c r="AHN85" s="368"/>
      <c r="AHO85" s="368"/>
      <c r="AHP85" s="368"/>
      <c r="AHQ85" s="368"/>
      <c r="AHR85" s="368"/>
      <c r="AHS85" s="368"/>
      <c r="AHT85" s="368"/>
      <c r="AHU85" s="368"/>
      <c r="AHV85" s="368"/>
      <c r="AHW85" s="368"/>
      <c r="AHX85" s="368"/>
      <c r="AHY85" s="368"/>
      <c r="AHZ85" s="368"/>
      <c r="AIA85" s="368"/>
      <c r="AIB85" s="368"/>
      <c r="AIC85" s="368"/>
      <c r="AID85" s="368"/>
      <c r="AIE85" s="368"/>
      <c r="AIF85" s="368"/>
      <c r="AIG85" s="368"/>
      <c r="AIH85" s="368"/>
      <c r="AII85" s="368"/>
      <c r="AIJ85" s="368"/>
      <c r="AIK85" s="368"/>
      <c r="AIL85" s="368"/>
      <c r="AIM85" s="368"/>
      <c r="AIN85" s="368"/>
      <c r="AIO85" s="368"/>
      <c r="AIP85" s="368"/>
      <c r="AIQ85" s="368"/>
      <c r="AIR85" s="368"/>
      <c r="AIS85" s="368"/>
      <c r="AIT85" s="368"/>
      <c r="AIU85" s="368"/>
      <c r="AIV85" s="368"/>
      <c r="AIW85" s="368"/>
      <c r="AIX85" s="368"/>
      <c r="AIY85" s="368"/>
      <c r="AIZ85" s="368"/>
      <c r="AJA85" s="368"/>
      <c r="AJB85" s="368"/>
      <c r="AJC85" s="368"/>
      <c r="AJD85" s="368"/>
      <c r="AJE85" s="368"/>
      <c r="AJF85" s="368"/>
      <c r="AJG85" s="368"/>
      <c r="AJH85" s="368"/>
      <c r="AJI85" s="368"/>
      <c r="AJJ85" s="368"/>
      <c r="AJK85" s="368"/>
      <c r="AJL85" s="368"/>
      <c r="AJM85" s="368"/>
      <c r="AJN85" s="368"/>
      <c r="AJO85" s="368"/>
      <c r="AJP85" s="368"/>
      <c r="AJQ85" s="368"/>
      <c r="AJR85" s="368"/>
      <c r="AJS85" s="368"/>
      <c r="AJT85" s="368"/>
      <c r="AJU85" s="368"/>
      <c r="AJV85" s="368"/>
      <c r="AJW85" s="368"/>
      <c r="AJX85" s="368"/>
      <c r="AJY85" s="368"/>
      <c r="AJZ85" s="368"/>
      <c r="AKA85" s="368"/>
      <c r="AKB85" s="368"/>
      <c r="AKC85" s="368"/>
      <c r="AKD85" s="368"/>
      <c r="AKE85" s="368"/>
      <c r="AKF85" s="368"/>
      <c r="AKG85" s="368"/>
      <c r="AKH85" s="368"/>
      <c r="AKI85" s="368"/>
      <c r="AKJ85" s="368"/>
      <c r="AKK85" s="368"/>
      <c r="AKL85" s="368"/>
      <c r="AKM85" s="368"/>
      <c r="AKN85" s="368"/>
      <c r="AKO85" s="368"/>
      <c r="AKP85" s="368"/>
      <c r="AKQ85" s="368"/>
      <c r="AKR85" s="368"/>
      <c r="AKS85" s="368"/>
      <c r="AKT85" s="368"/>
      <c r="AKU85" s="368"/>
      <c r="AKV85" s="368"/>
      <c r="AKW85" s="368"/>
      <c r="AKX85" s="368"/>
      <c r="AKY85" s="368"/>
      <c r="AKZ85" s="368"/>
      <c r="ALA85" s="368"/>
      <c r="ALB85" s="368"/>
      <c r="ALC85" s="368"/>
      <c r="ALD85" s="368"/>
      <c r="ALE85" s="368"/>
      <c r="ALF85" s="368"/>
      <c r="ALG85" s="368"/>
      <c r="ALH85" s="368"/>
      <c r="ALI85" s="368"/>
      <c r="ALJ85" s="368"/>
      <c r="ALK85" s="368"/>
      <c r="ALL85" s="368"/>
      <c r="ALM85" s="368"/>
      <c r="ALN85" s="368"/>
      <c r="ALO85" s="368"/>
      <c r="ALP85" s="368"/>
      <c r="ALQ85" s="368"/>
      <c r="ALR85" s="368"/>
      <c r="ALS85" s="368"/>
      <c r="ALT85" s="368"/>
      <c r="ALU85" s="368"/>
      <c r="ALV85" s="368"/>
      <c r="ALW85" s="368"/>
      <c r="ALX85" s="368"/>
      <c r="ALY85" s="368"/>
      <c r="ALZ85" s="368"/>
      <c r="AMA85" s="368"/>
      <c r="AMB85" s="368"/>
      <c r="AMC85" s="368"/>
      <c r="AMD85" s="368"/>
      <c r="AME85" s="368"/>
      <c r="AMF85" s="368"/>
      <c r="AMG85" s="368"/>
      <c r="AMH85" s="368"/>
      <c r="AMI85" s="368"/>
      <c r="AMJ85" s="368"/>
    </row>
    <row r="86" spans="1:1024" s="125" customFormat="1" ht="12.75">
      <c r="B86" s="618" t="s">
        <v>3505</v>
      </c>
      <c r="C86" s="619"/>
      <c r="D86" s="619"/>
      <c r="E86" s="212">
        <f>E36+E56+E84</f>
        <v>104587057</v>
      </c>
      <c r="F86" s="212">
        <f>F36+F56+F84</f>
        <v>516079</v>
      </c>
      <c r="G86" s="212">
        <f>G36+G56+G84</f>
        <v>-178190432</v>
      </c>
      <c r="H86" s="213">
        <f>H36+H56+H84</f>
        <v>0</v>
      </c>
    </row>
    <row r="87" spans="1:1024" s="125" customFormat="1" ht="12.75">
      <c r="B87" s="618" t="s">
        <v>3506</v>
      </c>
      <c r="C87" s="619"/>
      <c r="D87" s="619"/>
      <c r="E87" s="212">
        <f>'Consolidated Financials'!G213</f>
        <v>73087296</v>
      </c>
      <c r="F87" s="212">
        <f>'Consolidated Financials'!H213</f>
        <v>177674353</v>
      </c>
      <c r="G87" s="212">
        <f>'Consolidated Financials'!I213</f>
        <v>178190432</v>
      </c>
      <c r="H87" s="213">
        <f>'Consolidated Financials'!J213</f>
        <v>0</v>
      </c>
    </row>
    <row r="88" spans="1:1024" s="125" customFormat="1" ht="12.75">
      <c r="B88" s="686" t="s">
        <v>3507</v>
      </c>
      <c r="C88" s="768"/>
      <c r="D88" s="768"/>
      <c r="E88" s="344">
        <f>'Consolidated Financials'!H213</f>
        <v>177674353</v>
      </c>
      <c r="F88" s="344">
        <f>'Consolidated Financials'!I213</f>
        <v>178190432</v>
      </c>
      <c r="G88" s="344">
        <f>'Consolidated Financials'!J213</f>
        <v>0</v>
      </c>
      <c r="H88" s="345">
        <f>'Consolidated Financials'!K213</f>
        <v>0</v>
      </c>
    </row>
    <row r="89" spans="1:1024" s="125" customFormat="1" ht="12.75">
      <c r="E89" s="371"/>
      <c r="F89" s="371"/>
      <c r="G89" s="371"/>
      <c r="H89" s="371"/>
    </row>
    <row r="90" spans="1:1024" ht="15">
      <c r="A90" s="368"/>
      <c r="B90" s="764" t="s">
        <v>3508</v>
      </c>
      <c r="C90" s="764"/>
      <c r="D90" s="764"/>
      <c r="E90" s="385">
        <f>E86+E87-E88</f>
        <v>0</v>
      </c>
      <c r="F90" s="385">
        <f>F86+F87-F88</f>
        <v>0</v>
      </c>
      <c r="G90" s="385">
        <f>G86+G87-G88</f>
        <v>0</v>
      </c>
      <c r="H90" s="385">
        <f>H86+H87-H88</f>
        <v>0</v>
      </c>
      <c r="I90" s="368"/>
      <c r="J90" s="368"/>
      <c r="K90" s="368"/>
      <c r="L90" s="368"/>
      <c r="M90" s="368"/>
      <c r="N90" s="368"/>
      <c r="O90" s="368"/>
      <c r="P90" s="368"/>
      <c r="Q90" s="368"/>
      <c r="R90" s="368"/>
      <c r="S90" s="368"/>
      <c r="T90" s="368"/>
      <c r="U90" s="368"/>
      <c r="V90" s="368"/>
      <c r="W90" s="368"/>
      <c r="X90" s="368"/>
      <c r="Y90" s="368"/>
      <c r="Z90" s="368"/>
      <c r="AA90" s="368"/>
      <c r="AB90" s="368"/>
      <c r="AC90" s="368"/>
      <c r="AD90" s="368"/>
      <c r="AE90" s="368"/>
      <c r="AF90" s="368"/>
      <c r="AG90" s="368"/>
      <c r="AH90" s="368"/>
      <c r="AI90" s="368"/>
      <c r="AJ90" s="368"/>
      <c r="AK90" s="368"/>
      <c r="AL90" s="368"/>
      <c r="AM90" s="368"/>
      <c r="AN90" s="368"/>
      <c r="AO90" s="368"/>
      <c r="AP90" s="368"/>
      <c r="AQ90" s="368"/>
      <c r="AR90" s="368"/>
      <c r="AS90" s="368"/>
      <c r="AT90" s="368"/>
      <c r="AU90" s="368"/>
      <c r="AV90" s="368"/>
      <c r="AW90" s="368"/>
      <c r="AX90" s="368"/>
      <c r="AY90" s="368"/>
      <c r="AZ90" s="368"/>
      <c r="BA90" s="368"/>
      <c r="BB90" s="368"/>
      <c r="BC90" s="368"/>
      <c r="BD90" s="368"/>
      <c r="BE90" s="368"/>
      <c r="BF90" s="368"/>
      <c r="BG90" s="368"/>
      <c r="BH90" s="368"/>
      <c r="BI90" s="368"/>
      <c r="BJ90" s="368"/>
      <c r="BK90" s="368"/>
      <c r="BL90" s="368"/>
      <c r="BM90" s="368"/>
      <c r="BN90" s="368"/>
      <c r="BO90" s="368"/>
      <c r="BP90" s="368"/>
      <c r="BQ90" s="368"/>
      <c r="BR90" s="368"/>
      <c r="BS90" s="368"/>
      <c r="BT90" s="368"/>
      <c r="BU90" s="368"/>
      <c r="BV90" s="368"/>
      <c r="BW90" s="368"/>
      <c r="BX90" s="368"/>
      <c r="BY90" s="368"/>
      <c r="BZ90" s="368"/>
      <c r="CA90" s="368"/>
      <c r="CB90" s="368"/>
      <c r="CC90" s="368"/>
      <c r="CD90" s="368"/>
      <c r="CE90" s="368"/>
      <c r="CF90" s="368"/>
      <c r="CG90" s="368"/>
      <c r="CH90" s="368"/>
      <c r="CI90" s="368"/>
      <c r="CJ90" s="368"/>
      <c r="CK90" s="368"/>
      <c r="CL90" s="368"/>
      <c r="CM90" s="368"/>
      <c r="CN90" s="368"/>
      <c r="CO90" s="368"/>
      <c r="CP90" s="368"/>
      <c r="CQ90" s="368"/>
      <c r="CR90" s="368"/>
      <c r="CS90" s="368"/>
      <c r="CT90" s="368"/>
      <c r="CU90" s="368"/>
      <c r="CV90" s="368"/>
      <c r="CW90" s="368"/>
      <c r="CX90" s="368"/>
      <c r="CY90" s="368"/>
      <c r="CZ90" s="368"/>
      <c r="DA90" s="368"/>
      <c r="DB90" s="368"/>
      <c r="DC90" s="368"/>
      <c r="DD90" s="368"/>
      <c r="DE90" s="368"/>
      <c r="DF90" s="368"/>
      <c r="DG90" s="368"/>
      <c r="DH90" s="368"/>
      <c r="DI90" s="368"/>
      <c r="DJ90" s="368"/>
      <c r="DK90" s="368"/>
      <c r="DL90" s="368"/>
      <c r="DM90" s="368"/>
      <c r="DN90" s="368"/>
      <c r="DO90" s="368"/>
      <c r="DP90" s="368"/>
      <c r="DQ90" s="368"/>
      <c r="DR90" s="368"/>
      <c r="DS90" s="368"/>
      <c r="DT90" s="368"/>
      <c r="DU90" s="368"/>
      <c r="DV90" s="368"/>
      <c r="DW90" s="368"/>
      <c r="DX90" s="368"/>
      <c r="DY90" s="368"/>
      <c r="DZ90" s="368"/>
      <c r="EA90" s="368"/>
      <c r="EB90" s="368"/>
      <c r="EC90" s="368"/>
      <c r="ED90" s="368"/>
      <c r="EE90" s="368"/>
      <c r="EF90" s="368"/>
      <c r="EG90" s="368"/>
      <c r="EH90" s="368"/>
      <c r="EI90" s="368"/>
      <c r="EJ90" s="368"/>
      <c r="EK90" s="368"/>
      <c r="EL90" s="368"/>
      <c r="EM90" s="368"/>
      <c r="EN90" s="368"/>
      <c r="EO90" s="368"/>
      <c r="EP90" s="368"/>
      <c r="EQ90" s="368"/>
      <c r="ER90" s="368"/>
      <c r="ES90" s="368"/>
      <c r="ET90" s="368"/>
      <c r="EU90" s="368"/>
      <c r="EV90" s="368"/>
      <c r="EW90" s="368"/>
      <c r="EX90" s="368"/>
      <c r="EY90" s="368"/>
      <c r="EZ90" s="368"/>
      <c r="FA90" s="368"/>
      <c r="FB90" s="368"/>
      <c r="FC90" s="368"/>
      <c r="FD90" s="368"/>
      <c r="FE90" s="368"/>
      <c r="FF90" s="368"/>
      <c r="FG90" s="368"/>
      <c r="FH90" s="368"/>
      <c r="FI90" s="368"/>
      <c r="FJ90" s="368"/>
      <c r="FK90" s="368"/>
      <c r="FL90" s="368"/>
      <c r="FM90" s="368"/>
      <c r="FN90" s="368"/>
      <c r="FO90" s="368"/>
      <c r="FP90" s="368"/>
      <c r="FQ90" s="368"/>
      <c r="FR90" s="368"/>
      <c r="FS90" s="368"/>
      <c r="FT90" s="368"/>
      <c r="FU90" s="368"/>
      <c r="FV90" s="368"/>
      <c r="FW90" s="368"/>
      <c r="FX90" s="368"/>
      <c r="FY90" s="368"/>
      <c r="FZ90" s="368"/>
      <c r="GA90" s="368"/>
      <c r="GB90" s="368"/>
      <c r="GC90" s="368"/>
      <c r="GD90" s="368"/>
      <c r="GE90" s="368"/>
      <c r="GF90" s="368"/>
      <c r="GG90" s="368"/>
      <c r="GH90" s="368"/>
      <c r="GI90" s="368"/>
      <c r="GJ90" s="368"/>
      <c r="GK90" s="368"/>
      <c r="GL90" s="368"/>
      <c r="GM90" s="368"/>
      <c r="GN90" s="368"/>
      <c r="GO90" s="368"/>
      <c r="GP90" s="368"/>
      <c r="GQ90" s="368"/>
      <c r="GR90" s="368"/>
      <c r="GS90" s="368"/>
      <c r="GT90" s="368"/>
      <c r="GU90" s="368"/>
      <c r="GV90" s="368"/>
      <c r="GW90" s="368"/>
      <c r="GX90" s="368"/>
      <c r="GY90" s="368"/>
      <c r="GZ90" s="368"/>
      <c r="HA90" s="368"/>
      <c r="HB90" s="368"/>
      <c r="HC90" s="368"/>
      <c r="HD90" s="368"/>
      <c r="HE90" s="368"/>
      <c r="HF90" s="368"/>
      <c r="HG90" s="368"/>
      <c r="HH90" s="368"/>
      <c r="HI90" s="368"/>
      <c r="HJ90" s="368"/>
      <c r="HK90" s="368"/>
      <c r="HL90" s="368"/>
      <c r="HM90" s="368"/>
      <c r="HN90" s="368"/>
      <c r="HO90" s="368"/>
      <c r="HP90" s="368"/>
      <c r="HQ90" s="368"/>
      <c r="HR90" s="368"/>
      <c r="HS90" s="368"/>
      <c r="HT90" s="368"/>
      <c r="HU90" s="368"/>
      <c r="HV90" s="368"/>
      <c r="HW90" s="368"/>
      <c r="HX90" s="368"/>
      <c r="HY90" s="368"/>
      <c r="HZ90" s="368"/>
      <c r="IA90" s="368"/>
      <c r="IB90" s="368"/>
      <c r="IC90" s="368"/>
      <c r="ID90" s="368"/>
      <c r="IE90" s="368"/>
      <c r="IF90" s="368"/>
      <c r="IG90" s="368"/>
      <c r="IH90" s="368"/>
      <c r="II90" s="368"/>
      <c r="IJ90" s="368"/>
      <c r="IK90" s="368"/>
      <c r="IL90" s="368"/>
      <c r="IM90" s="368"/>
      <c r="IN90" s="368"/>
      <c r="IO90" s="368"/>
      <c r="IP90" s="368"/>
      <c r="IQ90" s="368"/>
      <c r="IR90" s="368"/>
      <c r="IS90" s="368"/>
      <c r="IT90" s="368"/>
      <c r="IU90" s="368"/>
      <c r="IV90" s="368"/>
      <c r="IW90" s="368"/>
      <c r="IX90" s="368"/>
      <c r="IY90" s="368"/>
      <c r="IZ90" s="368"/>
      <c r="JA90" s="368"/>
      <c r="JB90" s="368"/>
      <c r="JC90" s="368"/>
      <c r="JD90" s="368"/>
      <c r="JE90" s="368"/>
      <c r="JF90" s="368"/>
      <c r="JG90" s="368"/>
      <c r="JH90" s="368"/>
      <c r="JI90" s="368"/>
      <c r="JJ90" s="368"/>
      <c r="JK90" s="368"/>
      <c r="JL90" s="368"/>
      <c r="JM90" s="368"/>
      <c r="JN90" s="368"/>
      <c r="JO90" s="368"/>
      <c r="JP90" s="368"/>
      <c r="JQ90" s="368"/>
      <c r="JR90" s="368"/>
      <c r="JS90" s="368"/>
      <c r="JT90" s="368"/>
      <c r="JU90" s="368"/>
      <c r="JV90" s="368"/>
      <c r="JW90" s="368"/>
      <c r="JX90" s="368"/>
      <c r="JY90" s="368"/>
      <c r="JZ90" s="368"/>
      <c r="KA90" s="368"/>
      <c r="KB90" s="368"/>
      <c r="KC90" s="368"/>
      <c r="KD90" s="368"/>
      <c r="KE90" s="368"/>
      <c r="KF90" s="368"/>
      <c r="KG90" s="368"/>
      <c r="KH90" s="368"/>
      <c r="KI90" s="368"/>
      <c r="KJ90" s="368"/>
      <c r="KK90" s="368"/>
      <c r="KL90" s="368"/>
      <c r="KM90" s="368"/>
      <c r="KN90" s="368"/>
      <c r="KO90" s="368"/>
      <c r="KP90" s="368"/>
      <c r="KQ90" s="368"/>
      <c r="KR90" s="368"/>
      <c r="KS90" s="368"/>
      <c r="KT90" s="368"/>
      <c r="KU90" s="368"/>
      <c r="KV90" s="368"/>
      <c r="KW90" s="368"/>
      <c r="KX90" s="368"/>
      <c r="KY90" s="368"/>
      <c r="KZ90" s="368"/>
      <c r="LA90" s="368"/>
      <c r="LB90" s="368"/>
      <c r="LC90" s="368"/>
      <c r="LD90" s="368"/>
      <c r="LE90" s="368"/>
      <c r="LF90" s="368"/>
      <c r="LG90" s="368"/>
      <c r="LH90" s="368"/>
      <c r="LI90" s="368"/>
      <c r="LJ90" s="368"/>
      <c r="LK90" s="368"/>
      <c r="LL90" s="368"/>
      <c r="LM90" s="368"/>
      <c r="LN90" s="368"/>
      <c r="LO90" s="368"/>
      <c r="LP90" s="368"/>
      <c r="LQ90" s="368"/>
      <c r="LR90" s="368"/>
      <c r="LS90" s="368"/>
      <c r="LT90" s="368"/>
      <c r="LU90" s="368"/>
      <c r="LV90" s="368"/>
      <c r="LW90" s="368"/>
      <c r="LX90" s="368"/>
      <c r="LY90" s="368"/>
      <c r="LZ90" s="368"/>
      <c r="MA90" s="368"/>
      <c r="MB90" s="368"/>
      <c r="MC90" s="368"/>
      <c r="MD90" s="368"/>
      <c r="ME90" s="368"/>
      <c r="MF90" s="368"/>
      <c r="MG90" s="368"/>
      <c r="MH90" s="368"/>
      <c r="MI90" s="368"/>
      <c r="MJ90" s="368"/>
      <c r="MK90" s="368"/>
      <c r="ML90" s="368"/>
      <c r="MM90" s="368"/>
      <c r="MN90" s="368"/>
      <c r="MO90" s="368"/>
      <c r="MP90" s="368"/>
      <c r="MQ90" s="368"/>
      <c r="MR90" s="368"/>
      <c r="MS90" s="368"/>
      <c r="MT90" s="368"/>
      <c r="MU90" s="368"/>
      <c r="MV90" s="368"/>
      <c r="MW90" s="368"/>
      <c r="MX90" s="368"/>
      <c r="MY90" s="368"/>
      <c r="MZ90" s="368"/>
      <c r="NA90" s="368"/>
      <c r="NB90" s="368"/>
      <c r="NC90" s="368"/>
      <c r="ND90" s="368"/>
      <c r="NE90" s="368"/>
      <c r="NF90" s="368"/>
      <c r="NG90" s="368"/>
      <c r="NH90" s="368"/>
      <c r="NI90" s="368"/>
      <c r="NJ90" s="368"/>
      <c r="NK90" s="368"/>
      <c r="NL90" s="368"/>
      <c r="NM90" s="368"/>
      <c r="NN90" s="368"/>
      <c r="NO90" s="368"/>
      <c r="NP90" s="368"/>
      <c r="NQ90" s="368"/>
      <c r="NR90" s="368"/>
      <c r="NS90" s="368"/>
      <c r="NT90" s="368"/>
      <c r="NU90" s="368"/>
      <c r="NV90" s="368"/>
      <c r="NW90" s="368"/>
      <c r="NX90" s="368"/>
      <c r="NY90" s="368"/>
      <c r="NZ90" s="368"/>
      <c r="OA90" s="368"/>
      <c r="OB90" s="368"/>
      <c r="OC90" s="368"/>
      <c r="OD90" s="368"/>
      <c r="OE90" s="368"/>
      <c r="OF90" s="368"/>
      <c r="OG90" s="368"/>
      <c r="OH90" s="368"/>
      <c r="OI90" s="368"/>
      <c r="OJ90" s="368"/>
      <c r="OK90" s="368"/>
      <c r="OL90" s="368"/>
      <c r="OM90" s="368"/>
      <c r="ON90" s="368"/>
      <c r="OO90" s="368"/>
      <c r="OP90" s="368"/>
      <c r="OQ90" s="368"/>
      <c r="OR90" s="368"/>
      <c r="OS90" s="368"/>
      <c r="OT90" s="368"/>
      <c r="OU90" s="368"/>
      <c r="OV90" s="368"/>
      <c r="OW90" s="368"/>
      <c r="OX90" s="368"/>
      <c r="OY90" s="368"/>
      <c r="OZ90" s="368"/>
      <c r="PA90" s="368"/>
      <c r="PB90" s="368"/>
      <c r="PC90" s="368"/>
      <c r="PD90" s="368"/>
      <c r="PE90" s="368"/>
      <c r="PF90" s="368"/>
      <c r="PG90" s="368"/>
      <c r="PH90" s="368"/>
      <c r="PI90" s="368"/>
      <c r="PJ90" s="368"/>
      <c r="PK90" s="368"/>
      <c r="PL90" s="368"/>
      <c r="PM90" s="368"/>
      <c r="PN90" s="368"/>
      <c r="PO90" s="368"/>
      <c r="PP90" s="368"/>
      <c r="PQ90" s="368"/>
      <c r="PR90" s="368"/>
      <c r="PS90" s="368"/>
      <c r="PT90" s="368"/>
      <c r="PU90" s="368"/>
      <c r="PV90" s="368"/>
      <c r="PW90" s="368"/>
      <c r="PX90" s="368"/>
      <c r="PY90" s="368"/>
      <c r="PZ90" s="368"/>
      <c r="QA90" s="368"/>
      <c r="QB90" s="368"/>
      <c r="QC90" s="368"/>
      <c r="QD90" s="368"/>
      <c r="QE90" s="368"/>
      <c r="QF90" s="368"/>
      <c r="QG90" s="368"/>
      <c r="QH90" s="368"/>
      <c r="QI90" s="368"/>
      <c r="QJ90" s="368"/>
      <c r="QK90" s="368"/>
      <c r="QL90" s="368"/>
      <c r="QM90" s="368"/>
      <c r="QN90" s="368"/>
      <c r="QO90" s="368"/>
      <c r="QP90" s="368"/>
      <c r="QQ90" s="368"/>
      <c r="QR90" s="368"/>
      <c r="QS90" s="368"/>
      <c r="QT90" s="368"/>
      <c r="QU90" s="368"/>
      <c r="QV90" s="368"/>
      <c r="QW90" s="368"/>
      <c r="QX90" s="368"/>
      <c r="QY90" s="368"/>
      <c r="QZ90" s="368"/>
      <c r="RA90" s="368"/>
      <c r="RB90" s="368"/>
      <c r="RC90" s="368"/>
      <c r="RD90" s="368"/>
      <c r="RE90" s="368"/>
      <c r="RF90" s="368"/>
      <c r="RG90" s="368"/>
      <c r="RH90" s="368"/>
      <c r="RI90" s="368"/>
      <c r="RJ90" s="368"/>
      <c r="RK90" s="368"/>
      <c r="RL90" s="368"/>
      <c r="RM90" s="368"/>
      <c r="RN90" s="368"/>
      <c r="RO90" s="368"/>
      <c r="RP90" s="368"/>
      <c r="RQ90" s="368"/>
      <c r="RR90" s="368"/>
      <c r="RS90" s="368"/>
      <c r="RT90" s="368"/>
      <c r="RU90" s="368"/>
      <c r="RV90" s="368"/>
      <c r="RW90" s="368"/>
      <c r="RX90" s="368"/>
      <c r="RY90" s="368"/>
      <c r="RZ90" s="368"/>
      <c r="SA90" s="368"/>
      <c r="SB90" s="368"/>
      <c r="SC90" s="368"/>
      <c r="SD90" s="368"/>
      <c r="SE90" s="368"/>
      <c r="SF90" s="368"/>
      <c r="SG90" s="368"/>
      <c r="SH90" s="368"/>
      <c r="SI90" s="368"/>
      <c r="SJ90" s="368"/>
      <c r="SK90" s="368"/>
      <c r="SL90" s="368"/>
      <c r="SM90" s="368"/>
      <c r="SN90" s="368"/>
      <c r="SO90" s="368"/>
      <c r="SP90" s="368"/>
      <c r="SQ90" s="368"/>
      <c r="SR90" s="368"/>
      <c r="SS90" s="368"/>
      <c r="ST90" s="368"/>
      <c r="SU90" s="368"/>
      <c r="SV90" s="368"/>
      <c r="SW90" s="368"/>
      <c r="SX90" s="368"/>
      <c r="SY90" s="368"/>
      <c r="SZ90" s="368"/>
      <c r="TA90" s="368"/>
      <c r="TB90" s="368"/>
      <c r="TC90" s="368"/>
      <c r="TD90" s="368"/>
      <c r="TE90" s="368"/>
      <c r="TF90" s="368"/>
      <c r="TG90" s="368"/>
      <c r="TH90" s="368"/>
      <c r="TI90" s="368"/>
      <c r="TJ90" s="368"/>
      <c r="TK90" s="368"/>
      <c r="TL90" s="368"/>
      <c r="TM90" s="368"/>
      <c r="TN90" s="368"/>
      <c r="TO90" s="368"/>
      <c r="TP90" s="368"/>
      <c r="TQ90" s="368"/>
      <c r="TR90" s="368"/>
      <c r="TS90" s="368"/>
      <c r="TT90" s="368"/>
      <c r="TU90" s="368"/>
      <c r="TV90" s="368"/>
      <c r="TW90" s="368"/>
      <c r="TX90" s="368"/>
      <c r="TY90" s="368"/>
      <c r="TZ90" s="368"/>
      <c r="UA90" s="368"/>
      <c r="UB90" s="368"/>
      <c r="UC90" s="368"/>
      <c r="UD90" s="368"/>
      <c r="UE90" s="368"/>
      <c r="UF90" s="368"/>
      <c r="UG90" s="368"/>
      <c r="UH90" s="368"/>
      <c r="UI90" s="368"/>
      <c r="UJ90" s="368"/>
      <c r="UK90" s="368"/>
      <c r="UL90" s="368"/>
      <c r="UM90" s="368"/>
      <c r="UN90" s="368"/>
      <c r="UO90" s="368"/>
      <c r="UP90" s="368"/>
      <c r="UQ90" s="368"/>
      <c r="UR90" s="368"/>
      <c r="US90" s="368"/>
      <c r="UT90" s="368"/>
      <c r="UU90" s="368"/>
      <c r="UV90" s="368"/>
      <c r="UW90" s="368"/>
      <c r="UX90" s="368"/>
      <c r="UY90" s="368"/>
      <c r="UZ90" s="368"/>
      <c r="VA90" s="368"/>
      <c r="VB90" s="368"/>
      <c r="VC90" s="368"/>
      <c r="VD90" s="368"/>
      <c r="VE90" s="368"/>
      <c r="VF90" s="368"/>
      <c r="VG90" s="368"/>
      <c r="VH90" s="368"/>
      <c r="VI90" s="368"/>
      <c r="VJ90" s="368"/>
      <c r="VK90" s="368"/>
      <c r="VL90" s="368"/>
      <c r="VM90" s="368"/>
      <c r="VN90" s="368"/>
      <c r="VO90" s="368"/>
      <c r="VP90" s="368"/>
      <c r="VQ90" s="368"/>
      <c r="VR90" s="368"/>
      <c r="VS90" s="368"/>
      <c r="VT90" s="368"/>
      <c r="VU90" s="368"/>
      <c r="VV90" s="368"/>
      <c r="VW90" s="368"/>
      <c r="VX90" s="368"/>
      <c r="VY90" s="368"/>
      <c r="VZ90" s="368"/>
      <c r="WA90" s="368"/>
      <c r="WB90" s="368"/>
      <c r="WC90" s="368"/>
      <c r="WD90" s="368"/>
      <c r="WE90" s="368"/>
      <c r="WF90" s="368"/>
      <c r="WG90" s="368"/>
      <c r="WH90" s="368"/>
      <c r="WI90" s="368"/>
      <c r="WJ90" s="368"/>
      <c r="WK90" s="368"/>
      <c r="WL90" s="368"/>
      <c r="WM90" s="368"/>
      <c r="WN90" s="368"/>
      <c r="WO90" s="368"/>
      <c r="WP90" s="368"/>
      <c r="WQ90" s="368"/>
      <c r="WR90" s="368"/>
      <c r="WS90" s="368"/>
      <c r="WT90" s="368"/>
      <c r="WU90" s="368"/>
      <c r="WV90" s="368"/>
      <c r="WW90" s="368"/>
      <c r="WX90" s="368"/>
      <c r="WY90" s="368"/>
      <c r="WZ90" s="368"/>
      <c r="XA90" s="368"/>
      <c r="XB90" s="368"/>
      <c r="XC90" s="368"/>
      <c r="XD90" s="368"/>
      <c r="XE90" s="368"/>
      <c r="XF90" s="368"/>
      <c r="XG90" s="368"/>
      <c r="XH90" s="368"/>
      <c r="XI90" s="368"/>
      <c r="XJ90" s="368"/>
      <c r="XK90" s="368"/>
      <c r="XL90" s="368"/>
      <c r="XM90" s="368"/>
      <c r="XN90" s="368"/>
      <c r="XO90" s="368"/>
      <c r="XP90" s="368"/>
      <c r="XQ90" s="368"/>
      <c r="XR90" s="368"/>
      <c r="XS90" s="368"/>
      <c r="XT90" s="368"/>
      <c r="XU90" s="368"/>
      <c r="XV90" s="368"/>
      <c r="XW90" s="368"/>
      <c r="XX90" s="368"/>
      <c r="XY90" s="368"/>
      <c r="XZ90" s="368"/>
      <c r="YA90" s="368"/>
      <c r="YB90" s="368"/>
      <c r="YC90" s="368"/>
      <c r="YD90" s="368"/>
      <c r="YE90" s="368"/>
      <c r="YF90" s="368"/>
      <c r="YG90" s="368"/>
      <c r="YH90" s="368"/>
      <c r="YI90" s="368"/>
      <c r="YJ90" s="368"/>
      <c r="YK90" s="368"/>
      <c r="YL90" s="368"/>
      <c r="YM90" s="368"/>
      <c r="YN90" s="368"/>
      <c r="YO90" s="368"/>
      <c r="YP90" s="368"/>
      <c r="YQ90" s="368"/>
      <c r="YR90" s="368"/>
      <c r="YS90" s="368"/>
      <c r="YT90" s="368"/>
      <c r="YU90" s="368"/>
      <c r="YV90" s="368"/>
      <c r="YW90" s="368"/>
      <c r="YX90" s="368"/>
      <c r="YY90" s="368"/>
      <c r="YZ90" s="368"/>
      <c r="ZA90" s="368"/>
      <c r="ZB90" s="368"/>
      <c r="ZC90" s="368"/>
      <c r="ZD90" s="368"/>
      <c r="ZE90" s="368"/>
      <c r="ZF90" s="368"/>
      <c r="ZG90" s="368"/>
      <c r="ZH90" s="368"/>
      <c r="ZI90" s="368"/>
      <c r="ZJ90" s="368"/>
      <c r="ZK90" s="368"/>
      <c r="ZL90" s="368"/>
      <c r="ZM90" s="368"/>
      <c r="ZN90" s="368"/>
      <c r="ZO90" s="368"/>
      <c r="ZP90" s="368"/>
      <c r="ZQ90" s="368"/>
      <c r="ZR90" s="368"/>
      <c r="ZS90" s="368"/>
      <c r="ZT90" s="368"/>
      <c r="ZU90" s="368"/>
      <c r="ZV90" s="368"/>
      <c r="ZW90" s="368"/>
      <c r="ZX90" s="368"/>
      <c r="ZY90" s="368"/>
      <c r="ZZ90" s="368"/>
      <c r="AAA90" s="368"/>
      <c r="AAB90" s="368"/>
      <c r="AAC90" s="368"/>
      <c r="AAD90" s="368"/>
      <c r="AAE90" s="368"/>
      <c r="AAF90" s="368"/>
      <c r="AAG90" s="368"/>
      <c r="AAH90" s="368"/>
      <c r="AAI90" s="368"/>
      <c r="AAJ90" s="368"/>
      <c r="AAK90" s="368"/>
      <c r="AAL90" s="368"/>
      <c r="AAM90" s="368"/>
      <c r="AAN90" s="368"/>
      <c r="AAO90" s="368"/>
      <c r="AAP90" s="368"/>
      <c r="AAQ90" s="368"/>
      <c r="AAR90" s="368"/>
      <c r="AAS90" s="368"/>
      <c r="AAT90" s="368"/>
      <c r="AAU90" s="368"/>
      <c r="AAV90" s="368"/>
      <c r="AAW90" s="368"/>
      <c r="AAX90" s="368"/>
      <c r="AAY90" s="368"/>
      <c r="AAZ90" s="368"/>
      <c r="ABA90" s="368"/>
      <c r="ABB90" s="368"/>
      <c r="ABC90" s="368"/>
      <c r="ABD90" s="368"/>
      <c r="ABE90" s="368"/>
      <c r="ABF90" s="368"/>
      <c r="ABG90" s="368"/>
      <c r="ABH90" s="368"/>
      <c r="ABI90" s="368"/>
      <c r="ABJ90" s="368"/>
      <c r="ABK90" s="368"/>
      <c r="ABL90" s="368"/>
      <c r="ABM90" s="368"/>
      <c r="ABN90" s="368"/>
      <c r="ABO90" s="368"/>
      <c r="ABP90" s="368"/>
      <c r="ABQ90" s="368"/>
      <c r="ABR90" s="368"/>
      <c r="ABS90" s="368"/>
      <c r="ABT90" s="368"/>
      <c r="ABU90" s="368"/>
      <c r="ABV90" s="368"/>
      <c r="ABW90" s="368"/>
      <c r="ABX90" s="368"/>
      <c r="ABY90" s="368"/>
      <c r="ABZ90" s="368"/>
      <c r="ACA90" s="368"/>
      <c r="ACB90" s="368"/>
      <c r="ACC90" s="368"/>
      <c r="ACD90" s="368"/>
      <c r="ACE90" s="368"/>
      <c r="ACF90" s="368"/>
      <c r="ACG90" s="368"/>
      <c r="ACH90" s="368"/>
      <c r="ACI90" s="368"/>
      <c r="ACJ90" s="368"/>
      <c r="ACK90" s="368"/>
      <c r="ACL90" s="368"/>
      <c r="ACM90" s="368"/>
      <c r="ACN90" s="368"/>
      <c r="ACO90" s="368"/>
      <c r="ACP90" s="368"/>
      <c r="ACQ90" s="368"/>
      <c r="ACR90" s="368"/>
      <c r="ACS90" s="368"/>
      <c r="ACT90" s="368"/>
      <c r="ACU90" s="368"/>
      <c r="ACV90" s="368"/>
      <c r="ACW90" s="368"/>
      <c r="ACX90" s="368"/>
      <c r="ACY90" s="368"/>
      <c r="ACZ90" s="368"/>
      <c r="ADA90" s="368"/>
      <c r="ADB90" s="368"/>
      <c r="ADC90" s="368"/>
      <c r="ADD90" s="368"/>
      <c r="ADE90" s="368"/>
      <c r="ADF90" s="368"/>
      <c r="ADG90" s="368"/>
      <c r="ADH90" s="368"/>
      <c r="ADI90" s="368"/>
      <c r="ADJ90" s="368"/>
      <c r="ADK90" s="368"/>
      <c r="ADL90" s="368"/>
      <c r="ADM90" s="368"/>
      <c r="ADN90" s="368"/>
      <c r="ADO90" s="368"/>
      <c r="ADP90" s="368"/>
      <c r="ADQ90" s="368"/>
      <c r="ADR90" s="368"/>
      <c r="ADS90" s="368"/>
      <c r="ADT90" s="368"/>
      <c r="ADU90" s="368"/>
      <c r="ADV90" s="368"/>
      <c r="ADW90" s="368"/>
      <c r="ADX90" s="368"/>
      <c r="ADY90" s="368"/>
      <c r="ADZ90" s="368"/>
      <c r="AEA90" s="368"/>
      <c r="AEB90" s="368"/>
      <c r="AEC90" s="368"/>
      <c r="AED90" s="368"/>
      <c r="AEE90" s="368"/>
      <c r="AEF90" s="368"/>
      <c r="AEG90" s="368"/>
      <c r="AEH90" s="368"/>
      <c r="AEI90" s="368"/>
      <c r="AEJ90" s="368"/>
      <c r="AEK90" s="368"/>
      <c r="AEL90" s="368"/>
      <c r="AEM90" s="368"/>
      <c r="AEN90" s="368"/>
      <c r="AEO90" s="368"/>
      <c r="AEP90" s="368"/>
      <c r="AEQ90" s="368"/>
      <c r="AER90" s="368"/>
      <c r="AES90" s="368"/>
      <c r="AET90" s="368"/>
      <c r="AEU90" s="368"/>
      <c r="AEV90" s="368"/>
      <c r="AEW90" s="368"/>
      <c r="AEX90" s="368"/>
      <c r="AEY90" s="368"/>
      <c r="AEZ90" s="368"/>
      <c r="AFA90" s="368"/>
      <c r="AFB90" s="368"/>
      <c r="AFC90" s="368"/>
      <c r="AFD90" s="368"/>
      <c r="AFE90" s="368"/>
      <c r="AFF90" s="368"/>
      <c r="AFG90" s="368"/>
      <c r="AFH90" s="368"/>
      <c r="AFI90" s="368"/>
      <c r="AFJ90" s="368"/>
      <c r="AFK90" s="368"/>
      <c r="AFL90" s="368"/>
      <c r="AFM90" s="368"/>
      <c r="AFN90" s="368"/>
      <c r="AFO90" s="368"/>
      <c r="AFP90" s="368"/>
      <c r="AFQ90" s="368"/>
      <c r="AFR90" s="368"/>
      <c r="AFS90" s="368"/>
      <c r="AFT90" s="368"/>
      <c r="AFU90" s="368"/>
      <c r="AFV90" s="368"/>
      <c r="AFW90" s="368"/>
      <c r="AFX90" s="368"/>
      <c r="AFY90" s="368"/>
      <c r="AFZ90" s="368"/>
      <c r="AGA90" s="368"/>
      <c r="AGB90" s="368"/>
      <c r="AGC90" s="368"/>
      <c r="AGD90" s="368"/>
      <c r="AGE90" s="368"/>
      <c r="AGF90" s="368"/>
      <c r="AGG90" s="368"/>
      <c r="AGH90" s="368"/>
      <c r="AGI90" s="368"/>
      <c r="AGJ90" s="368"/>
      <c r="AGK90" s="368"/>
      <c r="AGL90" s="368"/>
      <c r="AGM90" s="368"/>
      <c r="AGN90" s="368"/>
      <c r="AGO90" s="368"/>
      <c r="AGP90" s="368"/>
      <c r="AGQ90" s="368"/>
      <c r="AGR90" s="368"/>
      <c r="AGS90" s="368"/>
      <c r="AGT90" s="368"/>
      <c r="AGU90" s="368"/>
      <c r="AGV90" s="368"/>
      <c r="AGW90" s="368"/>
      <c r="AGX90" s="368"/>
      <c r="AGY90" s="368"/>
      <c r="AGZ90" s="368"/>
      <c r="AHA90" s="368"/>
      <c r="AHB90" s="368"/>
      <c r="AHC90" s="368"/>
      <c r="AHD90" s="368"/>
      <c r="AHE90" s="368"/>
      <c r="AHF90" s="368"/>
      <c r="AHG90" s="368"/>
      <c r="AHH90" s="368"/>
      <c r="AHI90" s="368"/>
      <c r="AHJ90" s="368"/>
      <c r="AHK90" s="368"/>
      <c r="AHL90" s="368"/>
      <c r="AHM90" s="368"/>
      <c r="AHN90" s="368"/>
      <c r="AHO90" s="368"/>
      <c r="AHP90" s="368"/>
      <c r="AHQ90" s="368"/>
      <c r="AHR90" s="368"/>
      <c r="AHS90" s="368"/>
      <c r="AHT90" s="368"/>
      <c r="AHU90" s="368"/>
      <c r="AHV90" s="368"/>
      <c r="AHW90" s="368"/>
      <c r="AHX90" s="368"/>
      <c r="AHY90" s="368"/>
      <c r="AHZ90" s="368"/>
      <c r="AIA90" s="368"/>
      <c r="AIB90" s="368"/>
      <c r="AIC90" s="368"/>
      <c r="AID90" s="368"/>
      <c r="AIE90" s="368"/>
      <c r="AIF90" s="368"/>
      <c r="AIG90" s="368"/>
      <c r="AIH90" s="368"/>
      <c r="AII90" s="368"/>
      <c r="AIJ90" s="368"/>
      <c r="AIK90" s="368"/>
      <c r="AIL90" s="368"/>
      <c r="AIM90" s="368"/>
      <c r="AIN90" s="368"/>
      <c r="AIO90" s="368"/>
      <c r="AIP90" s="368"/>
      <c r="AIQ90" s="368"/>
      <c r="AIR90" s="368"/>
      <c r="AIS90" s="368"/>
      <c r="AIT90" s="368"/>
      <c r="AIU90" s="368"/>
      <c r="AIV90" s="368"/>
      <c r="AIW90" s="368"/>
      <c r="AIX90" s="368"/>
      <c r="AIY90" s="368"/>
      <c r="AIZ90" s="368"/>
      <c r="AJA90" s="368"/>
      <c r="AJB90" s="368"/>
      <c r="AJC90" s="368"/>
      <c r="AJD90" s="368"/>
      <c r="AJE90" s="368"/>
      <c r="AJF90" s="368"/>
      <c r="AJG90" s="368"/>
      <c r="AJH90" s="368"/>
      <c r="AJI90" s="368"/>
      <c r="AJJ90" s="368"/>
      <c r="AJK90" s="368"/>
      <c r="AJL90" s="368"/>
      <c r="AJM90" s="368"/>
      <c r="AJN90" s="368"/>
      <c r="AJO90" s="368"/>
      <c r="AJP90" s="368"/>
      <c r="AJQ90" s="368"/>
      <c r="AJR90" s="368"/>
      <c r="AJS90" s="368"/>
      <c r="AJT90" s="368"/>
      <c r="AJU90" s="368"/>
      <c r="AJV90" s="368"/>
      <c r="AJW90" s="368"/>
      <c r="AJX90" s="368"/>
      <c r="AJY90" s="368"/>
      <c r="AJZ90" s="368"/>
      <c r="AKA90" s="368"/>
      <c r="AKB90" s="368"/>
      <c r="AKC90" s="368"/>
      <c r="AKD90" s="368"/>
      <c r="AKE90" s="368"/>
      <c r="AKF90" s="368"/>
      <c r="AKG90" s="368"/>
      <c r="AKH90" s="368"/>
      <c r="AKI90" s="368"/>
      <c r="AKJ90" s="368"/>
      <c r="AKK90" s="368"/>
      <c r="AKL90" s="368"/>
      <c r="AKM90" s="368"/>
      <c r="AKN90" s="368"/>
      <c r="AKO90" s="368"/>
      <c r="AKP90" s="368"/>
      <c r="AKQ90" s="368"/>
      <c r="AKR90" s="368"/>
      <c r="AKS90" s="368"/>
      <c r="AKT90" s="368"/>
      <c r="AKU90" s="368"/>
      <c r="AKV90" s="368"/>
      <c r="AKW90" s="368"/>
      <c r="AKX90" s="368"/>
      <c r="AKY90" s="368"/>
      <c r="AKZ90" s="368"/>
      <c r="ALA90" s="368"/>
      <c r="ALB90" s="368"/>
      <c r="ALC90" s="368"/>
      <c r="ALD90" s="368"/>
      <c r="ALE90" s="368"/>
      <c r="ALF90" s="368"/>
      <c r="ALG90" s="368"/>
      <c r="ALH90" s="368"/>
      <c r="ALI90" s="368"/>
      <c r="ALJ90" s="368"/>
      <c r="ALK90" s="368"/>
      <c r="ALL90" s="368"/>
      <c r="ALM90" s="368"/>
      <c r="ALN90" s="368"/>
      <c r="ALO90" s="368"/>
      <c r="ALP90" s="368"/>
      <c r="ALQ90" s="368"/>
      <c r="ALR90" s="368"/>
      <c r="ALS90" s="368"/>
      <c r="ALT90" s="368"/>
      <c r="ALU90" s="368"/>
      <c r="ALV90" s="368"/>
      <c r="ALW90" s="368"/>
      <c r="ALX90" s="368"/>
      <c r="ALY90" s="368"/>
      <c r="ALZ90" s="368"/>
      <c r="AMA90" s="368"/>
      <c r="AMB90" s="368"/>
      <c r="AMC90" s="368"/>
      <c r="AMD90" s="368"/>
      <c r="AME90" s="368"/>
      <c r="AMF90" s="368"/>
      <c r="AMG90" s="368"/>
      <c r="AMH90" s="368"/>
      <c r="AMI90" s="368"/>
      <c r="AMJ90" s="368"/>
    </row>
  </sheetData>
  <mergeCells count="57">
    <mergeCell ref="B2:H2"/>
    <mergeCell ref="B31:H31"/>
    <mergeCell ref="C27:D27"/>
    <mergeCell ref="B56:D56"/>
    <mergeCell ref="C23:D23"/>
    <mergeCell ref="B15:B29"/>
    <mergeCell ref="C15:D15"/>
    <mergeCell ref="C44:D44"/>
    <mergeCell ref="C11:D11"/>
    <mergeCell ref="C40:C43"/>
    <mergeCell ref="B7:D7"/>
    <mergeCell ref="B36:D36"/>
    <mergeCell ref="B13:D13"/>
    <mergeCell ref="B30:D30"/>
    <mergeCell ref="B3:D3"/>
    <mergeCell ref="B8:B12"/>
    <mergeCell ref="B85:H85"/>
    <mergeCell ref="B87:D87"/>
    <mergeCell ref="C54:D54"/>
    <mergeCell ref="C21:C22"/>
    <mergeCell ref="C17:D17"/>
    <mergeCell ref="C75:D75"/>
    <mergeCell ref="B38:D38"/>
    <mergeCell ref="C67:D67"/>
    <mergeCell ref="C34:D34"/>
    <mergeCell ref="B4:H4"/>
    <mergeCell ref="C33:D33"/>
    <mergeCell ref="C29:D29"/>
    <mergeCell ref="B58:D58"/>
    <mergeCell ref="C25:D25"/>
    <mergeCell ref="C9:D9"/>
    <mergeCell ref="B5:D5"/>
    <mergeCell ref="C10:D10"/>
    <mergeCell ref="B6:D6"/>
    <mergeCell ref="B32:B35"/>
    <mergeCell ref="C32:D32"/>
    <mergeCell ref="C28:D28"/>
    <mergeCell ref="C16:D16"/>
    <mergeCell ref="C12:D12"/>
    <mergeCell ref="C55:D55"/>
    <mergeCell ref="C18:C19"/>
    <mergeCell ref="C8:D8"/>
    <mergeCell ref="B37:H37"/>
    <mergeCell ref="B90:D90"/>
    <mergeCell ref="B57:H57"/>
    <mergeCell ref="C24:D24"/>
    <mergeCell ref="B86:D86"/>
    <mergeCell ref="C20:D20"/>
    <mergeCell ref="C49:D49"/>
    <mergeCell ref="C78:D78"/>
    <mergeCell ref="C59:D59"/>
    <mergeCell ref="C26:D26"/>
    <mergeCell ref="B88:D88"/>
    <mergeCell ref="B84:D84"/>
    <mergeCell ref="B14:H14"/>
    <mergeCell ref="C76:C77"/>
    <mergeCell ref="C39:D39"/>
  </mergeCell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expression" priority="1" id="{00000000-000E-0000-1100-000001000000}">
            <xm:f>OR('Consolidated Financials'!G$7="",'Consolidated Financials'!H$7="")</xm:f>
            <x14:dxf>
              <font>
                <color rgb="FFF2F2F2"/>
              </font>
              <fill>
                <patternFill patternType="solid">
                  <bgColor rgb="FFF2F2F2"/>
                </patternFill>
              </fill>
            </x14:dxf>
          </x14:cfRule>
          <xm:sqref>E6:H6 E8:H13 E15:H30 E32:H35 E39:H55 E59:H83 E86:H88 E90:H90</xm:sqref>
        </x14:conditionalFormatting>
      </x14:conditionalFormattings>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9">
    <tabColor rgb="FF0F243F"/>
  </sheetPr>
  <dimension ref="A1:AMJ234"/>
  <sheetViews>
    <sheetView workbookViewId="0"/>
  </sheetViews>
  <sheetFormatPr defaultRowHeight="15.75" customHeight="1"/>
  <cols>
    <col min="1" max="1" width="15.5703125" style="1"/>
    <col min="2" max="2" width="19.28515625" style="1"/>
    <col min="3" max="3" width="17.7109375" style="1"/>
    <col min="4" max="4" width="10.140625" style="1"/>
    <col min="5" max="5" width="16.28515625" style="1"/>
    <col min="6" max="7" width="13.42578125" style="1"/>
    <col min="8" max="9" width="17.140625" style="1"/>
    <col min="10" max="15" width="16.42578125" style="1"/>
    <col min="16" max="17" width="19.5703125" style="1"/>
    <col min="18" max="19" width="0" style="1" hidden="1"/>
    <col min="20" max="1024" width="9.85546875" style="1"/>
    <col min="1025" max="1025" width="11.42578125"/>
  </cols>
  <sheetData>
    <row r="1" spans="1:19" ht="15">
      <c r="A1" s="832" t="s">
        <v>3509</v>
      </c>
      <c r="B1" s="833"/>
      <c r="C1" s="834"/>
      <c r="D1" s="835" t="s">
        <v>3510</v>
      </c>
      <c r="E1" s="836"/>
      <c r="F1" s="836"/>
      <c r="G1" s="386" t="s">
        <v>3511</v>
      </c>
      <c r="H1" s="837"/>
      <c r="I1" s="837"/>
      <c r="J1" s="837"/>
      <c r="K1" s="837"/>
      <c r="L1" s="837"/>
      <c r="M1" s="837"/>
      <c r="N1" s="837"/>
      <c r="O1" s="838"/>
    </row>
    <row r="2" spans="1:19" ht="25.5" customHeight="1">
      <c r="A2" s="387" t="s">
        <v>3512</v>
      </c>
      <c r="B2" s="839" t="s">
        <v>3513</v>
      </c>
      <c r="C2" s="840"/>
      <c r="D2" s="839" t="s">
        <v>3514</v>
      </c>
      <c r="E2" s="840"/>
      <c r="F2" s="841" t="s">
        <v>3515</v>
      </c>
      <c r="G2" s="841" t="s">
        <v>3516</v>
      </c>
      <c r="H2" s="843"/>
      <c r="I2" s="389"/>
      <c r="J2" s="839" t="s">
        <v>3517</v>
      </c>
      <c r="K2" s="840"/>
      <c r="L2" s="840"/>
      <c r="M2" s="840"/>
      <c r="N2" s="840"/>
      <c r="O2" s="840"/>
      <c r="P2" s="841" t="s">
        <v>3518</v>
      </c>
      <c r="Q2" s="390"/>
    </row>
    <row r="3" spans="1:19" s="1" customFormat="1" ht="36" customHeight="1">
      <c r="A3" s="387" t="s">
        <v>3519</v>
      </c>
      <c r="B3" s="388" t="s">
        <v>3520</v>
      </c>
      <c r="C3" s="388" t="s">
        <v>3521</v>
      </c>
      <c r="D3" s="388" t="s">
        <v>3522</v>
      </c>
      <c r="E3" s="388" t="s">
        <v>3523</v>
      </c>
      <c r="F3" s="842"/>
      <c r="G3" s="842"/>
      <c r="H3" s="844"/>
      <c r="I3" s="391"/>
      <c r="J3" s="388" t="s">
        <v>3524</v>
      </c>
      <c r="K3" s="388" t="s">
        <v>3525</v>
      </c>
      <c r="L3" s="388" t="s">
        <v>3526</v>
      </c>
      <c r="M3" s="388" t="s">
        <v>3527</v>
      </c>
      <c r="N3" s="388" t="s">
        <v>3528</v>
      </c>
      <c r="O3" s="388" t="s">
        <v>3529</v>
      </c>
      <c r="P3" s="842"/>
      <c r="Q3" s="392"/>
      <c r="S3" s="393" t="s">
        <v>3530</v>
      </c>
    </row>
    <row r="4" spans="1:19" s="1" customFormat="1" ht="15">
      <c r="A4" s="394">
        <f>A30</f>
        <v>44958</v>
      </c>
      <c r="B4" s="395">
        <f t="shared" ref="B4:B15" si="0">B30+B53+B74+B95+B116+B137+B158+B179+B200+B221</f>
        <v>0</v>
      </c>
      <c r="C4" s="395">
        <f t="shared" ref="C4:C15" si="1">C30+C53+C74+C95+C116+C137+C158+C179+C200+C221</f>
        <v>0</v>
      </c>
      <c r="D4" s="395">
        <f t="shared" ref="D4:D15" ca="1" si="2">D30+D53+D74+D95+D116+D137+D158+D179+D200+D221</f>
        <v>0</v>
      </c>
      <c r="E4" s="395">
        <f t="shared" ref="E4:E15" ca="1" si="3">E30+E53+E74+E95+E116+E137+E158+E179+E200+E221</f>
        <v>0</v>
      </c>
      <c r="F4" s="395">
        <f t="shared" ref="F4:F15" si="4">F30+F53+F74+F95+F116+F137+F158+F179+F200+F221</f>
        <v>0</v>
      </c>
      <c r="G4" s="395">
        <f t="shared" ref="G4:G15" si="5">G30+G53+G74+G95+G116+G137+G158+G179+G200+G221</f>
        <v>0</v>
      </c>
      <c r="H4" s="844"/>
      <c r="I4" s="391"/>
      <c r="J4" s="395">
        <f t="shared" ref="J4:J15" si="6">J30+J53+J74+J95+J116+J137+J158+J179+J200+J221</f>
        <v>0</v>
      </c>
      <c r="K4" s="395">
        <f t="shared" ref="K4:K15" si="7">K30+K53+K74+K95+K116+K137+K158+K179+K200+K221</f>
        <v>0</v>
      </c>
      <c r="L4" s="395">
        <f t="shared" ref="L4:L15" si="8">L30+L53+L74+L95+L116+L137+L158+L179+L200+L221</f>
        <v>0</v>
      </c>
      <c r="M4" s="395">
        <f t="shared" ref="M4:M15" si="9">M30+M53+M74+M95+M116+M137+M158+M179+M200+M221</f>
        <v>0</v>
      </c>
      <c r="N4" s="395">
        <f t="shared" ref="N4:N15" si="10">N30+N53+N74+N95+N116+N137+N158+N179+N200+N221</f>
        <v>0</v>
      </c>
      <c r="O4" s="395">
        <f t="shared" ref="O4:O15" si="11">O30+O53+O74+O95+O116+O137+O158+O179+O200+O221</f>
        <v>0</v>
      </c>
      <c r="P4" s="396">
        <f t="shared" ref="P4:P15" si="12">SUM(J4:O4)/COUNT(J4:O4)</f>
        <v>0</v>
      </c>
      <c r="Q4" s="397"/>
      <c r="S4" s="804">
        <f>S30+S55</f>
        <v>0</v>
      </c>
    </row>
    <row r="5" spans="1:19" s="1" customFormat="1" ht="15">
      <c r="A5" s="394">
        <f t="shared" ref="A5:A15" si="13">EDATE(A4,-1)</f>
        <v>44927</v>
      </c>
      <c r="B5" s="395">
        <f t="shared" si="0"/>
        <v>0</v>
      </c>
      <c r="C5" s="395">
        <f t="shared" si="1"/>
        <v>0</v>
      </c>
      <c r="D5" s="395">
        <f t="shared" ca="1" si="2"/>
        <v>0</v>
      </c>
      <c r="E5" s="395">
        <f t="shared" ca="1" si="3"/>
        <v>0</v>
      </c>
      <c r="F5" s="395">
        <f t="shared" si="4"/>
        <v>0</v>
      </c>
      <c r="G5" s="395">
        <f t="shared" si="5"/>
        <v>0</v>
      </c>
      <c r="H5" s="844"/>
      <c r="I5" s="391"/>
      <c r="J5" s="395">
        <f t="shared" si="6"/>
        <v>0</v>
      </c>
      <c r="K5" s="395">
        <f t="shared" si="7"/>
        <v>0</v>
      </c>
      <c r="L5" s="395">
        <f t="shared" si="8"/>
        <v>0</v>
      </c>
      <c r="M5" s="395">
        <f t="shared" si="9"/>
        <v>0</v>
      </c>
      <c r="N5" s="395">
        <f t="shared" si="10"/>
        <v>0</v>
      </c>
      <c r="O5" s="395">
        <f t="shared" si="11"/>
        <v>0</v>
      </c>
      <c r="P5" s="396">
        <f t="shared" si="12"/>
        <v>0</v>
      </c>
      <c r="Q5" s="397"/>
      <c r="S5" s="804"/>
    </row>
    <row r="6" spans="1:19" s="1" customFormat="1" ht="15">
      <c r="A6" s="394">
        <f t="shared" si="13"/>
        <v>44896</v>
      </c>
      <c r="B6" s="395">
        <f t="shared" si="0"/>
        <v>0</v>
      </c>
      <c r="C6" s="395">
        <f t="shared" si="1"/>
        <v>0</v>
      </c>
      <c r="D6" s="395">
        <f t="shared" ca="1" si="2"/>
        <v>0</v>
      </c>
      <c r="E6" s="395">
        <f t="shared" ca="1" si="3"/>
        <v>0</v>
      </c>
      <c r="F6" s="395">
        <f t="shared" si="4"/>
        <v>0</v>
      </c>
      <c r="G6" s="395">
        <f t="shared" si="5"/>
        <v>0</v>
      </c>
      <c r="H6" s="844"/>
      <c r="I6" s="391"/>
      <c r="J6" s="395">
        <f t="shared" si="6"/>
        <v>0</v>
      </c>
      <c r="K6" s="395">
        <f t="shared" si="7"/>
        <v>0</v>
      </c>
      <c r="L6" s="395">
        <f t="shared" si="8"/>
        <v>0</v>
      </c>
      <c r="M6" s="395">
        <f t="shared" si="9"/>
        <v>0</v>
      </c>
      <c r="N6" s="395">
        <f t="shared" si="10"/>
        <v>0</v>
      </c>
      <c r="O6" s="395">
        <f t="shared" si="11"/>
        <v>0</v>
      </c>
      <c r="P6" s="396">
        <f t="shared" si="12"/>
        <v>0</v>
      </c>
      <c r="Q6" s="397"/>
      <c r="S6" s="804"/>
    </row>
    <row r="7" spans="1:19" s="1" customFormat="1" ht="15">
      <c r="A7" s="394">
        <f t="shared" si="13"/>
        <v>44866</v>
      </c>
      <c r="B7" s="395">
        <f t="shared" si="0"/>
        <v>0</v>
      </c>
      <c r="C7" s="395">
        <f t="shared" si="1"/>
        <v>0</v>
      </c>
      <c r="D7" s="395">
        <f t="shared" ca="1" si="2"/>
        <v>0</v>
      </c>
      <c r="E7" s="395">
        <f t="shared" ca="1" si="3"/>
        <v>0</v>
      </c>
      <c r="F7" s="395">
        <f t="shared" si="4"/>
        <v>0</v>
      </c>
      <c r="G7" s="395">
        <f t="shared" si="5"/>
        <v>0</v>
      </c>
      <c r="H7" s="844"/>
      <c r="I7" s="391"/>
      <c r="J7" s="395">
        <f t="shared" si="6"/>
        <v>0</v>
      </c>
      <c r="K7" s="395">
        <f t="shared" si="7"/>
        <v>0</v>
      </c>
      <c r="L7" s="395">
        <f t="shared" si="8"/>
        <v>0</v>
      </c>
      <c r="M7" s="395">
        <f t="shared" si="9"/>
        <v>0</v>
      </c>
      <c r="N7" s="395">
        <f t="shared" si="10"/>
        <v>0</v>
      </c>
      <c r="O7" s="395">
        <f t="shared" si="11"/>
        <v>0</v>
      </c>
      <c r="P7" s="396">
        <f t="shared" si="12"/>
        <v>0</v>
      </c>
      <c r="Q7" s="397"/>
      <c r="S7" s="804"/>
    </row>
    <row r="8" spans="1:19" s="1" customFormat="1" ht="15">
      <c r="A8" s="394">
        <f t="shared" si="13"/>
        <v>44835</v>
      </c>
      <c r="B8" s="395">
        <f t="shared" si="0"/>
        <v>0</v>
      </c>
      <c r="C8" s="395">
        <f t="shared" si="1"/>
        <v>0</v>
      </c>
      <c r="D8" s="395">
        <f t="shared" ca="1" si="2"/>
        <v>0</v>
      </c>
      <c r="E8" s="395">
        <f t="shared" ca="1" si="3"/>
        <v>0</v>
      </c>
      <c r="F8" s="395">
        <f t="shared" si="4"/>
        <v>0</v>
      </c>
      <c r="G8" s="395">
        <f t="shared" si="5"/>
        <v>0</v>
      </c>
      <c r="H8" s="844"/>
      <c r="I8" s="391"/>
      <c r="J8" s="395">
        <f t="shared" si="6"/>
        <v>0</v>
      </c>
      <c r="K8" s="395">
        <f t="shared" si="7"/>
        <v>0</v>
      </c>
      <c r="L8" s="395">
        <f t="shared" si="8"/>
        <v>0</v>
      </c>
      <c r="M8" s="395">
        <f t="shared" si="9"/>
        <v>0</v>
      </c>
      <c r="N8" s="395">
        <f t="shared" si="10"/>
        <v>0</v>
      </c>
      <c r="O8" s="395">
        <f t="shared" si="11"/>
        <v>0</v>
      </c>
      <c r="P8" s="396">
        <f t="shared" si="12"/>
        <v>0</v>
      </c>
      <c r="Q8" s="397"/>
      <c r="S8" s="804"/>
    </row>
    <row r="9" spans="1:19" s="1" customFormat="1" ht="15">
      <c r="A9" s="394">
        <f t="shared" si="13"/>
        <v>44805</v>
      </c>
      <c r="B9" s="395">
        <f t="shared" si="0"/>
        <v>0</v>
      </c>
      <c r="C9" s="395">
        <f t="shared" si="1"/>
        <v>0</v>
      </c>
      <c r="D9" s="395">
        <f t="shared" ca="1" si="2"/>
        <v>0</v>
      </c>
      <c r="E9" s="395">
        <f t="shared" ca="1" si="3"/>
        <v>0</v>
      </c>
      <c r="F9" s="395">
        <f t="shared" si="4"/>
        <v>0</v>
      </c>
      <c r="G9" s="395">
        <f t="shared" si="5"/>
        <v>0</v>
      </c>
      <c r="H9" s="844"/>
      <c r="I9" s="391"/>
      <c r="J9" s="395">
        <f t="shared" si="6"/>
        <v>0</v>
      </c>
      <c r="K9" s="395">
        <f t="shared" si="7"/>
        <v>0</v>
      </c>
      <c r="L9" s="395">
        <f t="shared" si="8"/>
        <v>0</v>
      </c>
      <c r="M9" s="395">
        <f t="shared" si="9"/>
        <v>0</v>
      </c>
      <c r="N9" s="395">
        <f t="shared" si="10"/>
        <v>0</v>
      </c>
      <c r="O9" s="395">
        <f t="shared" si="11"/>
        <v>0</v>
      </c>
      <c r="P9" s="396">
        <f t="shared" si="12"/>
        <v>0</v>
      </c>
      <c r="Q9" s="397"/>
      <c r="S9" s="804"/>
    </row>
    <row r="10" spans="1:19" s="1" customFormat="1" ht="15">
      <c r="A10" s="394">
        <f t="shared" si="13"/>
        <v>44774</v>
      </c>
      <c r="B10" s="395">
        <f t="shared" si="0"/>
        <v>0</v>
      </c>
      <c r="C10" s="395">
        <f t="shared" si="1"/>
        <v>0</v>
      </c>
      <c r="D10" s="395">
        <f t="shared" ca="1" si="2"/>
        <v>0</v>
      </c>
      <c r="E10" s="395">
        <f t="shared" ca="1" si="3"/>
        <v>0</v>
      </c>
      <c r="F10" s="395">
        <f t="shared" si="4"/>
        <v>0</v>
      </c>
      <c r="G10" s="395">
        <f t="shared" si="5"/>
        <v>0</v>
      </c>
      <c r="H10" s="844"/>
      <c r="I10" s="391"/>
      <c r="J10" s="395">
        <f t="shared" si="6"/>
        <v>0</v>
      </c>
      <c r="K10" s="395">
        <f t="shared" si="7"/>
        <v>0</v>
      </c>
      <c r="L10" s="395">
        <f t="shared" si="8"/>
        <v>0</v>
      </c>
      <c r="M10" s="395">
        <f t="shared" si="9"/>
        <v>0</v>
      </c>
      <c r="N10" s="395">
        <f t="shared" si="10"/>
        <v>0</v>
      </c>
      <c r="O10" s="395">
        <f t="shared" si="11"/>
        <v>0</v>
      </c>
      <c r="P10" s="396">
        <f t="shared" si="12"/>
        <v>0</v>
      </c>
      <c r="Q10" s="397"/>
      <c r="S10" s="804">
        <f>S36+S61</f>
        <v>0</v>
      </c>
    </row>
    <row r="11" spans="1:19" s="1" customFormat="1" ht="15">
      <c r="A11" s="394">
        <f t="shared" si="13"/>
        <v>44743</v>
      </c>
      <c r="B11" s="395">
        <f t="shared" si="0"/>
        <v>0</v>
      </c>
      <c r="C11" s="395">
        <f t="shared" si="1"/>
        <v>0</v>
      </c>
      <c r="D11" s="395">
        <f t="shared" ca="1" si="2"/>
        <v>0</v>
      </c>
      <c r="E11" s="395">
        <f t="shared" ca="1" si="3"/>
        <v>0</v>
      </c>
      <c r="F11" s="395">
        <f t="shared" si="4"/>
        <v>0</v>
      </c>
      <c r="G11" s="395">
        <f t="shared" si="5"/>
        <v>0</v>
      </c>
      <c r="H11" s="844"/>
      <c r="I11" s="391"/>
      <c r="J11" s="395">
        <f t="shared" si="6"/>
        <v>0</v>
      </c>
      <c r="K11" s="395">
        <f t="shared" si="7"/>
        <v>0</v>
      </c>
      <c r="L11" s="395">
        <f t="shared" si="8"/>
        <v>0</v>
      </c>
      <c r="M11" s="395">
        <f t="shared" si="9"/>
        <v>0</v>
      </c>
      <c r="N11" s="395">
        <f t="shared" si="10"/>
        <v>0</v>
      </c>
      <c r="O11" s="395">
        <f t="shared" si="11"/>
        <v>0</v>
      </c>
      <c r="P11" s="396">
        <f t="shared" si="12"/>
        <v>0</v>
      </c>
      <c r="Q11" s="397"/>
      <c r="S11" s="804"/>
    </row>
    <row r="12" spans="1:19" s="1" customFormat="1" ht="15">
      <c r="A12" s="394">
        <f t="shared" si="13"/>
        <v>44713</v>
      </c>
      <c r="B12" s="395">
        <f t="shared" si="0"/>
        <v>0</v>
      </c>
      <c r="C12" s="395">
        <f t="shared" si="1"/>
        <v>0</v>
      </c>
      <c r="D12" s="395">
        <f t="shared" ca="1" si="2"/>
        <v>0</v>
      </c>
      <c r="E12" s="395">
        <f t="shared" ca="1" si="3"/>
        <v>0</v>
      </c>
      <c r="F12" s="395">
        <f t="shared" si="4"/>
        <v>0</v>
      </c>
      <c r="G12" s="395">
        <f t="shared" si="5"/>
        <v>0</v>
      </c>
      <c r="H12" s="844"/>
      <c r="I12" s="391"/>
      <c r="J12" s="395">
        <f t="shared" si="6"/>
        <v>0</v>
      </c>
      <c r="K12" s="395">
        <f t="shared" si="7"/>
        <v>0</v>
      </c>
      <c r="L12" s="395">
        <f t="shared" si="8"/>
        <v>0</v>
      </c>
      <c r="M12" s="395">
        <f t="shared" si="9"/>
        <v>0</v>
      </c>
      <c r="N12" s="395">
        <f t="shared" si="10"/>
        <v>0</v>
      </c>
      <c r="O12" s="395">
        <f t="shared" si="11"/>
        <v>0</v>
      </c>
      <c r="P12" s="396">
        <f t="shared" si="12"/>
        <v>0</v>
      </c>
      <c r="Q12" s="397"/>
      <c r="S12" s="804"/>
    </row>
    <row r="13" spans="1:19" s="1" customFormat="1" ht="15">
      <c r="A13" s="394">
        <f t="shared" si="13"/>
        <v>44682</v>
      </c>
      <c r="B13" s="395">
        <f t="shared" si="0"/>
        <v>0</v>
      </c>
      <c r="C13" s="395">
        <f t="shared" si="1"/>
        <v>0</v>
      </c>
      <c r="D13" s="395">
        <f t="shared" ca="1" si="2"/>
        <v>0</v>
      </c>
      <c r="E13" s="395">
        <f t="shared" ca="1" si="3"/>
        <v>0</v>
      </c>
      <c r="F13" s="395">
        <f t="shared" si="4"/>
        <v>0</v>
      </c>
      <c r="G13" s="395">
        <f t="shared" si="5"/>
        <v>0</v>
      </c>
      <c r="H13" s="844"/>
      <c r="I13" s="391"/>
      <c r="J13" s="395">
        <f t="shared" si="6"/>
        <v>0</v>
      </c>
      <c r="K13" s="395">
        <f t="shared" si="7"/>
        <v>0</v>
      </c>
      <c r="L13" s="395">
        <f t="shared" si="8"/>
        <v>0</v>
      </c>
      <c r="M13" s="395">
        <f t="shared" si="9"/>
        <v>0</v>
      </c>
      <c r="N13" s="395">
        <f t="shared" si="10"/>
        <v>0</v>
      </c>
      <c r="O13" s="395">
        <f t="shared" si="11"/>
        <v>0</v>
      </c>
      <c r="P13" s="396">
        <f t="shared" si="12"/>
        <v>0</v>
      </c>
      <c r="Q13" s="397"/>
      <c r="S13" s="804"/>
    </row>
    <row r="14" spans="1:19" s="1" customFormat="1" ht="15">
      <c r="A14" s="394">
        <f t="shared" si="13"/>
        <v>44652</v>
      </c>
      <c r="B14" s="395">
        <f t="shared" si="0"/>
        <v>0</v>
      </c>
      <c r="C14" s="395">
        <f t="shared" si="1"/>
        <v>0</v>
      </c>
      <c r="D14" s="395">
        <f t="shared" ca="1" si="2"/>
        <v>0</v>
      </c>
      <c r="E14" s="395">
        <f t="shared" ca="1" si="3"/>
        <v>0</v>
      </c>
      <c r="F14" s="395">
        <f t="shared" si="4"/>
        <v>0</v>
      </c>
      <c r="G14" s="395">
        <f t="shared" si="5"/>
        <v>0</v>
      </c>
      <c r="H14" s="844"/>
      <c r="I14" s="391"/>
      <c r="J14" s="395">
        <f t="shared" si="6"/>
        <v>0</v>
      </c>
      <c r="K14" s="395">
        <f t="shared" si="7"/>
        <v>0</v>
      </c>
      <c r="L14" s="395">
        <f t="shared" si="8"/>
        <v>0</v>
      </c>
      <c r="M14" s="395">
        <f t="shared" si="9"/>
        <v>0</v>
      </c>
      <c r="N14" s="395">
        <f t="shared" si="10"/>
        <v>0</v>
      </c>
      <c r="O14" s="395">
        <f t="shared" si="11"/>
        <v>0</v>
      </c>
      <c r="P14" s="396">
        <f t="shared" si="12"/>
        <v>0</v>
      </c>
      <c r="Q14" s="397"/>
      <c r="S14" s="804"/>
    </row>
    <row r="15" spans="1:19" s="1" customFormat="1" ht="15">
      <c r="A15" s="398">
        <f t="shared" si="13"/>
        <v>44621</v>
      </c>
      <c r="B15" s="395">
        <f t="shared" si="0"/>
        <v>0</v>
      </c>
      <c r="C15" s="395">
        <f t="shared" si="1"/>
        <v>0</v>
      </c>
      <c r="D15" s="395">
        <f t="shared" ca="1" si="2"/>
        <v>0</v>
      </c>
      <c r="E15" s="395">
        <f t="shared" ca="1" si="3"/>
        <v>0</v>
      </c>
      <c r="F15" s="395">
        <f t="shared" si="4"/>
        <v>0</v>
      </c>
      <c r="G15" s="395">
        <f t="shared" si="5"/>
        <v>0</v>
      </c>
      <c r="H15" s="844"/>
      <c r="I15" s="391"/>
      <c r="J15" s="395">
        <f t="shared" si="6"/>
        <v>0</v>
      </c>
      <c r="K15" s="395">
        <f t="shared" si="7"/>
        <v>0</v>
      </c>
      <c r="L15" s="395">
        <f t="shared" si="8"/>
        <v>0</v>
      </c>
      <c r="M15" s="395">
        <f t="shared" si="9"/>
        <v>0</v>
      </c>
      <c r="N15" s="395">
        <f t="shared" si="10"/>
        <v>0</v>
      </c>
      <c r="O15" s="395">
        <f t="shared" si="11"/>
        <v>0</v>
      </c>
      <c r="P15" s="399">
        <f t="shared" si="12"/>
        <v>0</v>
      </c>
      <c r="Q15" s="397"/>
      <c r="S15" s="804"/>
    </row>
    <row r="16" spans="1:19" s="1" customFormat="1" ht="15">
      <c r="A16" s="387" t="s">
        <v>3531</v>
      </c>
      <c r="B16" s="400">
        <f t="shared" ref="B16:G16" si="14">SUM(B4:B15)</f>
        <v>0</v>
      </c>
      <c r="C16" s="400">
        <f t="shared" si="14"/>
        <v>0</v>
      </c>
      <c r="D16" s="401">
        <f t="shared" ca="1" si="14"/>
        <v>0</v>
      </c>
      <c r="E16" s="401">
        <f t="shared" ca="1" si="14"/>
        <v>0</v>
      </c>
      <c r="F16" s="401">
        <f t="shared" si="14"/>
        <v>0</v>
      </c>
      <c r="G16" s="402">
        <f t="shared" si="14"/>
        <v>0</v>
      </c>
      <c r="H16" s="845"/>
      <c r="I16" s="403"/>
      <c r="J16" s="400">
        <f t="shared" ref="J16:P16" si="15">AVERAGE(J4:J15)</f>
        <v>0</v>
      </c>
      <c r="K16" s="400">
        <f t="shared" si="15"/>
        <v>0</v>
      </c>
      <c r="L16" s="400">
        <f t="shared" si="15"/>
        <v>0</v>
      </c>
      <c r="M16" s="400">
        <f t="shared" si="15"/>
        <v>0</v>
      </c>
      <c r="N16" s="400">
        <f t="shared" si="15"/>
        <v>0</v>
      </c>
      <c r="O16" s="400">
        <f t="shared" si="15"/>
        <v>0</v>
      </c>
      <c r="P16" s="400">
        <f t="shared" si="15"/>
        <v>0</v>
      </c>
      <c r="Q16" s="404"/>
      <c r="S16" s="405"/>
    </row>
    <row r="17" spans="1:19" s="20" customFormat="1" ht="30">
      <c r="A17" s="406" t="s">
        <v>3532</v>
      </c>
      <c r="B17" s="407">
        <f>AVERAGE(B4:B15)</f>
        <v>0</v>
      </c>
      <c r="C17" s="407">
        <f>AVERAGE(C4:C15)</f>
        <v>0</v>
      </c>
      <c r="D17" s="408">
        <f ca="1">IFERROR(AVERAGE(D4:D15),"")</f>
        <v>0</v>
      </c>
      <c r="E17" s="408">
        <f ca="1">IFERROR(AVERAGE(E4:E15),"")</f>
        <v>0</v>
      </c>
      <c r="F17" s="408">
        <f>AVERAGE(F4:F15)</f>
        <v>0</v>
      </c>
      <c r="G17" s="408">
        <f>AVERAGE(G4:G15)</f>
        <v>0</v>
      </c>
      <c r="H17" s="409" t="s">
        <v>3533</v>
      </c>
      <c r="I17" s="409"/>
      <c r="J17" s="410">
        <f>IFERROR(AVERAGE(J4:O15),"")</f>
        <v>0</v>
      </c>
      <c r="K17" s="409" t="s">
        <v>3534</v>
      </c>
      <c r="L17" s="410">
        <f>IFERROR(AVERAGE(J4:O9),"")</f>
        <v>0</v>
      </c>
      <c r="M17" s="411"/>
      <c r="N17" s="412"/>
      <c r="O17" s="406" t="s">
        <v>3535</v>
      </c>
      <c r="P17" s="413">
        <f>AVERAGE(J4:O15)</f>
        <v>0</v>
      </c>
      <c r="Q17" s="414"/>
    </row>
    <row r="18" spans="1:19" ht="15">
      <c r="A18" s="415"/>
      <c r="B18" s="415"/>
      <c r="C18" s="415"/>
      <c r="D18" s="415"/>
      <c r="E18" s="415"/>
      <c r="F18" s="415"/>
      <c r="G18" s="415"/>
      <c r="H18" s="415"/>
      <c r="I18" s="415"/>
      <c r="J18" s="415"/>
      <c r="K18" s="415"/>
      <c r="L18" s="415"/>
      <c r="M18" s="415"/>
      <c r="N18" s="415"/>
      <c r="O18" s="415"/>
      <c r="P18" s="415"/>
      <c r="Q18" s="416"/>
    </row>
    <row r="19" spans="1:19" ht="15">
      <c r="A19" s="416"/>
      <c r="B19" s="416"/>
      <c r="C19" s="416"/>
      <c r="D19" s="416"/>
      <c r="E19" s="416"/>
      <c r="F19" s="416"/>
      <c r="G19" s="416"/>
      <c r="H19" s="416"/>
      <c r="I19" s="416"/>
      <c r="J19" s="416"/>
      <c r="K19" s="416"/>
      <c r="L19" s="416"/>
      <c r="M19" s="416"/>
      <c r="N19" s="416"/>
      <c r="O19" s="416"/>
      <c r="P19" s="416"/>
      <c r="Q19" s="416"/>
    </row>
    <row r="20" spans="1:19" ht="15">
      <c r="A20" s="416"/>
      <c r="B20" s="416"/>
      <c r="C20" s="416"/>
      <c r="D20" s="416"/>
      <c r="E20" s="416"/>
      <c r="F20" s="416"/>
      <c r="G20" s="416"/>
      <c r="H20" s="416"/>
      <c r="I20" s="416"/>
      <c r="J20" s="416"/>
      <c r="K20" s="416"/>
      <c r="L20" s="416"/>
      <c r="M20" s="416"/>
      <c r="N20" s="416"/>
      <c r="O20" s="416"/>
      <c r="P20" s="416"/>
      <c r="Q20" s="416"/>
    </row>
    <row r="21" spans="1:19" ht="15">
      <c r="A21" s="416"/>
      <c r="B21" s="416"/>
      <c r="C21" s="416"/>
      <c r="D21" s="416"/>
      <c r="E21" s="416"/>
      <c r="F21" s="416"/>
      <c r="G21" s="416"/>
      <c r="H21" s="416"/>
      <c r="I21" s="416"/>
      <c r="J21" s="416"/>
      <c r="K21" s="416"/>
      <c r="L21" s="416"/>
      <c r="M21" s="416"/>
      <c r="N21" s="416"/>
      <c r="O21" s="416"/>
      <c r="P21" s="416"/>
      <c r="Q21" s="416"/>
    </row>
    <row r="22" spans="1:19" ht="15">
      <c r="A22" s="823" t="s">
        <v>3536</v>
      </c>
      <c r="B22" s="824"/>
      <c r="C22" s="825"/>
      <c r="D22" s="818"/>
      <c r="E22" s="819"/>
      <c r="F22" s="819"/>
      <c r="G22" s="819"/>
      <c r="H22" s="819"/>
      <c r="I22" s="819"/>
      <c r="J22" s="819"/>
      <c r="K22" s="819"/>
      <c r="L22" s="819"/>
      <c r="M22" s="819"/>
      <c r="N22" s="819"/>
      <c r="O22" s="820"/>
    </row>
    <row r="23" spans="1:19" ht="15">
      <c r="A23" s="817" t="s">
        <v>3537</v>
      </c>
      <c r="B23" s="807"/>
      <c r="C23" s="808"/>
      <c r="D23" s="807"/>
      <c r="E23" s="807"/>
      <c r="F23" s="807"/>
      <c r="G23" s="807"/>
      <c r="H23" s="807"/>
      <c r="I23" s="807"/>
      <c r="J23" s="807"/>
      <c r="K23" s="807"/>
      <c r="L23" s="807"/>
      <c r="M23" s="807"/>
      <c r="N23" s="807"/>
      <c r="O23" s="808"/>
    </row>
    <row r="24" spans="1:19" ht="15">
      <c r="A24" s="812" t="s">
        <v>3538</v>
      </c>
      <c r="B24" s="813"/>
      <c r="C24" s="821"/>
      <c r="D24" s="821"/>
      <c r="E24" s="821"/>
      <c r="F24" s="821"/>
      <c r="G24" s="822"/>
      <c r="H24" s="417"/>
      <c r="I24" s="418"/>
      <c r="J24" s="829"/>
      <c r="K24" s="830"/>
      <c r="L24" s="830"/>
      <c r="M24" s="830"/>
      <c r="N24" s="830"/>
      <c r="O24" s="831"/>
    </row>
    <row r="25" spans="1:19" ht="15">
      <c r="A25" s="812" t="s">
        <v>3539</v>
      </c>
      <c r="B25" s="813"/>
      <c r="C25" s="814"/>
      <c r="D25" s="814"/>
      <c r="E25" s="814"/>
      <c r="F25" s="814"/>
      <c r="G25" s="815"/>
      <c r="H25" s="417"/>
      <c r="I25" s="418"/>
      <c r="J25" s="816"/>
      <c r="K25" s="814"/>
      <c r="L25" s="814"/>
      <c r="M25" s="814"/>
      <c r="N25" s="814"/>
      <c r="O25" s="815"/>
    </row>
    <row r="26" spans="1:19" ht="15">
      <c r="A26" s="419"/>
      <c r="B26" s="419"/>
      <c r="C26" s="420"/>
      <c r="D26" s="420"/>
      <c r="E26" s="420"/>
      <c r="F26" s="420"/>
      <c r="G26" s="420"/>
      <c r="H26" s="419"/>
      <c r="I26" s="419"/>
      <c r="J26" s="420"/>
      <c r="K26" s="420"/>
      <c r="L26" s="420"/>
      <c r="M26" s="420"/>
      <c r="N26" s="420"/>
      <c r="O26" s="420"/>
    </row>
    <row r="27" spans="1:19" ht="15">
      <c r="A27" s="419"/>
      <c r="B27" s="419"/>
      <c r="C27" s="420"/>
      <c r="D27" s="420"/>
      <c r="E27" s="420"/>
      <c r="F27" s="420"/>
      <c r="G27" s="420"/>
      <c r="H27" s="419"/>
      <c r="I27" s="419"/>
      <c r="J27" s="420"/>
      <c r="K27" s="420"/>
      <c r="L27" s="420"/>
      <c r="M27" s="420"/>
      <c r="N27" s="420"/>
      <c r="O27" s="420"/>
    </row>
    <row r="28" spans="1:19" ht="25.5" customHeight="1">
      <c r="A28" s="421" t="s">
        <v>3540</v>
      </c>
      <c r="B28" s="809" t="s">
        <v>3541</v>
      </c>
      <c r="C28" s="811"/>
      <c r="D28" s="809" t="s">
        <v>3542</v>
      </c>
      <c r="E28" s="811"/>
      <c r="F28" s="805" t="s">
        <v>3543</v>
      </c>
      <c r="G28" s="805" t="s">
        <v>3544</v>
      </c>
      <c r="H28" s="805" t="s">
        <v>3545</v>
      </c>
      <c r="I28" s="422"/>
      <c r="J28" s="809" t="s">
        <v>3546</v>
      </c>
      <c r="K28" s="810"/>
      <c r="L28" s="810"/>
      <c r="M28" s="810"/>
      <c r="N28" s="810"/>
      <c r="O28" s="811"/>
      <c r="P28" s="826" t="s">
        <v>3547</v>
      </c>
      <c r="Q28" s="828"/>
    </row>
    <row r="29" spans="1:19" s="1" customFormat="1" ht="38.25" customHeight="1">
      <c r="A29" s="421" t="s">
        <v>3548</v>
      </c>
      <c r="B29" s="423" t="s">
        <v>3549</v>
      </c>
      <c r="C29" s="423" t="s">
        <v>3550</v>
      </c>
      <c r="D29" s="423" t="s">
        <v>3551</v>
      </c>
      <c r="E29" s="423" t="s">
        <v>3552</v>
      </c>
      <c r="F29" s="806"/>
      <c r="G29" s="806"/>
      <c r="H29" s="806"/>
      <c r="I29" s="424"/>
      <c r="J29" s="423" t="s">
        <v>3553</v>
      </c>
      <c r="K29" s="423" t="s">
        <v>3554</v>
      </c>
      <c r="L29" s="423" t="s">
        <v>3555</v>
      </c>
      <c r="M29" s="423" t="s">
        <v>3556</v>
      </c>
      <c r="N29" s="423" t="s">
        <v>3557</v>
      </c>
      <c r="O29" s="423" t="s">
        <v>3558</v>
      </c>
      <c r="P29" s="827"/>
      <c r="Q29" s="828"/>
      <c r="S29" s="393" t="s">
        <v>3559</v>
      </c>
    </row>
    <row r="30" spans="1:19" s="1" customFormat="1" ht="15">
      <c r="A30" s="425">
        <v>44958</v>
      </c>
      <c r="B30" s="426"/>
      <c r="C30" s="426"/>
      <c r="D30" s="427">
        <f t="shared" ref="D30:D41" ca="1" si="16">IFERROR(LEN(_xludf.FORMULATEXT(B30))-LEN(SUBSTITUTE(_xludf.FORMULATEXT(B30),"+",""))+1,0)</f>
        <v>0</v>
      </c>
      <c r="E30" s="427">
        <f t="shared" ref="E30:E41" ca="1" si="17">IFERROR(LEN(_xludf.FORMULATEXT(C30))-LEN(SUBSTITUTE(_xludf.FORMULATEXT(C30),"+",""))+1,0)</f>
        <v>0</v>
      </c>
      <c r="F30" s="426"/>
      <c r="G30" s="426"/>
      <c r="H30" s="426"/>
      <c r="I30" s="426"/>
      <c r="J30" s="426"/>
      <c r="K30" s="426"/>
      <c r="L30" s="426"/>
      <c r="M30" s="426"/>
      <c r="N30" s="426"/>
      <c r="O30" s="426"/>
      <c r="P30" s="428" t="str">
        <f t="shared" ref="P30:P41" si="18">IFERROR(SUM(J30:O30)/COUNT(J30:O30),"")</f>
        <v/>
      </c>
      <c r="Q30" s="427"/>
      <c r="R30" s="1" t="e">
        <f>IF(AND(C30&lt;&gt;0,#REF!="yes"),1,0)</f>
        <v>#REF!</v>
      </c>
      <c r="S30" s="804">
        <f>IFERROR(IF(#REF!="Yes",AVERAGE(J30:O35),0),0)</f>
        <v>0</v>
      </c>
    </row>
    <row r="31" spans="1:19" s="1" customFormat="1" ht="15">
      <c r="A31" s="429">
        <f t="shared" ref="A31:A41" si="19">EDATE(A30,-1)</f>
        <v>44927</v>
      </c>
      <c r="B31" s="426"/>
      <c r="C31" s="426"/>
      <c r="D31" s="427">
        <f t="shared" ca="1" si="16"/>
        <v>0</v>
      </c>
      <c r="E31" s="427">
        <f t="shared" ca="1" si="17"/>
        <v>0</v>
      </c>
      <c r="F31" s="426"/>
      <c r="G31" s="426"/>
      <c r="H31" s="426"/>
      <c r="I31" s="426"/>
      <c r="J31" s="426"/>
      <c r="K31" s="426"/>
      <c r="L31" s="426"/>
      <c r="M31" s="426"/>
      <c r="N31" s="426"/>
      <c r="O31" s="426"/>
      <c r="P31" s="428" t="str">
        <f t="shared" si="18"/>
        <v/>
      </c>
      <c r="Q31" s="427"/>
      <c r="S31" s="804"/>
    </row>
    <row r="32" spans="1:19" s="1" customFormat="1" ht="15">
      <c r="A32" s="429">
        <f t="shared" si="19"/>
        <v>44896</v>
      </c>
      <c r="B32" s="426"/>
      <c r="C32" s="426"/>
      <c r="D32" s="427">
        <f t="shared" ca="1" si="16"/>
        <v>0</v>
      </c>
      <c r="E32" s="427">
        <f t="shared" ca="1" si="17"/>
        <v>0</v>
      </c>
      <c r="F32" s="426"/>
      <c r="G32" s="426"/>
      <c r="H32" s="426"/>
      <c r="I32" s="426"/>
      <c r="J32" s="426"/>
      <c r="K32" s="426"/>
      <c r="L32" s="426"/>
      <c r="M32" s="426"/>
      <c r="N32" s="426"/>
      <c r="O32" s="426"/>
      <c r="P32" s="428" t="str">
        <f t="shared" si="18"/>
        <v/>
      </c>
      <c r="Q32" s="427"/>
      <c r="S32" s="804"/>
    </row>
    <row r="33" spans="1:19" s="1" customFormat="1" ht="15">
      <c r="A33" s="429">
        <f t="shared" si="19"/>
        <v>44866</v>
      </c>
      <c r="B33" s="426"/>
      <c r="C33" s="426"/>
      <c r="D33" s="427">
        <f t="shared" ca="1" si="16"/>
        <v>0</v>
      </c>
      <c r="E33" s="427">
        <f t="shared" ca="1" si="17"/>
        <v>0</v>
      </c>
      <c r="F33" s="426"/>
      <c r="G33" s="426"/>
      <c r="H33" s="426"/>
      <c r="I33" s="426"/>
      <c r="J33" s="426"/>
      <c r="K33" s="426"/>
      <c r="L33" s="426"/>
      <c r="M33" s="426"/>
      <c r="N33" s="426"/>
      <c r="O33" s="426"/>
      <c r="P33" s="428" t="str">
        <f t="shared" si="18"/>
        <v/>
      </c>
      <c r="Q33" s="427"/>
      <c r="S33" s="804"/>
    </row>
    <row r="34" spans="1:19" s="1" customFormat="1" ht="15">
      <c r="A34" s="429">
        <f t="shared" si="19"/>
        <v>44835</v>
      </c>
      <c r="B34" s="426"/>
      <c r="C34" s="426"/>
      <c r="D34" s="427">
        <f t="shared" ca="1" si="16"/>
        <v>0</v>
      </c>
      <c r="E34" s="427">
        <f t="shared" ca="1" si="17"/>
        <v>0</v>
      </c>
      <c r="F34" s="426"/>
      <c r="G34" s="426"/>
      <c r="H34" s="426"/>
      <c r="I34" s="426"/>
      <c r="J34" s="426"/>
      <c r="K34" s="426"/>
      <c r="L34" s="426"/>
      <c r="M34" s="426"/>
      <c r="N34" s="426"/>
      <c r="O34" s="426"/>
      <c r="P34" s="428" t="str">
        <f t="shared" si="18"/>
        <v/>
      </c>
      <c r="Q34" s="427"/>
      <c r="S34" s="804"/>
    </row>
    <row r="35" spans="1:19" s="1" customFormat="1" ht="15">
      <c r="A35" s="429">
        <f t="shared" si="19"/>
        <v>44805</v>
      </c>
      <c r="B35" s="426"/>
      <c r="C35" s="426"/>
      <c r="D35" s="427">
        <f t="shared" ca="1" si="16"/>
        <v>0</v>
      </c>
      <c r="E35" s="427">
        <f t="shared" ca="1" si="17"/>
        <v>0</v>
      </c>
      <c r="F35" s="426"/>
      <c r="G35" s="426"/>
      <c r="H35" s="426"/>
      <c r="I35" s="426"/>
      <c r="J35" s="426"/>
      <c r="K35" s="426"/>
      <c r="L35" s="426"/>
      <c r="M35" s="426"/>
      <c r="N35" s="426"/>
      <c r="O35" s="426"/>
      <c r="P35" s="428" t="str">
        <f t="shared" si="18"/>
        <v/>
      </c>
      <c r="Q35" s="427"/>
      <c r="S35" s="804"/>
    </row>
    <row r="36" spans="1:19" s="1" customFormat="1" ht="15">
      <c r="A36" s="429">
        <f t="shared" si="19"/>
        <v>44774</v>
      </c>
      <c r="B36" s="426"/>
      <c r="C36" s="426"/>
      <c r="D36" s="427">
        <f t="shared" ca="1" si="16"/>
        <v>0</v>
      </c>
      <c r="E36" s="427">
        <f t="shared" ca="1" si="17"/>
        <v>0</v>
      </c>
      <c r="F36" s="426"/>
      <c r="G36" s="426"/>
      <c r="H36" s="426"/>
      <c r="I36" s="426"/>
      <c r="J36" s="426"/>
      <c r="K36" s="426"/>
      <c r="L36" s="426"/>
      <c r="M36" s="426"/>
      <c r="N36" s="426"/>
      <c r="O36" s="426"/>
      <c r="P36" s="428" t="str">
        <f t="shared" si="18"/>
        <v/>
      </c>
      <c r="Q36" s="427"/>
      <c r="S36" s="804">
        <f>IFERROR(IF(#REF!="Yes",AVERAGE(J30:O41),0),0)</f>
        <v>0</v>
      </c>
    </row>
    <row r="37" spans="1:19" s="1" customFormat="1" ht="15">
      <c r="A37" s="429">
        <f t="shared" si="19"/>
        <v>44743</v>
      </c>
      <c r="B37" s="426"/>
      <c r="C37" s="426"/>
      <c r="D37" s="427">
        <f t="shared" ca="1" si="16"/>
        <v>0</v>
      </c>
      <c r="E37" s="427">
        <f t="shared" ca="1" si="17"/>
        <v>0</v>
      </c>
      <c r="F37" s="426"/>
      <c r="G37" s="426"/>
      <c r="H37" s="426"/>
      <c r="I37" s="426"/>
      <c r="J37" s="426"/>
      <c r="K37" s="426"/>
      <c r="L37" s="426"/>
      <c r="M37" s="426"/>
      <c r="N37" s="426"/>
      <c r="O37" s="426"/>
      <c r="P37" s="428" t="str">
        <f t="shared" si="18"/>
        <v/>
      </c>
      <c r="Q37" s="427"/>
      <c r="S37" s="804"/>
    </row>
    <row r="38" spans="1:19" s="1" customFormat="1" ht="15">
      <c r="A38" s="429">
        <f t="shared" si="19"/>
        <v>44713</v>
      </c>
      <c r="B38" s="426"/>
      <c r="C38" s="426"/>
      <c r="D38" s="427">
        <f t="shared" ca="1" si="16"/>
        <v>0</v>
      </c>
      <c r="E38" s="427">
        <f t="shared" ca="1" si="17"/>
        <v>0</v>
      </c>
      <c r="F38" s="426"/>
      <c r="G38" s="426"/>
      <c r="H38" s="426"/>
      <c r="I38" s="426"/>
      <c r="J38" s="426"/>
      <c r="K38" s="426"/>
      <c r="L38" s="426"/>
      <c r="M38" s="426"/>
      <c r="N38" s="426"/>
      <c r="O38" s="426"/>
      <c r="P38" s="428" t="str">
        <f t="shared" si="18"/>
        <v/>
      </c>
      <c r="Q38" s="427"/>
      <c r="S38" s="804"/>
    </row>
    <row r="39" spans="1:19" s="1" customFormat="1" ht="15">
      <c r="A39" s="429">
        <f t="shared" si="19"/>
        <v>44682</v>
      </c>
      <c r="B39" s="426"/>
      <c r="C39" s="426"/>
      <c r="D39" s="427">
        <f t="shared" ca="1" si="16"/>
        <v>0</v>
      </c>
      <c r="E39" s="427">
        <f t="shared" ca="1" si="17"/>
        <v>0</v>
      </c>
      <c r="F39" s="426"/>
      <c r="G39" s="426"/>
      <c r="H39" s="426"/>
      <c r="I39" s="426"/>
      <c r="J39" s="426"/>
      <c r="K39" s="426"/>
      <c r="L39" s="426"/>
      <c r="M39" s="426"/>
      <c r="N39" s="426"/>
      <c r="O39" s="426"/>
      <c r="P39" s="428" t="str">
        <f t="shared" si="18"/>
        <v/>
      </c>
      <c r="Q39" s="427"/>
      <c r="S39" s="804"/>
    </row>
    <row r="40" spans="1:19" s="1" customFormat="1" ht="15">
      <c r="A40" s="429">
        <f t="shared" si="19"/>
        <v>44652</v>
      </c>
      <c r="B40" s="426"/>
      <c r="C40" s="426"/>
      <c r="D40" s="427">
        <f t="shared" ca="1" si="16"/>
        <v>0</v>
      </c>
      <c r="E40" s="427">
        <f t="shared" ca="1" si="17"/>
        <v>0</v>
      </c>
      <c r="F40" s="426"/>
      <c r="G40" s="426"/>
      <c r="H40" s="426"/>
      <c r="I40" s="426"/>
      <c r="J40" s="426"/>
      <c r="K40" s="426"/>
      <c r="L40" s="426"/>
      <c r="M40" s="426"/>
      <c r="N40" s="426"/>
      <c r="O40" s="426"/>
      <c r="P40" s="428" t="str">
        <f t="shared" si="18"/>
        <v/>
      </c>
      <c r="Q40" s="427"/>
      <c r="S40" s="804"/>
    </row>
    <row r="41" spans="1:19" s="1" customFormat="1" ht="15">
      <c r="A41" s="429">
        <f t="shared" si="19"/>
        <v>44621</v>
      </c>
      <c r="B41" s="426"/>
      <c r="C41" s="426"/>
      <c r="D41" s="427">
        <f t="shared" ca="1" si="16"/>
        <v>0</v>
      </c>
      <c r="E41" s="427">
        <f t="shared" ca="1" si="17"/>
        <v>0</v>
      </c>
      <c r="F41" s="426"/>
      <c r="G41" s="426"/>
      <c r="H41" s="426"/>
      <c r="I41" s="426"/>
      <c r="J41" s="426"/>
      <c r="K41" s="426"/>
      <c r="L41" s="426"/>
      <c r="M41" s="426"/>
      <c r="N41" s="426"/>
      <c r="O41" s="426"/>
      <c r="P41" s="428" t="str">
        <f t="shared" si="18"/>
        <v/>
      </c>
      <c r="Q41" s="427"/>
      <c r="S41" s="804"/>
    </row>
    <row r="42" spans="1:19" ht="15">
      <c r="A42" s="421" t="s">
        <v>3560</v>
      </c>
      <c r="B42" s="430">
        <f t="shared" ref="B42:G42" si="20">SUM(B30:B41)</f>
        <v>0</v>
      </c>
      <c r="C42" s="430">
        <f t="shared" si="20"/>
        <v>0</v>
      </c>
      <c r="D42" s="430">
        <f t="shared" ca="1" si="20"/>
        <v>0</v>
      </c>
      <c r="E42" s="430">
        <f t="shared" ca="1" si="20"/>
        <v>0</v>
      </c>
      <c r="F42" s="430">
        <f t="shared" si="20"/>
        <v>0</v>
      </c>
      <c r="G42" s="430">
        <f t="shared" si="20"/>
        <v>0</v>
      </c>
      <c r="H42" s="430"/>
      <c r="I42" s="430"/>
      <c r="J42" s="430" t="str">
        <f t="shared" ref="J42:P42" si="21">IFERROR(AVERAGE(J30:J41),"")</f>
        <v/>
      </c>
      <c r="K42" s="430" t="str">
        <f t="shared" si="21"/>
        <v/>
      </c>
      <c r="L42" s="430" t="str">
        <f t="shared" si="21"/>
        <v/>
      </c>
      <c r="M42" s="430" t="str">
        <f t="shared" si="21"/>
        <v/>
      </c>
      <c r="N42" s="430" t="str">
        <f t="shared" si="21"/>
        <v/>
      </c>
      <c r="O42" s="430" t="str">
        <f t="shared" si="21"/>
        <v/>
      </c>
      <c r="P42" s="431" t="str">
        <f t="shared" si="21"/>
        <v/>
      </c>
      <c r="Q42" s="432"/>
    </row>
    <row r="43" spans="1:19" ht="15">
      <c r="A43" s="421" t="s">
        <v>3561</v>
      </c>
      <c r="B43" s="430" t="str">
        <f>IFERROR(AVERAGE(B30:B41),"")</f>
        <v/>
      </c>
      <c r="C43" s="430" t="str">
        <f>IFERROR(AVERAGE(C30:C41),"")</f>
        <v/>
      </c>
      <c r="D43" s="430">
        <f ca="1">AVERAGE(D30:D41)</f>
        <v>0</v>
      </c>
      <c r="E43" s="430">
        <f ca="1">AVERAGE(E30:E41)</f>
        <v>0</v>
      </c>
      <c r="F43" s="430" t="str">
        <f>IFERROR(AVERAGE(F30:F41),"")</f>
        <v/>
      </c>
      <c r="G43" s="430" t="str">
        <f>IFERROR(AVERAGE(G30:G41),"")</f>
        <v/>
      </c>
      <c r="H43" s="433"/>
      <c r="I43" s="433"/>
      <c r="J43" s="433"/>
      <c r="K43" s="434"/>
      <c r="L43" s="434"/>
      <c r="M43" s="435"/>
      <c r="N43" s="434"/>
      <c r="O43" s="436"/>
      <c r="P43" s="437" t="str">
        <f>IFERROR(AVERAGE(J30:O41),"")</f>
        <v/>
      </c>
      <c r="Q43" s="438"/>
    </row>
    <row r="44" spans="1:19" ht="15"/>
    <row r="45" spans="1:19" ht="15">
      <c r="A45" s="823" t="s">
        <v>3562</v>
      </c>
      <c r="B45" s="824"/>
      <c r="C45" s="825"/>
      <c r="D45" s="818"/>
      <c r="E45" s="819"/>
      <c r="F45" s="819"/>
      <c r="G45" s="819"/>
      <c r="H45" s="819"/>
      <c r="I45" s="819"/>
      <c r="J45" s="819"/>
      <c r="K45" s="819"/>
      <c r="L45" s="819"/>
      <c r="M45" s="819"/>
      <c r="N45" s="819"/>
      <c r="O45" s="820"/>
    </row>
    <row r="46" spans="1:19" ht="15">
      <c r="A46" s="817" t="s">
        <v>3563</v>
      </c>
      <c r="B46" s="807"/>
      <c r="C46" s="808"/>
      <c r="D46" s="807"/>
      <c r="E46" s="807"/>
      <c r="F46" s="807"/>
      <c r="G46" s="807"/>
      <c r="H46" s="807"/>
      <c r="I46" s="807"/>
      <c r="J46" s="807"/>
      <c r="K46" s="807"/>
      <c r="L46" s="807"/>
      <c r="M46" s="807"/>
      <c r="N46" s="807"/>
      <c r="O46" s="808"/>
    </row>
    <row r="47" spans="1:19" ht="15">
      <c r="A47" s="812" t="s">
        <v>3564</v>
      </c>
      <c r="B47" s="813"/>
      <c r="C47" s="821"/>
      <c r="D47" s="821"/>
      <c r="E47" s="821"/>
      <c r="F47" s="821"/>
      <c r="G47" s="822"/>
      <c r="H47" s="417"/>
      <c r="I47" s="418"/>
      <c r="J47" s="829"/>
      <c r="K47" s="830"/>
      <c r="L47" s="830"/>
      <c r="M47" s="830"/>
      <c r="N47" s="830"/>
      <c r="O47" s="831"/>
    </row>
    <row r="48" spans="1:19" ht="15">
      <c r="A48" s="812" t="s">
        <v>3565</v>
      </c>
      <c r="B48" s="813"/>
      <c r="C48" s="814"/>
      <c r="D48" s="814"/>
      <c r="E48" s="814"/>
      <c r="F48" s="814"/>
      <c r="G48" s="815"/>
      <c r="H48" s="417"/>
      <c r="I48" s="418"/>
      <c r="J48" s="816"/>
      <c r="K48" s="814"/>
      <c r="L48" s="814"/>
      <c r="M48" s="814"/>
      <c r="N48" s="814"/>
      <c r="O48" s="815"/>
    </row>
    <row r="49" spans="1:19" ht="15">
      <c r="A49" s="419"/>
      <c r="B49" s="419"/>
      <c r="C49" s="420"/>
      <c r="D49" s="420"/>
      <c r="E49" s="420"/>
      <c r="F49" s="420"/>
      <c r="G49" s="420"/>
      <c r="H49" s="419"/>
      <c r="I49" s="419"/>
      <c r="J49" s="420"/>
      <c r="K49" s="420"/>
      <c r="L49" s="420"/>
      <c r="M49" s="420"/>
      <c r="N49" s="420"/>
      <c r="O49" s="420"/>
    </row>
    <row r="50" spans="1:19" ht="15">
      <c r="A50" s="419"/>
      <c r="B50" s="419"/>
      <c r="C50" s="420"/>
      <c r="D50" s="420"/>
      <c r="E50" s="420"/>
      <c r="F50" s="420"/>
      <c r="G50" s="420"/>
      <c r="H50" s="419"/>
      <c r="I50" s="419"/>
      <c r="J50" s="420"/>
      <c r="K50" s="420"/>
      <c r="L50" s="420"/>
      <c r="M50" s="420"/>
      <c r="N50" s="420"/>
      <c r="O50" s="420"/>
    </row>
    <row r="51" spans="1:19" ht="15">
      <c r="A51" s="421" t="s">
        <v>3566</v>
      </c>
      <c r="B51" s="809" t="s">
        <v>3567</v>
      </c>
      <c r="C51" s="811"/>
      <c r="D51" s="809" t="s">
        <v>3568</v>
      </c>
      <c r="E51" s="811"/>
      <c r="F51" s="805" t="s">
        <v>3569</v>
      </c>
      <c r="G51" s="805" t="s">
        <v>3570</v>
      </c>
      <c r="H51" s="805" t="s">
        <v>3571</v>
      </c>
      <c r="I51" s="422"/>
      <c r="J51" s="809" t="s">
        <v>3572</v>
      </c>
      <c r="K51" s="810"/>
      <c r="L51" s="810"/>
      <c r="M51" s="810"/>
      <c r="N51" s="810"/>
      <c r="O51" s="811"/>
    </row>
    <row r="52" spans="1:19" ht="33.75" customHeight="1">
      <c r="A52" s="421" t="s">
        <v>3573</v>
      </c>
      <c r="B52" s="423" t="s">
        <v>3574</v>
      </c>
      <c r="C52" s="423" t="s">
        <v>3575</v>
      </c>
      <c r="D52" s="423" t="s">
        <v>3576</v>
      </c>
      <c r="E52" s="423" t="s">
        <v>3577</v>
      </c>
      <c r="F52" s="806"/>
      <c r="G52" s="806"/>
      <c r="H52" s="806"/>
      <c r="I52" s="424"/>
      <c r="J52" s="423" t="s">
        <v>3578</v>
      </c>
      <c r="K52" s="423" t="s">
        <v>3579</v>
      </c>
      <c r="L52" s="423" t="s">
        <v>3580</v>
      </c>
      <c r="M52" s="423" t="s">
        <v>3581</v>
      </c>
      <c r="N52" s="423" t="s">
        <v>3582</v>
      </c>
      <c r="O52" s="423" t="s">
        <v>3583</v>
      </c>
    </row>
    <row r="53" spans="1:19" ht="15">
      <c r="A53" s="439">
        <f>A30</f>
        <v>44958</v>
      </c>
      <c r="B53" s="440"/>
      <c r="C53" s="440"/>
      <c r="D53" s="427">
        <f t="shared" ref="D53:D64" ca="1" si="22">IFERROR(LEN(_xludf.FORMULATEXT(B53))-LEN(SUBSTITUTE(_xludf.FORMULATEXT(B53),"+",""))+1,0)</f>
        <v>0</v>
      </c>
      <c r="E53" s="427">
        <f t="shared" ref="E53:E64" ca="1" si="23">IFERROR(LEN(_xludf.FORMULATEXT(C53))-LEN(SUBSTITUTE(_xludf.FORMULATEXT(C53),"+",""))+1,0)</f>
        <v>0</v>
      </c>
      <c r="F53" s="441">
        <v>0</v>
      </c>
      <c r="G53" s="441">
        <v>0</v>
      </c>
      <c r="H53" s="442"/>
      <c r="I53" s="443"/>
      <c r="J53" s="444"/>
      <c r="K53" s="159"/>
      <c r="L53" s="444"/>
      <c r="M53" s="444"/>
      <c r="N53" s="444"/>
      <c r="O53" s="444"/>
      <c r="P53" s="826" t="s">
        <v>3584</v>
      </c>
      <c r="Q53" s="828"/>
    </row>
    <row r="54" spans="1:19" s="1" customFormat="1" ht="30">
      <c r="A54" s="429">
        <f t="shared" ref="A54:A64" si="24">EDATE(A53,-1)</f>
        <v>44927</v>
      </c>
      <c r="B54" s="440"/>
      <c r="C54" s="440"/>
      <c r="D54" s="427">
        <f t="shared" ca="1" si="22"/>
        <v>0</v>
      </c>
      <c r="E54" s="427">
        <f t="shared" ca="1" si="23"/>
        <v>0</v>
      </c>
      <c r="F54" s="441">
        <v>0</v>
      </c>
      <c r="G54" s="441">
        <v>0</v>
      </c>
      <c r="H54" s="442"/>
      <c r="I54" s="443"/>
      <c r="J54" s="444"/>
      <c r="K54" s="444"/>
      <c r="L54" s="444"/>
      <c r="M54" s="444"/>
      <c r="N54" s="444"/>
      <c r="O54" s="444"/>
      <c r="P54" s="827"/>
      <c r="Q54" s="828"/>
      <c r="S54" s="393" t="s">
        <v>3585</v>
      </c>
    </row>
    <row r="55" spans="1:19" s="1" customFormat="1" ht="15">
      <c r="A55" s="429">
        <f t="shared" si="24"/>
        <v>44896</v>
      </c>
      <c r="B55" s="440"/>
      <c r="C55" s="440"/>
      <c r="D55" s="427">
        <f t="shared" ca="1" si="22"/>
        <v>0</v>
      </c>
      <c r="E55" s="427">
        <f t="shared" ca="1" si="23"/>
        <v>0</v>
      </c>
      <c r="F55" s="441">
        <v>0</v>
      </c>
      <c r="G55" s="441">
        <v>0</v>
      </c>
      <c r="H55" s="442"/>
      <c r="I55" s="443"/>
      <c r="J55" s="444"/>
      <c r="K55" s="444"/>
      <c r="L55" s="444"/>
      <c r="M55" s="444"/>
      <c r="N55" s="444"/>
      <c r="O55" s="444"/>
      <c r="P55" s="428" t="str">
        <f t="shared" ref="P55:P66" si="25">IFERROR(SUM(J55:O55)/COUNT(J55:O55),"")</f>
        <v/>
      </c>
      <c r="Q55" s="427"/>
      <c r="R55" s="1">
        <f>IF(AND(C55&lt;&gt;0,J52="yes"),1,0)</f>
        <v>0</v>
      </c>
      <c r="S55" s="804">
        <f>IFERROR(IF(J52="Yes",AVERAGE(J55:O60),0),0)</f>
        <v>0</v>
      </c>
    </row>
    <row r="56" spans="1:19" s="1" customFormat="1" ht="15">
      <c r="A56" s="429">
        <f t="shared" si="24"/>
        <v>44866</v>
      </c>
      <c r="B56" s="440"/>
      <c r="C56" s="440"/>
      <c r="D56" s="427">
        <f t="shared" ca="1" si="22"/>
        <v>0</v>
      </c>
      <c r="E56" s="427">
        <f t="shared" ca="1" si="23"/>
        <v>0</v>
      </c>
      <c r="F56" s="441">
        <v>0</v>
      </c>
      <c r="G56" s="441">
        <v>0</v>
      </c>
      <c r="H56" s="442"/>
      <c r="I56" s="443"/>
      <c r="J56" s="444"/>
      <c r="K56" s="444"/>
      <c r="L56" s="444"/>
      <c r="M56" s="444"/>
      <c r="N56" s="444"/>
      <c r="O56" s="444"/>
      <c r="P56" s="428" t="str">
        <f t="shared" si="25"/>
        <v/>
      </c>
      <c r="Q56" s="427"/>
      <c r="S56" s="804"/>
    </row>
    <row r="57" spans="1:19" s="1" customFormat="1" ht="15">
      <c r="A57" s="429">
        <f t="shared" si="24"/>
        <v>44835</v>
      </c>
      <c r="B57" s="440"/>
      <c r="C57" s="440"/>
      <c r="D57" s="427">
        <f t="shared" ca="1" si="22"/>
        <v>0</v>
      </c>
      <c r="E57" s="427">
        <f t="shared" ca="1" si="23"/>
        <v>0</v>
      </c>
      <c r="F57" s="441">
        <v>0</v>
      </c>
      <c r="G57" s="441">
        <v>0</v>
      </c>
      <c r="H57" s="442"/>
      <c r="I57" s="443"/>
      <c r="J57" s="444"/>
      <c r="K57" s="444"/>
      <c r="L57" s="444"/>
      <c r="M57" s="444"/>
      <c r="N57" s="444"/>
      <c r="O57" s="444"/>
      <c r="P57" s="428" t="str">
        <f t="shared" si="25"/>
        <v/>
      </c>
      <c r="Q57" s="427"/>
      <c r="S57" s="804"/>
    </row>
    <row r="58" spans="1:19" s="1" customFormat="1" ht="15">
      <c r="A58" s="429">
        <f t="shared" si="24"/>
        <v>44805</v>
      </c>
      <c r="B58" s="440"/>
      <c r="C58" s="440"/>
      <c r="D58" s="427">
        <f t="shared" ca="1" si="22"/>
        <v>0</v>
      </c>
      <c r="E58" s="427">
        <f t="shared" ca="1" si="23"/>
        <v>0</v>
      </c>
      <c r="F58" s="441">
        <v>0</v>
      </c>
      <c r="G58" s="441">
        <v>0</v>
      </c>
      <c r="H58" s="442"/>
      <c r="I58" s="443"/>
      <c r="J58" s="444"/>
      <c r="K58" s="444"/>
      <c r="L58" s="444"/>
      <c r="M58" s="444"/>
      <c r="N58" s="444"/>
      <c r="O58" s="444"/>
      <c r="P58" s="428" t="str">
        <f t="shared" si="25"/>
        <v/>
      </c>
      <c r="Q58" s="427"/>
      <c r="S58" s="804"/>
    </row>
    <row r="59" spans="1:19" s="1" customFormat="1" ht="15">
      <c r="A59" s="429">
        <f t="shared" si="24"/>
        <v>44774</v>
      </c>
      <c r="B59" s="440"/>
      <c r="C59" s="440"/>
      <c r="D59" s="427">
        <f t="shared" ca="1" si="22"/>
        <v>0</v>
      </c>
      <c r="E59" s="427">
        <f t="shared" ca="1" si="23"/>
        <v>0</v>
      </c>
      <c r="F59" s="441">
        <v>0</v>
      </c>
      <c r="G59" s="441">
        <v>0</v>
      </c>
      <c r="H59" s="442"/>
      <c r="I59" s="443"/>
      <c r="J59" s="444"/>
      <c r="K59" s="444"/>
      <c r="L59" s="444"/>
      <c r="M59" s="444"/>
      <c r="N59" s="444"/>
      <c r="O59" s="444"/>
      <c r="P59" s="428" t="str">
        <f t="shared" si="25"/>
        <v/>
      </c>
      <c r="Q59" s="427"/>
      <c r="S59" s="804"/>
    </row>
    <row r="60" spans="1:19" s="1" customFormat="1" ht="15">
      <c r="A60" s="429">
        <f t="shared" si="24"/>
        <v>44743</v>
      </c>
      <c r="B60" s="440"/>
      <c r="C60" s="440"/>
      <c r="D60" s="427">
        <f t="shared" ca="1" si="22"/>
        <v>0</v>
      </c>
      <c r="E60" s="427">
        <f t="shared" ca="1" si="23"/>
        <v>0</v>
      </c>
      <c r="F60" s="441">
        <v>0</v>
      </c>
      <c r="G60" s="441">
        <v>0</v>
      </c>
      <c r="H60" s="442"/>
      <c r="I60" s="443"/>
      <c r="J60" s="444"/>
      <c r="K60" s="444"/>
      <c r="L60" s="444"/>
      <c r="M60" s="444"/>
      <c r="N60" s="444"/>
      <c r="O60" s="444"/>
      <c r="P60" s="428" t="str">
        <f t="shared" si="25"/>
        <v/>
      </c>
      <c r="Q60" s="427"/>
      <c r="S60" s="804"/>
    </row>
    <row r="61" spans="1:19" s="1" customFormat="1" ht="15">
      <c r="A61" s="429">
        <f t="shared" si="24"/>
        <v>44713</v>
      </c>
      <c r="B61" s="440"/>
      <c r="C61" s="440"/>
      <c r="D61" s="427">
        <f t="shared" ca="1" si="22"/>
        <v>0</v>
      </c>
      <c r="E61" s="427">
        <f t="shared" ca="1" si="23"/>
        <v>0</v>
      </c>
      <c r="F61" s="441">
        <v>0</v>
      </c>
      <c r="G61" s="441">
        <v>0</v>
      </c>
      <c r="H61" s="442"/>
      <c r="I61" s="443"/>
      <c r="J61" s="444"/>
      <c r="K61" s="444"/>
      <c r="L61" s="444"/>
      <c r="M61" s="444"/>
      <c r="N61" s="444"/>
      <c r="O61" s="444"/>
      <c r="P61" s="428" t="str">
        <f t="shared" si="25"/>
        <v/>
      </c>
      <c r="Q61" s="427"/>
      <c r="S61" s="804">
        <f>IFERROR(IF(J52="Yes",AVERAGE(J55:O66),0),0)</f>
        <v>0</v>
      </c>
    </row>
    <row r="62" spans="1:19" s="1" customFormat="1" ht="15">
      <c r="A62" s="429">
        <f t="shared" si="24"/>
        <v>44682</v>
      </c>
      <c r="B62" s="440"/>
      <c r="C62" s="440"/>
      <c r="D62" s="427">
        <f t="shared" ca="1" si="22"/>
        <v>0</v>
      </c>
      <c r="E62" s="427">
        <f t="shared" ca="1" si="23"/>
        <v>0</v>
      </c>
      <c r="F62" s="441">
        <v>0</v>
      </c>
      <c r="G62" s="441">
        <v>0</v>
      </c>
      <c r="H62" s="442"/>
      <c r="I62" s="443"/>
      <c r="J62" s="444"/>
      <c r="K62" s="444"/>
      <c r="L62" s="444"/>
      <c r="M62" s="444"/>
      <c r="N62" s="444"/>
      <c r="O62" s="444"/>
      <c r="P62" s="428" t="str">
        <f t="shared" si="25"/>
        <v/>
      </c>
      <c r="Q62" s="427"/>
      <c r="S62" s="804"/>
    </row>
    <row r="63" spans="1:19" s="1" customFormat="1" ht="15">
      <c r="A63" s="429">
        <f t="shared" si="24"/>
        <v>44652</v>
      </c>
      <c r="B63" s="440"/>
      <c r="C63" s="440"/>
      <c r="D63" s="427">
        <f t="shared" ca="1" si="22"/>
        <v>0</v>
      </c>
      <c r="E63" s="427">
        <f t="shared" ca="1" si="23"/>
        <v>0</v>
      </c>
      <c r="F63" s="441">
        <v>0</v>
      </c>
      <c r="G63" s="441">
        <v>0</v>
      </c>
      <c r="H63" s="442"/>
      <c r="I63" s="443"/>
      <c r="J63" s="444"/>
      <c r="K63" s="444"/>
      <c r="L63" s="444"/>
      <c r="M63" s="444"/>
      <c r="N63" s="444"/>
      <c r="O63" s="444"/>
      <c r="P63" s="428" t="str">
        <f t="shared" si="25"/>
        <v/>
      </c>
      <c r="Q63" s="427"/>
      <c r="S63" s="804"/>
    </row>
    <row r="64" spans="1:19" s="1" customFormat="1" ht="15">
      <c r="A64" s="429">
        <f t="shared" si="24"/>
        <v>44621</v>
      </c>
      <c r="B64" s="440"/>
      <c r="C64" s="440"/>
      <c r="D64" s="427">
        <f t="shared" ca="1" si="22"/>
        <v>0</v>
      </c>
      <c r="E64" s="427">
        <f t="shared" ca="1" si="23"/>
        <v>0</v>
      </c>
      <c r="F64" s="441">
        <v>0</v>
      </c>
      <c r="G64" s="441">
        <v>0</v>
      </c>
      <c r="H64" s="442"/>
      <c r="I64" s="443"/>
      <c r="J64" s="444"/>
      <c r="K64" s="444"/>
      <c r="L64" s="444"/>
      <c r="M64" s="444"/>
      <c r="N64" s="444"/>
      <c r="O64" s="444"/>
      <c r="P64" s="428" t="str">
        <f t="shared" si="25"/>
        <v/>
      </c>
      <c r="Q64" s="427"/>
      <c r="S64" s="804"/>
    </row>
    <row r="65" spans="1:19" s="1" customFormat="1" ht="15">
      <c r="A65" s="421" t="s">
        <v>3586</v>
      </c>
      <c r="B65" s="430">
        <f t="shared" ref="B65:G65" si="26">SUM(B53:B64)</f>
        <v>0</v>
      </c>
      <c r="C65" s="430">
        <f t="shared" si="26"/>
        <v>0</v>
      </c>
      <c r="D65" s="430">
        <f t="shared" ca="1" si="26"/>
        <v>0</v>
      </c>
      <c r="E65" s="430">
        <f t="shared" ca="1" si="26"/>
        <v>0</v>
      </c>
      <c r="F65" s="430">
        <f t="shared" si="26"/>
        <v>0</v>
      </c>
      <c r="G65" s="430">
        <f t="shared" si="26"/>
        <v>0</v>
      </c>
      <c r="H65" s="430"/>
      <c r="I65" s="430"/>
      <c r="J65" s="430" t="str">
        <f t="shared" ref="J65:O65" si="27">IFERROR(AVERAGE(J53:J64),"")</f>
        <v/>
      </c>
      <c r="K65" s="430" t="str">
        <f t="shared" si="27"/>
        <v/>
      </c>
      <c r="L65" s="430" t="str">
        <f t="shared" si="27"/>
        <v/>
      </c>
      <c r="M65" s="430" t="str">
        <f t="shared" si="27"/>
        <v/>
      </c>
      <c r="N65" s="430" t="str">
        <f t="shared" si="27"/>
        <v/>
      </c>
      <c r="O65" s="430" t="str">
        <f t="shared" si="27"/>
        <v/>
      </c>
      <c r="P65" s="428" t="str">
        <f t="shared" si="25"/>
        <v/>
      </c>
      <c r="Q65" s="427"/>
      <c r="S65" s="804"/>
    </row>
    <row r="66" spans="1:19" s="1" customFormat="1" ht="15">
      <c r="A66" s="421" t="s">
        <v>3587</v>
      </c>
      <c r="B66" s="430" t="str">
        <f>IFERROR(AVERAGE(B53:B64),"")</f>
        <v/>
      </c>
      <c r="C66" s="430" t="str">
        <f>IFERROR(AVERAGE(C53:C64),"")</f>
        <v/>
      </c>
      <c r="D66" s="430">
        <f ca="1">AVERAGE(D53:D64)</f>
        <v>0</v>
      </c>
      <c r="E66" s="430">
        <f ca="1">AVERAGE(E53:E64)</f>
        <v>0</v>
      </c>
      <c r="F66" s="430">
        <f>IFERROR(AVERAGE(F53:F64),"")</f>
        <v>0</v>
      </c>
      <c r="G66" s="430">
        <f>IFERROR(AVERAGE(G53:G64),"")</f>
        <v>0</v>
      </c>
      <c r="H66" s="433"/>
      <c r="I66" s="433"/>
      <c r="J66" s="433"/>
      <c r="K66" s="434"/>
      <c r="L66" s="434"/>
      <c r="M66" s="435"/>
      <c r="N66" s="434"/>
      <c r="O66" s="436"/>
      <c r="P66" s="428" t="str">
        <f t="shared" si="25"/>
        <v/>
      </c>
      <c r="Q66" s="427"/>
      <c r="S66" s="804"/>
    </row>
    <row r="67" spans="1:19" ht="15"/>
    <row r="68" spans="1:19" ht="15">
      <c r="A68" s="823" t="s">
        <v>3588</v>
      </c>
      <c r="B68" s="824"/>
      <c r="C68" s="825"/>
      <c r="D68" s="818"/>
      <c r="E68" s="819"/>
      <c r="F68" s="819"/>
      <c r="G68" s="819"/>
      <c r="H68" s="819"/>
      <c r="I68" s="819"/>
      <c r="J68" s="819"/>
      <c r="K68" s="819"/>
      <c r="L68" s="819"/>
      <c r="M68" s="819"/>
      <c r="N68" s="819"/>
      <c r="O68" s="820"/>
    </row>
    <row r="69" spans="1:19" ht="15">
      <c r="A69" s="817" t="s">
        <v>3589</v>
      </c>
      <c r="B69" s="807"/>
      <c r="C69" s="808"/>
      <c r="D69" s="807"/>
      <c r="E69" s="807"/>
      <c r="F69" s="807"/>
      <c r="G69" s="807"/>
      <c r="H69" s="807"/>
      <c r="I69" s="807"/>
      <c r="J69" s="807"/>
      <c r="K69" s="807"/>
      <c r="L69" s="807"/>
      <c r="M69" s="807"/>
      <c r="N69" s="807"/>
      <c r="O69" s="808"/>
    </row>
    <row r="70" spans="1:19" ht="15">
      <c r="A70" s="812" t="s">
        <v>3590</v>
      </c>
      <c r="B70" s="813"/>
      <c r="C70" s="821"/>
      <c r="D70" s="821"/>
      <c r="E70" s="821"/>
      <c r="F70" s="821"/>
      <c r="G70" s="822"/>
      <c r="H70" s="417"/>
      <c r="I70" s="418"/>
      <c r="J70" s="829"/>
      <c r="K70" s="830"/>
      <c r="L70" s="830"/>
      <c r="M70" s="830"/>
      <c r="N70" s="830"/>
      <c r="O70" s="831"/>
    </row>
    <row r="71" spans="1:19" ht="15">
      <c r="A71" s="812" t="s">
        <v>3591</v>
      </c>
      <c r="B71" s="813"/>
      <c r="C71" s="814"/>
      <c r="D71" s="814"/>
      <c r="E71" s="814"/>
      <c r="F71" s="814"/>
      <c r="G71" s="815"/>
      <c r="H71" s="417"/>
      <c r="I71" s="418"/>
      <c r="J71" s="816"/>
      <c r="K71" s="814"/>
      <c r="L71" s="814"/>
      <c r="M71" s="814"/>
      <c r="N71" s="814"/>
      <c r="O71" s="815"/>
    </row>
    <row r="72" spans="1:19" ht="15">
      <c r="A72" s="421" t="s">
        <v>3592</v>
      </c>
      <c r="B72" s="809" t="s">
        <v>3593</v>
      </c>
      <c r="C72" s="811"/>
      <c r="D72" s="809" t="s">
        <v>3594</v>
      </c>
      <c r="E72" s="811"/>
      <c r="F72" s="805" t="s">
        <v>3595</v>
      </c>
      <c r="G72" s="805" t="s">
        <v>3596</v>
      </c>
      <c r="H72" s="805" t="s">
        <v>3597</v>
      </c>
      <c r="I72" s="422"/>
      <c r="J72" s="809" t="s">
        <v>3598</v>
      </c>
      <c r="K72" s="810"/>
      <c r="L72" s="810"/>
      <c r="M72" s="810"/>
      <c r="N72" s="810"/>
      <c r="O72" s="811"/>
    </row>
    <row r="73" spans="1:19" ht="33.75" customHeight="1">
      <c r="A73" s="421" t="s">
        <v>3599</v>
      </c>
      <c r="B73" s="423" t="s">
        <v>3600</v>
      </c>
      <c r="C73" s="423" t="s">
        <v>3601</v>
      </c>
      <c r="D73" s="423" t="s">
        <v>3602</v>
      </c>
      <c r="E73" s="423" t="s">
        <v>3603</v>
      </c>
      <c r="F73" s="806"/>
      <c r="G73" s="806"/>
      <c r="H73" s="806"/>
      <c r="I73" s="424"/>
      <c r="J73" s="423" t="s">
        <v>3604</v>
      </c>
      <c r="K73" s="423" t="s">
        <v>3605</v>
      </c>
      <c r="L73" s="423" t="s">
        <v>3606</v>
      </c>
      <c r="M73" s="423" t="s">
        <v>3607</v>
      </c>
      <c r="N73" s="423" t="s">
        <v>3608</v>
      </c>
      <c r="O73" s="423" t="s">
        <v>3609</v>
      </c>
    </row>
    <row r="74" spans="1:19" ht="15">
      <c r="A74" s="439">
        <f>A30</f>
        <v>44958</v>
      </c>
      <c r="B74" s="440"/>
      <c r="C74" s="440"/>
      <c r="D74" s="427">
        <f t="shared" ref="D74:D85" ca="1" si="28">IFERROR(LEN(_xludf.FORMULATEXT(B74))-LEN(SUBSTITUTE(_xludf.FORMULATEXT(B74),"+",""))+1,0)</f>
        <v>0</v>
      </c>
      <c r="E74" s="427">
        <f t="shared" ref="E74:E85" ca="1" si="29">IFERROR(LEN(_xludf.FORMULATEXT(C74))-LEN(SUBSTITUTE(_xludf.FORMULATEXT(C74),"+",""))+1,0)</f>
        <v>0</v>
      </c>
      <c r="F74" s="441">
        <v>0</v>
      </c>
      <c r="G74" s="441">
        <v>0</v>
      </c>
      <c r="H74" s="442"/>
      <c r="I74" s="443"/>
      <c r="J74" s="444"/>
      <c r="K74" s="159"/>
      <c r="L74" s="444"/>
      <c r="M74" s="444"/>
      <c r="N74" s="444"/>
      <c r="O74" s="444"/>
      <c r="P74" s="826" t="s">
        <v>3610</v>
      </c>
      <c r="Q74" s="828"/>
    </row>
    <row r="75" spans="1:19" s="1" customFormat="1" ht="30">
      <c r="A75" s="429">
        <f t="shared" ref="A75:A85" si="30">EDATE(A74,-1)</f>
        <v>44927</v>
      </c>
      <c r="B75" s="440"/>
      <c r="C75" s="440"/>
      <c r="D75" s="427">
        <f t="shared" ca="1" si="28"/>
        <v>0</v>
      </c>
      <c r="E75" s="427">
        <f t="shared" ca="1" si="29"/>
        <v>0</v>
      </c>
      <c r="F75" s="441">
        <v>0</v>
      </c>
      <c r="G75" s="441">
        <v>0</v>
      </c>
      <c r="H75" s="442"/>
      <c r="I75" s="443"/>
      <c r="J75" s="444"/>
      <c r="K75" s="444"/>
      <c r="L75" s="444"/>
      <c r="M75" s="444"/>
      <c r="N75" s="444"/>
      <c r="O75" s="444"/>
      <c r="P75" s="827"/>
      <c r="Q75" s="828"/>
      <c r="S75" s="393" t="s">
        <v>3611</v>
      </c>
    </row>
    <row r="76" spans="1:19" s="1" customFormat="1" ht="15">
      <c r="A76" s="429">
        <f t="shared" si="30"/>
        <v>44896</v>
      </c>
      <c r="B76" s="440"/>
      <c r="C76" s="440"/>
      <c r="D76" s="427">
        <f t="shared" ca="1" si="28"/>
        <v>0</v>
      </c>
      <c r="E76" s="427">
        <f t="shared" ca="1" si="29"/>
        <v>0</v>
      </c>
      <c r="F76" s="441">
        <v>0</v>
      </c>
      <c r="G76" s="441">
        <v>0</v>
      </c>
      <c r="H76" s="442"/>
      <c r="I76" s="443"/>
      <c r="J76" s="444"/>
      <c r="K76" s="444"/>
      <c r="L76" s="444"/>
      <c r="M76" s="444"/>
      <c r="N76" s="444"/>
      <c r="O76" s="444"/>
      <c r="P76" s="428" t="str">
        <f t="shared" ref="P76:P87" si="31">IFERROR(SUM(J76:O76)/COUNT(J76:O76),"")</f>
        <v/>
      </c>
      <c r="Q76" s="427"/>
      <c r="R76" s="1">
        <f>IF(AND(C76&lt;&gt;0,J73="yes"),1,0)</f>
        <v>0</v>
      </c>
      <c r="S76" s="804">
        <f>IFERROR(IF(J73="Yes",AVERAGE(J76:O81),0),0)</f>
        <v>0</v>
      </c>
    </row>
    <row r="77" spans="1:19" s="1" customFormat="1" ht="15">
      <c r="A77" s="429">
        <f t="shared" si="30"/>
        <v>44866</v>
      </c>
      <c r="B77" s="440"/>
      <c r="C77" s="440"/>
      <c r="D77" s="427">
        <f t="shared" ca="1" si="28"/>
        <v>0</v>
      </c>
      <c r="E77" s="427">
        <f t="shared" ca="1" si="29"/>
        <v>0</v>
      </c>
      <c r="F77" s="441">
        <v>0</v>
      </c>
      <c r="G77" s="441">
        <v>0</v>
      </c>
      <c r="H77" s="442"/>
      <c r="I77" s="443"/>
      <c r="J77" s="444"/>
      <c r="K77" s="444"/>
      <c r="L77" s="444"/>
      <c r="M77" s="444"/>
      <c r="N77" s="444"/>
      <c r="O77" s="444"/>
      <c r="P77" s="428" t="str">
        <f t="shared" si="31"/>
        <v/>
      </c>
      <c r="Q77" s="427"/>
      <c r="S77" s="804"/>
    </row>
    <row r="78" spans="1:19" s="1" customFormat="1" ht="15">
      <c r="A78" s="429">
        <f t="shared" si="30"/>
        <v>44835</v>
      </c>
      <c r="B78" s="440"/>
      <c r="C78" s="440"/>
      <c r="D78" s="427">
        <f t="shared" ca="1" si="28"/>
        <v>0</v>
      </c>
      <c r="E78" s="427">
        <f t="shared" ca="1" si="29"/>
        <v>0</v>
      </c>
      <c r="F78" s="441">
        <v>0</v>
      </c>
      <c r="G78" s="441">
        <v>0</v>
      </c>
      <c r="H78" s="442"/>
      <c r="I78" s="443"/>
      <c r="J78" s="444"/>
      <c r="K78" s="444"/>
      <c r="L78" s="444"/>
      <c r="M78" s="444"/>
      <c r="N78" s="444"/>
      <c r="O78" s="444"/>
      <c r="P78" s="428" t="str">
        <f t="shared" si="31"/>
        <v/>
      </c>
      <c r="Q78" s="427"/>
      <c r="S78" s="804"/>
    </row>
    <row r="79" spans="1:19" s="1" customFormat="1" ht="15">
      <c r="A79" s="429">
        <f t="shared" si="30"/>
        <v>44805</v>
      </c>
      <c r="B79" s="440"/>
      <c r="C79" s="440"/>
      <c r="D79" s="427">
        <f t="shared" ca="1" si="28"/>
        <v>0</v>
      </c>
      <c r="E79" s="427">
        <f t="shared" ca="1" si="29"/>
        <v>0</v>
      </c>
      <c r="F79" s="441">
        <v>0</v>
      </c>
      <c r="G79" s="441">
        <v>0</v>
      </c>
      <c r="H79" s="442"/>
      <c r="I79" s="443"/>
      <c r="J79" s="444"/>
      <c r="K79" s="444"/>
      <c r="L79" s="444"/>
      <c r="M79" s="444"/>
      <c r="N79" s="444"/>
      <c r="O79" s="444"/>
      <c r="P79" s="428" t="str">
        <f t="shared" si="31"/>
        <v/>
      </c>
      <c r="Q79" s="427"/>
      <c r="S79" s="804"/>
    </row>
    <row r="80" spans="1:19" s="1" customFormat="1" ht="15">
      <c r="A80" s="429">
        <f t="shared" si="30"/>
        <v>44774</v>
      </c>
      <c r="B80" s="440"/>
      <c r="C80" s="440"/>
      <c r="D80" s="427">
        <f t="shared" ca="1" si="28"/>
        <v>0</v>
      </c>
      <c r="E80" s="427">
        <f t="shared" ca="1" si="29"/>
        <v>0</v>
      </c>
      <c r="F80" s="441">
        <v>0</v>
      </c>
      <c r="G80" s="441">
        <v>0</v>
      </c>
      <c r="H80" s="442"/>
      <c r="I80" s="443"/>
      <c r="J80" s="444"/>
      <c r="K80" s="444"/>
      <c r="L80" s="444"/>
      <c r="M80" s="444"/>
      <c r="N80" s="444"/>
      <c r="O80" s="444"/>
      <c r="P80" s="428" t="str">
        <f t="shared" si="31"/>
        <v/>
      </c>
      <c r="Q80" s="427"/>
      <c r="S80" s="804"/>
    </row>
    <row r="81" spans="1:19" s="1" customFormat="1" ht="15">
      <c r="A81" s="429">
        <f t="shared" si="30"/>
        <v>44743</v>
      </c>
      <c r="B81" s="440"/>
      <c r="C81" s="440"/>
      <c r="D81" s="427">
        <f t="shared" ca="1" si="28"/>
        <v>0</v>
      </c>
      <c r="E81" s="427">
        <f t="shared" ca="1" si="29"/>
        <v>0</v>
      </c>
      <c r="F81" s="441">
        <v>0</v>
      </c>
      <c r="G81" s="441">
        <v>0</v>
      </c>
      <c r="H81" s="442"/>
      <c r="I81" s="443"/>
      <c r="J81" s="444"/>
      <c r="K81" s="444"/>
      <c r="L81" s="444"/>
      <c r="M81" s="444"/>
      <c r="N81" s="444"/>
      <c r="O81" s="444"/>
      <c r="P81" s="428" t="str">
        <f t="shared" si="31"/>
        <v/>
      </c>
      <c r="Q81" s="427"/>
      <c r="S81" s="804"/>
    </row>
    <row r="82" spans="1:19" s="1" customFormat="1" ht="15">
      <c r="A82" s="429">
        <f t="shared" si="30"/>
        <v>44713</v>
      </c>
      <c r="B82" s="440"/>
      <c r="C82" s="440"/>
      <c r="D82" s="427">
        <f t="shared" ca="1" si="28"/>
        <v>0</v>
      </c>
      <c r="E82" s="427">
        <f t="shared" ca="1" si="29"/>
        <v>0</v>
      </c>
      <c r="F82" s="441">
        <v>0</v>
      </c>
      <c r="G82" s="441">
        <v>0</v>
      </c>
      <c r="H82" s="442"/>
      <c r="I82" s="443"/>
      <c r="J82" s="444"/>
      <c r="K82" s="444"/>
      <c r="L82" s="444"/>
      <c r="M82" s="444"/>
      <c r="N82" s="444"/>
      <c r="O82" s="444"/>
      <c r="P82" s="428" t="str">
        <f t="shared" si="31"/>
        <v/>
      </c>
      <c r="Q82" s="427"/>
      <c r="S82" s="804">
        <f>IFERROR(IF(J73="Yes",AVERAGE(J76:O87),0),0)</f>
        <v>0</v>
      </c>
    </row>
    <row r="83" spans="1:19" s="1" customFormat="1" ht="15">
      <c r="A83" s="429">
        <f t="shared" si="30"/>
        <v>44682</v>
      </c>
      <c r="B83" s="440"/>
      <c r="C83" s="440"/>
      <c r="D83" s="427">
        <f t="shared" ca="1" si="28"/>
        <v>0</v>
      </c>
      <c r="E83" s="427">
        <f t="shared" ca="1" si="29"/>
        <v>0</v>
      </c>
      <c r="F83" s="441">
        <v>0</v>
      </c>
      <c r="G83" s="441">
        <v>0</v>
      </c>
      <c r="H83" s="442"/>
      <c r="I83" s="443"/>
      <c r="J83" s="444"/>
      <c r="K83" s="444"/>
      <c r="L83" s="444"/>
      <c r="M83" s="444"/>
      <c r="N83" s="444"/>
      <c r="O83" s="444"/>
      <c r="P83" s="428" t="str">
        <f t="shared" si="31"/>
        <v/>
      </c>
      <c r="Q83" s="427"/>
      <c r="S83" s="804"/>
    </row>
    <row r="84" spans="1:19" s="1" customFormat="1" ht="15">
      <c r="A84" s="429">
        <f t="shared" si="30"/>
        <v>44652</v>
      </c>
      <c r="B84" s="440"/>
      <c r="C84" s="440"/>
      <c r="D84" s="427">
        <f t="shared" ca="1" si="28"/>
        <v>0</v>
      </c>
      <c r="E84" s="427">
        <f t="shared" ca="1" si="29"/>
        <v>0</v>
      </c>
      <c r="F84" s="441">
        <v>0</v>
      </c>
      <c r="G84" s="441">
        <v>0</v>
      </c>
      <c r="H84" s="442"/>
      <c r="I84" s="443"/>
      <c r="J84" s="444"/>
      <c r="K84" s="444"/>
      <c r="L84" s="444"/>
      <c r="M84" s="444"/>
      <c r="N84" s="444"/>
      <c r="O84" s="444"/>
      <c r="P84" s="428" t="str">
        <f t="shared" si="31"/>
        <v/>
      </c>
      <c r="Q84" s="427"/>
      <c r="S84" s="804"/>
    </row>
    <row r="85" spans="1:19" s="1" customFormat="1" ht="15">
      <c r="A85" s="429">
        <f t="shared" si="30"/>
        <v>44621</v>
      </c>
      <c r="B85" s="440"/>
      <c r="C85" s="440"/>
      <c r="D85" s="427">
        <f t="shared" ca="1" si="28"/>
        <v>0</v>
      </c>
      <c r="E85" s="427">
        <f t="shared" ca="1" si="29"/>
        <v>0</v>
      </c>
      <c r="F85" s="441">
        <v>0</v>
      </c>
      <c r="G85" s="441">
        <v>0</v>
      </c>
      <c r="H85" s="442"/>
      <c r="I85" s="443"/>
      <c r="J85" s="444"/>
      <c r="K85" s="444"/>
      <c r="L85" s="444"/>
      <c r="M85" s="444"/>
      <c r="N85" s="444"/>
      <c r="O85" s="444"/>
      <c r="P85" s="428" t="str">
        <f t="shared" si="31"/>
        <v/>
      </c>
      <c r="Q85" s="427"/>
      <c r="S85" s="804"/>
    </row>
    <row r="86" spans="1:19" s="1" customFormat="1" ht="15">
      <c r="A86" s="421" t="s">
        <v>3612</v>
      </c>
      <c r="B86" s="430">
        <f t="shared" ref="B86:G86" si="32">SUM(B74:B85)</f>
        <v>0</v>
      </c>
      <c r="C86" s="430">
        <f t="shared" si="32"/>
        <v>0</v>
      </c>
      <c r="D86" s="430">
        <f t="shared" ca="1" si="32"/>
        <v>0</v>
      </c>
      <c r="E86" s="430">
        <f t="shared" ca="1" si="32"/>
        <v>0</v>
      </c>
      <c r="F86" s="430">
        <f t="shared" si="32"/>
        <v>0</v>
      </c>
      <c r="G86" s="430">
        <f t="shared" si="32"/>
        <v>0</v>
      </c>
      <c r="H86" s="430"/>
      <c r="I86" s="430"/>
      <c r="J86" s="430" t="str">
        <f t="shared" ref="J86:O86" si="33">IFERROR(AVERAGE(J74:J85),"")</f>
        <v/>
      </c>
      <c r="K86" s="430" t="str">
        <f t="shared" si="33"/>
        <v/>
      </c>
      <c r="L86" s="430" t="str">
        <f t="shared" si="33"/>
        <v/>
      </c>
      <c r="M86" s="430" t="str">
        <f t="shared" si="33"/>
        <v/>
      </c>
      <c r="N86" s="430" t="str">
        <f t="shared" si="33"/>
        <v/>
      </c>
      <c r="O86" s="430" t="str">
        <f t="shared" si="33"/>
        <v/>
      </c>
      <c r="P86" s="428" t="str">
        <f t="shared" si="31"/>
        <v/>
      </c>
      <c r="Q86" s="427"/>
      <c r="S86" s="804"/>
    </row>
    <row r="87" spans="1:19" s="1" customFormat="1" ht="15">
      <c r="A87" s="421" t="s">
        <v>3613</v>
      </c>
      <c r="B87" s="430" t="str">
        <f>IFERROR(AVERAGE(B74:B85),"")</f>
        <v/>
      </c>
      <c r="C87" s="430" t="str">
        <f>IFERROR(AVERAGE(C74:C85),"")</f>
        <v/>
      </c>
      <c r="D87" s="430">
        <f ca="1">AVERAGE(D74:D85)</f>
        <v>0</v>
      </c>
      <c r="E87" s="430">
        <f ca="1">AVERAGE(E74:E85)</f>
        <v>0</v>
      </c>
      <c r="F87" s="430">
        <f>IFERROR(AVERAGE(F74:F85),"")</f>
        <v>0</v>
      </c>
      <c r="G87" s="430">
        <f>IFERROR(AVERAGE(G74:G85),"")</f>
        <v>0</v>
      </c>
      <c r="H87" s="433"/>
      <c r="I87" s="433"/>
      <c r="J87" s="433"/>
      <c r="K87" s="434"/>
      <c r="L87" s="434"/>
      <c r="M87" s="435"/>
      <c r="N87" s="434"/>
      <c r="O87" s="436"/>
      <c r="P87" s="428" t="str">
        <f t="shared" si="31"/>
        <v/>
      </c>
      <c r="Q87" s="427"/>
      <c r="S87" s="804"/>
    </row>
    <row r="88" spans="1:19" ht="15"/>
    <row r="89" spans="1:19" ht="15">
      <c r="A89" s="823" t="s">
        <v>3614</v>
      </c>
      <c r="B89" s="824"/>
      <c r="C89" s="825"/>
      <c r="D89" s="818"/>
      <c r="E89" s="819"/>
      <c r="F89" s="819"/>
      <c r="G89" s="819"/>
      <c r="H89" s="819"/>
      <c r="I89" s="819"/>
      <c r="J89" s="819"/>
      <c r="K89" s="819"/>
      <c r="L89" s="819"/>
      <c r="M89" s="819"/>
      <c r="N89" s="819"/>
      <c r="O89" s="820"/>
    </row>
    <row r="90" spans="1:19" ht="15">
      <c r="A90" s="817" t="s">
        <v>3615</v>
      </c>
      <c r="B90" s="807"/>
      <c r="C90" s="808"/>
      <c r="D90" s="807"/>
      <c r="E90" s="807"/>
      <c r="F90" s="807"/>
      <c r="G90" s="807"/>
      <c r="H90" s="807"/>
      <c r="I90" s="807"/>
      <c r="J90" s="807"/>
      <c r="K90" s="807"/>
      <c r="L90" s="807"/>
      <c r="M90" s="807"/>
      <c r="N90" s="807"/>
      <c r="O90" s="808"/>
    </row>
    <row r="91" spans="1:19" ht="15">
      <c r="A91" s="812" t="s">
        <v>3616</v>
      </c>
      <c r="B91" s="813"/>
      <c r="C91" s="821"/>
      <c r="D91" s="821"/>
      <c r="E91" s="821"/>
      <c r="F91" s="821"/>
      <c r="G91" s="822"/>
      <c r="H91" s="417"/>
      <c r="I91" s="418"/>
      <c r="J91" s="829"/>
      <c r="K91" s="830"/>
      <c r="L91" s="830"/>
      <c r="M91" s="830"/>
      <c r="N91" s="830"/>
      <c r="O91" s="831"/>
    </row>
    <row r="92" spans="1:19" ht="15">
      <c r="A92" s="812" t="s">
        <v>3617</v>
      </c>
      <c r="B92" s="813"/>
      <c r="C92" s="814"/>
      <c r="D92" s="814"/>
      <c r="E92" s="814"/>
      <c r="F92" s="814"/>
      <c r="G92" s="815"/>
      <c r="H92" s="417"/>
      <c r="I92" s="418"/>
      <c r="J92" s="816"/>
      <c r="K92" s="814"/>
      <c r="L92" s="814"/>
      <c r="M92" s="814"/>
      <c r="N92" s="814"/>
      <c r="O92" s="815"/>
    </row>
    <row r="93" spans="1:19" ht="15">
      <c r="A93" s="421" t="s">
        <v>3618</v>
      </c>
      <c r="B93" s="809" t="s">
        <v>3619</v>
      </c>
      <c r="C93" s="811"/>
      <c r="D93" s="809" t="s">
        <v>3620</v>
      </c>
      <c r="E93" s="811"/>
      <c r="F93" s="805" t="s">
        <v>3621</v>
      </c>
      <c r="G93" s="805" t="s">
        <v>3622</v>
      </c>
      <c r="H93" s="805" t="s">
        <v>3623</v>
      </c>
      <c r="I93" s="422"/>
      <c r="J93" s="809" t="s">
        <v>3624</v>
      </c>
      <c r="K93" s="810"/>
      <c r="L93" s="810"/>
      <c r="M93" s="810"/>
      <c r="N93" s="810"/>
      <c r="O93" s="811"/>
    </row>
    <row r="94" spans="1:19" ht="33.75" customHeight="1">
      <c r="A94" s="421" t="s">
        <v>3625</v>
      </c>
      <c r="B94" s="423" t="s">
        <v>3626</v>
      </c>
      <c r="C94" s="423" t="s">
        <v>3627</v>
      </c>
      <c r="D94" s="423" t="s">
        <v>3628</v>
      </c>
      <c r="E94" s="423" t="s">
        <v>3629</v>
      </c>
      <c r="F94" s="806"/>
      <c r="G94" s="806"/>
      <c r="H94" s="806"/>
      <c r="I94" s="424"/>
      <c r="J94" s="423" t="s">
        <v>3630</v>
      </c>
      <c r="K94" s="423" t="s">
        <v>3631</v>
      </c>
      <c r="L94" s="423" t="s">
        <v>3632</v>
      </c>
      <c r="M94" s="423" t="s">
        <v>3633</v>
      </c>
      <c r="N94" s="423" t="s">
        <v>3634</v>
      </c>
      <c r="O94" s="423" t="s">
        <v>3635</v>
      </c>
    </row>
    <row r="95" spans="1:19" ht="15">
      <c r="A95" s="439">
        <f>A30</f>
        <v>44958</v>
      </c>
      <c r="B95" s="440"/>
      <c r="C95" s="440"/>
      <c r="D95" s="427">
        <f t="shared" ref="D95:D106" ca="1" si="34">IFERROR(LEN(_xludf.FORMULATEXT(B95))-LEN(SUBSTITUTE(_xludf.FORMULATEXT(B95),"+",""))+1,0)</f>
        <v>0</v>
      </c>
      <c r="E95" s="427">
        <f t="shared" ref="E95:E106" ca="1" si="35">IFERROR(LEN(_xludf.FORMULATEXT(C95))-LEN(SUBSTITUTE(_xludf.FORMULATEXT(C95),"+",""))+1,0)</f>
        <v>0</v>
      </c>
      <c r="F95" s="441">
        <v>0</v>
      </c>
      <c r="G95" s="441">
        <v>0</v>
      </c>
      <c r="H95" s="442"/>
      <c r="I95" s="443"/>
      <c r="J95" s="444"/>
      <c r="K95" s="159"/>
      <c r="L95" s="444"/>
      <c r="M95" s="444"/>
      <c r="N95" s="444"/>
      <c r="O95" s="444"/>
      <c r="P95" s="826" t="s">
        <v>3636</v>
      </c>
      <c r="Q95" s="828"/>
    </row>
    <row r="96" spans="1:19" s="1" customFormat="1" ht="30">
      <c r="A96" s="429">
        <f t="shared" ref="A96:A106" si="36">EDATE(A95,-1)</f>
        <v>44927</v>
      </c>
      <c r="B96" s="440"/>
      <c r="C96" s="440"/>
      <c r="D96" s="427">
        <f t="shared" ca="1" si="34"/>
        <v>0</v>
      </c>
      <c r="E96" s="427">
        <f t="shared" ca="1" si="35"/>
        <v>0</v>
      </c>
      <c r="F96" s="441">
        <v>0</v>
      </c>
      <c r="G96" s="441">
        <v>0</v>
      </c>
      <c r="H96" s="442"/>
      <c r="I96" s="443"/>
      <c r="J96" s="444"/>
      <c r="K96" s="444"/>
      <c r="L96" s="444"/>
      <c r="M96" s="444"/>
      <c r="N96" s="444"/>
      <c r="O96" s="444"/>
      <c r="P96" s="827"/>
      <c r="Q96" s="828"/>
      <c r="S96" s="393" t="s">
        <v>3637</v>
      </c>
    </row>
    <row r="97" spans="1:19" s="1" customFormat="1" ht="15">
      <c r="A97" s="429">
        <f t="shared" si="36"/>
        <v>44896</v>
      </c>
      <c r="B97" s="440"/>
      <c r="C97" s="440"/>
      <c r="D97" s="427">
        <f t="shared" ca="1" si="34"/>
        <v>0</v>
      </c>
      <c r="E97" s="427">
        <f t="shared" ca="1" si="35"/>
        <v>0</v>
      </c>
      <c r="F97" s="441">
        <v>0</v>
      </c>
      <c r="G97" s="441">
        <v>0</v>
      </c>
      <c r="H97" s="442"/>
      <c r="I97" s="443"/>
      <c r="J97" s="444"/>
      <c r="K97" s="444"/>
      <c r="L97" s="444"/>
      <c r="M97" s="444"/>
      <c r="N97" s="444"/>
      <c r="O97" s="444"/>
      <c r="P97" s="428" t="str">
        <f t="shared" ref="P97:P108" si="37">IFERROR(SUM(J97:O97)/COUNT(J97:O97),"")</f>
        <v/>
      </c>
      <c r="Q97" s="427"/>
      <c r="R97" s="1">
        <f>IF(AND(C97&lt;&gt;0,J94="yes"),1,0)</f>
        <v>0</v>
      </c>
      <c r="S97" s="804">
        <f>IFERROR(IF(J94="Yes",AVERAGE(J97:O102),0),0)</f>
        <v>0</v>
      </c>
    </row>
    <row r="98" spans="1:19" s="1" customFormat="1" ht="15">
      <c r="A98" s="429">
        <f t="shared" si="36"/>
        <v>44866</v>
      </c>
      <c r="B98" s="440"/>
      <c r="C98" s="440"/>
      <c r="D98" s="427">
        <f t="shared" ca="1" si="34"/>
        <v>0</v>
      </c>
      <c r="E98" s="427">
        <f t="shared" ca="1" si="35"/>
        <v>0</v>
      </c>
      <c r="F98" s="441">
        <v>0</v>
      </c>
      <c r="G98" s="441">
        <v>0</v>
      </c>
      <c r="H98" s="442"/>
      <c r="I98" s="443"/>
      <c r="J98" s="444"/>
      <c r="K98" s="444"/>
      <c r="L98" s="444"/>
      <c r="M98" s="444"/>
      <c r="N98" s="444"/>
      <c r="O98" s="444"/>
      <c r="P98" s="428" t="str">
        <f t="shared" si="37"/>
        <v/>
      </c>
      <c r="Q98" s="427"/>
      <c r="S98" s="804"/>
    </row>
    <row r="99" spans="1:19" s="1" customFormat="1" ht="15">
      <c r="A99" s="429">
        <f t="shared" si="36"/>
        <v>44835</v>
      </c>
      <c r="B99" s="440"/>
      <c r="C99" s="440"/>
      <c r="D99" s="427">
        <f t="shared" ca="1" si="34"/>
        <v>0</v>
      </c>
      <c r="E99" s="427">
        <f t="shared" ca="1" si="35"/>
        <v>0</v>
      </c>
      <c r="F99" s="441">
        <v>0</v>
      </c>
      <c r="G99" s="441">
        <v>0</v>
      </c>
      <c r="H99" s="442"/>
      <c r="I99" s="443"/>
      <c r="J99" s="444"/>
      <c r="K99" s="444"/>
      <c r="L99" s="444"/>
      <c r="M99" s="444"/>
      <c r="N99" s="444"/>
      <c r="O99" s="444"/>
      <c r="P99" s="428" t="str">
        <f t="shared" si="37"/>
        <v/>
      </c>
      <c r="Q99" s="427"/>
      <c r="S99" s="804"/>
    </row>
    <row r="100" spans="1:19" s="1" customFormat="1" ht="15">
      <c r="A100" s="429">
        <f t="shared" si="36"/>
        <v>44805</v>
      </c>
      <c r="B100" s="440"/>
      <c r="C100" s="440"/>
      <c r="D100" s="427">
        <f t="shared" ca="1" si="34"/>
        <v>0</v>
      </c>
      <c r="E100" s="427">
        <f t="shared" ca="1" si="35"/>
        <v>0</v>
      </c>
      <c r="F100" s="441">
        <v>0</v>
      </c>
      <c r="G100" s="441">
        <v>0</v>
      </c>
      <c r="H100" s="442"/>
      <c r="I100" s="443"/>
      <c r="J100" s="444"/>
      <c r="K100" s="444"/>
      <c r="L100" s="444"/>
      <c r="M100" s="444"/>
      <c r="N100" s="444"/>
      <c r="O100" s="444"/>
      <c r="P100" s="428" t="str">
        <f t="shared" si="37"/>
        <v/>
      </c>
      <c r="Q100" s="427"/>
      <c r="S100" s="804"/>
    </row>
    <row r="101" spans="1:19" s="1" customFormat="1" ht="15">
      <c r="A101" s="429">
        <f t="shared" si="36"/>
        <v>44774</v>
      </c>
      <c r="B101" s="440"/>
      <c r="C101" s="440"/>
      <c r="D101" s="427">
        <f t="shared" ca="1" si="34"/>
        <v>0</v>
      </c>
      <c r="E101" s="427">
        <f t="shared" ca="1" si="35"/>
        <v>0</v>
      </c>
      <c r="F101" s="441">
        <v>0</v>
      </c>
      <c r="G101" s="441">
        <v>0</v>
      </c>
      <c r="H101" s="442"/>
      <c r="I101" s="443"/>
      <c r="J101" s="444"/>
      <c r="K101" s="444"/>
      <c r="L101" s="444"/>
      <c r="M101" s="444"/>
      <c r="N101" s="444"/>
      <c r="O101" s="444"/>
      <c r="P101" s="428" t="str">
        <f t="shared" si="37"/>
        <v/>
      </c>
      <c r="Q101" s="427"/>
      <c r="S101" s="804"/>
    </row>
    <row r="102" spans="1:19" s="1" customFormat="1" ht="15">
      <c r="A102" s="429">
        <f t="shared" si="36"/>
        <v>44743</v>
      </c>
      <c r="B102" s="440"/>
      <c r="C102" s="440"/>
      <c r="D102" s="427">
        <f t="shared" ca="1" si="34"/>
        <v>0</v>
      </c>
      <c r="E102" s="427">
        <f t="shared" ca="1" si="35"/>
        <v>0</v>
      </c>
      <c r="F102" s="441">
        <v>0</v>
      </c>
      <c r="G102" s="441">
        <v>0</v>
      </c>
      <c r="H102" s="442"/>
      <c r="I102" s="443"/>
      <c r="J102" s="444"/>
      <c r="K102" s="444"/>
      <c r="L102" s="444"/>
      <c r="M102" s="444"/>
      <c r="N102" s="444"/>
      <c r="O102" s="444"/>
      <c r="P102" s="428" t="str">
        <f t="shared" si="37"/>
        <v/>
      </c>
      <c r="Q102" s="427"/>
      <c r="S102" s="804"/>
    </row>
    <row r="103" spans="1:19" s="1" customFormat="1" ht="15">
      <c r="A103" s="429">
        <f t="shared" si="36"/>
        <v>44713</v>
      </c>
      <c r="B103" s="440"/>
      <c r="C103" s="440"/>
      <c r="D103" s="427">
        <f t="shared" ca="1" si="34"/>
        <v>0</v>
      </c>
      <c r="E103" s="427">
        <f t="shared" ca="1" si="35"/>
        <v>0</v>
      </c>
      <c r="F103" s="441">
        <v>0</v>
      </c>
      <c r="G103" s="441">
        <v>0</v>
      </c>
      <c r="H103" s="442"/>
      <c r="I103" s="443"/>
      <c r="J103" s="444"/>
      <c r="K103" s="444"/>
      <c r="L103" s="444"/>
      <c r="M103" s="444"/>
      <c r="N103" s="444"/>
      <c r="O103" s="444"/>
      <c r="P103" s="428" t="str">
        <f t="shared" si="37"/>
        <v/>
      </c>
      <c r="Q103" s="427"/>
      <c r="S103" s="804">
        <f>IFERROR(IF(J94="Yes",AVERAGE(J97:O108),0),0)</f>
        <v>0</v>
      </c>
    </row>
    <row r="104" spans="1:19" s="1" customFormat="1" ht="15">
      <c r="A104" s="429">
        <f t="shared" si="36"/>
        <v>44682</v>
      </c>
      <c r="B104" s="440"/>
      <c r="C104" s="440"/>
      <c r="D104" s="427">
        <f t="shared" ca="1" si="34"/>
        <v>0</v>
      </c>
      <c r="E104" s="427">
        <f t="shared" ca="1" si="35"/>
        <v>0</v>
      </c>
      <c r="F104" s="441">
        <v>0</v>
      </c>
      <c r="G104" s="441">
        <v>0</v>
      </c>
      <c r="H104" s="442"/>
      <c r="I104" s="443"/>
      <c r="J104" s="444"/>
      <c r="K104" s="444"/>
      <c r="L104" s="444"/>
      <c r="M104" s="444"/>
      <c r="N104" s="444"/>
      <c r="O104" s="444"/>
      <c r="P104" s="428" t="str">
        <f t="shared" si="37"/>
        <v/>
      </c>
      <c r="Q104" s="427"/>
      <c r="S104" s="804"/>
    </row>
    <row r="105" spans="1:19" s="1" customFormat="1" ht="15">
      <c r="A105" s="429">
        <f t="shared" si="36"/>
        <v>44652</v>
      </c>
      <c r="B105" s="440"/>
      <c r="C105" s="440"/>
      <c r="D105" s="427">
        <f t="shared" ca="1" si="34"/>
        <v>0</v>
      </c>
      <c r="E105" s="427">
        <f t="shared" ca="1" si="35"/>
        <v>0</v>
      </c>
      <c r="F105" s="441">
        <v>0</v>
      </c>
      <c r="G105" s="441">
        <v>0</v>
      </c>
      <c r="H105" s="442"/>
      <c r="I105" s="443"/>
      <c r="J105" s="444"/>
      <c r="K105" s="444"/>
      <c r="L105" s="444"/>
      <c r="M105" s="444"/>
      <c r="N105" s="444"/>
      <c r="O105" s="444"/>
      <c r="P105" s="428" t="str">
        <f t="shared" si="37"/>
        <v/>
      </c>
      <c r="Q105" s="427"/>
      <c r="S105" s="804"/>
    </row>
    <row r="106" spans="1:19" s="1" customFormat="1" ht="15">
      <c r="A106" s="429">
        <f t="shared" si="36"/>
        <v>44621</v>
      </c>
      <c r="B106" s="440"/>
      <c r="C106" s="440"/>
      <c r="D106" s="427">
        <f t="shared" ca="1" si="34"/>
        <v>0</v>
      </c>
      <c r="E106" s="427">
        <f t="shared" ca="1" si="35"/>
        <v>0</v>
      </c>
      <c r="F106" s="441">
        <v>0</v>
      </c>
      <c r="G106" s="441">
        <v>0</v>
      </c>
      <c r="H106" s="442"/>
      <c r="I106" s="443"/>
      <c r="J106" s="444"/>
      <c r="K106" s="444"/>
      <c r="L106" s="444"/>
      <c r="M106" s="444"/>
      <c r="N106" s="444"/>
      <c r="O106" s="444"/>
      <c r="P106" s="428" t="str">
        <f t="shared" si="37"/>
        <v/>
      </c>
      <c r="Q106" s="427"/>
      <c r="S106" s="804"/>
    </row>
    <row r="107" spans="1:19" s="1" customFormat="1" ht="15">
      <c r="A107" s="421" t="s">
        <v>3638</v>
      </c>
      <c r="B107" s="430">
        <f t="shared" ref="B107:G107" si="38">SUM(B95:B106)</f>
        <v>0</v>
      </c>
      <c r="C107" s="430">
        <f t="shared" si="38"/>
        <v>0</v>
      </c>
      <c r="D107" s="430">
        <f t="shared" ca="1" si="38"/>
        <v>0</v>
      </c>
      <c r="E107" s="430">
        <f t="shared" ca="1" si="38"/>
        <v>0</v>
      </c>
      <c r="F107" s="430">
        <f t="shared" si="38"/>
        <v>0</v>
      </c>
      <c r="G107" s="430">
        <f t="shared" si="38"/>
        <v>0</v>
      </c>
      <c r="H107" s="430"/>
      <c r="I107" s="430"/>
      <c r="J107" s="430" t="str">
        <f t="shared" ref="J107:O107" si="39">IFERROR(AVERAGE(J95:J106),"")</f>
        <v/>
      </c>
      <c r="K107" s="430" t="str">
        <f t="shared" si="39"/>
        <v/>
      </c>
      <c r="L107" s="430" t="str">
        <f t="shared" si="39"/>
        <v/>
      </c>
      <c r="M107" s="430" t="str">
        <f t="shared" si="39"/>
        <v/>
      </c>
      <c r="N107" s="430" t="str">
        <f t="shared" si="39"/>
        <v/>
      </c>
      <c r="O107" s="430" t="str">
        <f t="shared" si="39"/>
        <v/>
      </c>
      <c r="P107" s="428" t="str">
        <f t="shared" si="37"/>
        <v/>
      </c>
      <c r="Q107" s="427"/>
      <c r="S107" s="804"/>
    </row>
    <row r="108" spans="1:19" s="1" customFormat="1" ht="15">
      <c r="A108" s="421" t="s">
        <v>3639</v>
      </c>
      <c r="B108" s="430" t="str">
        <f>IFERROR(AVERAGE(B95:B106),"")</f>
        <v/>
      </c>
      <c r="C108" s="430" t="str">
        <f>IFERROR(AVERAGE(C95:C106),"")</f>
        <v/>
      </c>
      <c r="D108" s="430">
        <f ca="1">AVERAGE(D95:D106)</f>
        <v>0</v>
      </c>
      <c r="E108" s="430">
        <f ca="1">AVERAGE(E95:E106)</f>
        <v>0</v>
      </c>
      <c r="F108" s="430">
        <f>IFERROR(AVERAGE(F95:F106),"")</f>
        <v>0</v>
      </c>
      <c r="G108" s="430">
        <f>IFERROR(AVERAGE(G95:G106),"")</f>
        <v>0</v>
      </c>
      <c r="H108" s="433"/>
      <c r="I108" s="433"/>
      <c r="J108" s="433"/>
      <c r="K108" s="434"/>
      <c r="L108" s="434"/>
      <c r="M108" s="435"/>
      <c r="N108" s="434"/>
      <c r="O108" s="436"/>
      <c r="P108" s="428" t="str">
        <f t="shared" si="37"/>
        <v/>
      </c>
      <c r="Q108" s="427"/>
      <c r="S108" s="804"/>
    </row>
    <row r="109" spans="1:19" ht="15"/>
    <row r="110" spans="1:19" ht="15">
      <c r="A110" s="823" t="s">
        <v>3640</v>
      </c>
      <c r="B110" s="824"/>
      <c r="C110" s="825"/>
      <c r="D110" s="818"/>
      <c r="E110" s="819"/>
      <c r="F110" s="819"/>
      <c r="G110" s="819"/>
      <c r="H110" s="819"/>
      <c r="I110" s="819"/>
      <c r="J110" s="819"/>
      <c r="K110" s="819"/>
      <c r="L110" s="819"/>
      <c r="M110" s="819"/>
      <c r="N110" s="819"/>
      <c r="O110" s="820"/>
    </row>
    <row r="111" spans="1:19" ht="15">
      <c r="A111" s="817" t="s">
        <v>3641</v>
      </c>
      <c r="B111" s="807"/>
      <c r="C111" s="808"/>
      <c r="D111" s="807"/>
      <c r="E111" s="807"/>
      <c r="F111" s="807"/>
      <c r="G111" s="807"/>
      <c r="H111" s="807"/>
      <c r="I111" s="807"/>
      <c r="J111" s="807"/>
      <c r="K111" s="807"/>
      <c r="L111" s="807"/>
      <c r="M111" s="807"/>
      <c r="N111" s="807"/>
      <c r="O111" s="808"/>
    </row>
    <row r="112" spans="1:19" ht="15">
      <c r="A112" s="812" t="s">
        <v>3642</v>
      </c>
      <c r="B112" s="813"/>
      <c r="C112" s="821"/>
      <c r="D112" s="821"/>
      <c r="E112" s="821"/>
      <c r="F112" s="821"/>
      <c r="G112" s="822"/>
      <c r="H112" s="417"/>
      <c r="I112" s="418"/>
      <c r="J112" s="829"/>
      <c r="K112" s="830"/>
      <c r="L112" s="830"/>
      <c r="M112" s="830"/>
      <c r="N112" s="830"/>
      <c r="O112" s="831"/>
    </row>
    <row r="113" spans="1:19" ht="15">
      <c r="A113" s="812" t="s">
        <v>3643</v>
      </c>
      <c r="B113" s="813"/>
      <c r="C113" s="814"/>
      <c r="D113" s="814"/>
      <c r="E113" s="814"/>
      <c r="F113" s="814"/>
      <c r="G113" s="815"/>
      <c r="H113" s="417"/>
      <c r="I113" s="418"/>
      <c r="J113" s="816"/>
      <c r="K113" s="814"/>
      <c r="L113" s="814"/>
      <c r="M113" s="814"/>
      <c r="N113" s="814"/>
      <c r="O113" s="815"/>
    </row>
    <row r="114" spans="1:19" ht="15">
      <c r="A114" s="421" t="s">
        <v>3644</v>
      </c>
      <c r="B114" s="809" t="s">
        <v>3645</v>
      </c>
      <c r="C114" s="811"/>
      <c r="D114" s="809" t="s">
        <v>3646</v>
      </c>
      <c r="E114" s="811"/>
      <c r="F114" s="805" t="s">
        <v>3647</v>
      </c>
      <c r="G114" s="805" t="s">
        <v>3648</v>
      </c>
      <c r="H114" s="805" t="s">
        <v>3649</v>
      </c>
      <c r="I114" s="422"/>
      <c r="J114" s="809" t="s">
        <v>3650</v>
      </c>
      <c r="K114" s="810"/>
      <c r="L114" s="810"/>
      <c r="M114" s="810"/>
      <c r="N114" s="810"/>
      <c r="O114" s="811"/>
    </row>
    <row r="115" spans="1:19" ht="33.75" customHeight="1">
      <c r="A115" s="421" t="s">
        <v>3651</v>
      </c>
      <c r="B115" s="423" t="s">
        <v>3652</v>
      </c>
      <c r="C115" s="423" t="s">
        <v>3653</v>
      </c>
      <c r="D115" s="423" t="s">
        <v>3654</v>
      </c>
      <c r="E115" s="423" t="s">
        <v>3655</v>
      </c>
      <c r="F115" s="806"/>
      <c r="G115" s="806"/>
      <c r="H115" s="806"/>
      <c r="I115" s="424"/>
      <c r="J115" s="423" t="s">
        <v>3656</v>
      </c>
      <c r="K115" s="423" t="s">
        <v>3657</v>
      </c>
      <c r="L115" s="423" t="s">
        <v>3658</v>
      </c>
      <c r="M115" s="423" t="s">
        <v>3659</v>
      </c>
      <c r="N115" s="423" t="s">
        <v>3660</v>
      </c>
      <c r="O115" s="423" t="s">
        <v>3661</v>
      </c>
    </row>
    <row r="116" spans="1:19" ht="15">
      <c r="A116" s="439">
        <f>A30</f>
        <v>44958</v>
      </c>
      <c r="B116" s="440"/>
      <c r="C116" s="440"/>
      <c r="D116" s="427">
        <f t="shared" ref="D116:D127" ca="1" si="40">IFERROR(LEN(_xludf.FORMULATEXT(B116))-LEN(SUBSTITUTE(_xludf.FORMULATEXT(B116),"+",""))+1,0)</f>
        <v>0</v>
      </c>
      <c r="E116" s="427">
        <f t="shared" ref="E116:E127" ca="1" si="41">IFERROR(LEN(_xludf.FORMULATEXT(C116))-LEN(SUBSTITUTE(_xludf.FORMULATEXT(C116),"+",""))+1,0)</f>
        <v>0</v>
      </c>
      <c r="F116" s="441">
        <v>0</v>
      </c>
      <c r="G116" s="441">
        <v>0</v>
      </c>
      <c r="H116" s="442"/>
      <c r="I116" s="443"/>
      <c r="J116" s="444"/>
      <c r="K116" s="159"/>
      <c r="L116" s="444"/>
      <c r="M116" s="444"/>
      <c r="N116" s="444"/>
      <c r="O116" s="444"/>
      <c r="P116" s="826" t="s">
        <v>3662</v>
      </c>
      <c r="Q116" s="828"/>
    </row>
    <row r="117" spans="1:19" s="1" customFormat="1" ht="30">
      <c r="A117" s="429">
        <f t="shared" ref="A117:A127" si="42">EDATE(A116,-1)</f>
        <v>44927</v>
      </c>
      <c r="B117" s="440"/>
      <c r="C117" s="440"/>
      <c r="D117" s="427">
        <f t="shared" ca="1" si="40"/>
        <v>0</v>
      </c>
      <c r="E117" s="427">
        <f t="shared" ca="1" si="41"/>
        <v>0</v>
      </c>
      <c r="F117" s="441">
        <v>0</v>
      </c>
      <c r="G117" s="441">
        <v>0</v>
      </c>
      <c r="H117" s="442"/>
      <c r="I117" s="443"/>
      <c r="J117" s="444"/>
      <c r="K117" s="444"/>
      <c r="L117" s="444"/>
      <c r="M117" s="444"/>
      <c r="N117" s="444"/>
      <c r="O117" s="444"/>
      <c r="P117" s="827"/>
      <c r="Q117" s="828"/>
      <c r="S117" s="393" t="s">
        <v>3663</v>
      </c>
    </row>
    <row r="118" spans="1:19" s="1" customFormat="1" ht="15">
      <c r="A118" s="429">
        <f t="shared" si="42"/>
        <v>44896</v>
      </c>
      <c r="B118" s="440"/>
      <c r="C118" s="440"/>
      <c r="D118" s="427">
        <f t="shared" ca="1" si="40"/>
        <v>0</v>
      </c>
      <c r="E118" s="427">
        <f t="shared" ca="1" si="41"/>
        <v>0</v>
      </c>
      <c r="F118" s="441">
        <v>0</v>
      </c>
      <c r="G118" s="441">
        <v>0</v>
      </c>
      <c r="H118" s="442"/>
      <c r="I118" s="443"/>
      <c r="J118" s="444"/>
      <c r="K118" s="444"/>
      <c r="L118" s="444"/>
      <c r="M118" s="444"/>
      <c r="N118" s="444"/>
      <c r="O118" s="444"/>
      <c r="P118" s="428" t="str">
        <f t="shared" ref="P118:P129" si="43">IFERROR(SUM(J118:O118)/COUNT(J118:O118),"")</f>
        <v/>
      </c>
      <c r="Q118" s="427"/>
      <c r="R118" s="1">
        <f>IF(AND(C118&lt;&gt;0,J115="yes"),1,0)</f>
        <v>0</v>
      </c>
      <c r="S118" s="804">
        <f>IFERROR(IF(J115="Yes",AVERAGE(J118:O123),0),0)</f>
        <v>0</v>
      </c>
    </row>
    <row r="119" spans="1:19" s="1" customFormat="1" ht="15">
      <c r="A119" s="429">
        <f t="shared" si="42"/>
        <v>44866</v>
      </c>
      <c r="B119" s="440"/>
      <c r="C119" s="440"/>
      <c r="D119" s="427">
        <f t="shared" ca="1" si="40"/>
        <v>0</v>
      </c>
      <c r="E119" s="427">
        <f t="shared" ca="1" si="41"/>
        <v>0</v>
      </c>
      <c r="F119" s="441">
        <v>0</v>
      </c>
      <c r="G119" s="441">
        <v>0</v>
      </c>
      <c r="H119" s="442"/>
      <c r="I119" s="443"/>
      <c r="J119" s="444"/>
      <c r="K119" s="444"/>
      <c r="L119" s="444"/>
      <c r="M119" s="444"/>
      <c r="N119" s="444"/>
      <c r="O119" s="444"/>
      <c r="P119" s="428" t="str">
        <f t="shared" si="43"/>
        <v/>
      </c>
      <c r="Q119" s="427"/>
      <c r="S119" s="804"/>
    </row>
    <row r="120" spans="1:19" s="1" customFormat="1" ht="15">
      <c r="A120" s="429">
        <f t="shared" si="42"/>
        <v>44835</v>
      </c>
      <c r="B120" s="440"/>
      <c r="C120" s="440"/>
      <c r="D120" s="427">
        <f t="shared" ca="1" si="40"/>
        <v>0</v>
      </c>
      <c r="E120" s="427">
        <f t="shared" ca="1" si="41"/>
        <v>0</v>
      </c>
      <c r="F120" s="441">
        <v>0</v>
      </c>
      <c r="G120" s="441">
        <v>0</v>
      </c>
      <c r="H120" s="442"/>
      <c r="I120" s="443"/>
      <c r="J120" s="444"/>
      <c r="K120" s="444"/>
      <c r="L120" s="444"/>
      <c r="M120" s="444"/>
      <c r="N120" s="444"/>
      <c r="O120" s="444"/>
      <c r="P120" s="428" t="str">
        <f t="shared" si="43"/>
        <v/>
      </c>
      <c r="Q120" s="427"/>
      <c r="S120" s="804"/>
    </row>
    <row r="121" spans="1:19" s="1" customFormat="1" ht="15">
      <c r="A121" s="429">
        <f t="shared" si="42"/>
        <v>44805</v>
      </c>
      <c r="B121" s="440"/>
      <c r="C121" s="440"/>
      <c r="D121" s="427">
        <f t="shared" ca="1" si="40"/>
        <v>0</v>
      </c>
      <c r="E121" s="427">
        <f t="shared" ca="1" si="41"/>
        <v>0</v>
      </c>
      <c r="F121" s="441">
        <v>0</v>
      </c>
      <c r="G121" s="441">
        <v>0</v>
      </c>
      <c r="H121" s="442"/>
      <c r="I121" s="443"/>
      <c r="J121" s="444"/>
      <c r="K121" s="444"/>
      <c r="L121" s="444"/>
      <c r="M121" s="444"/>
      <c r="N121" s="444"/>
      <c r="O121" s="444"/>
      <c r="P121" s="428" t="str">
        <f t="shared" si="43"/>
        <v/>
      </c>
      <c r="Q121" s="427"/>
      <c r="S121" s="804"/>
    </row>
    <row r="122" spans="1:19" s="1" customFormat="1" ht="15">
      <c r="A122" s="429">
        <f t="shared" si="42"/>
        <v>44774</v>
      </c>
      <c r="B122" s="440"/>
      <c r="C122" s="440"/>
      <c r="D122" s="427">
        <f t="shared" ca="1" si="40"/>
        <v>0</v>
      </c>
      <c r="E122" s="427">
        <f t="shared" ca="1" si="41"/>
        <v>0</v>
      </c>
      <c r="F122" s="441">
        <v>0</v>
      </c>
      <c r="G122" s="441">
        <v>0</v>
      </c>
      <c r="H122" s="442"/>
      <c r="I122" s="443"/>
      <c r="J122" s="444"/>
      <c r="K122" s="444"/>
      <c r="L122" s="444"/>
      <c r="M122" s="444"/>
      <c r="N122" s="444"/>
      <c r="O122" s="444"/>
      <c r="P122" s="428" t="str">
        <f t="shared" si="43"/>
        <v/>
      </c>
      <c r="Q122" s="427"/>
      <c r="S122" s="804"/>
    </row>
    <row r="123" spans="1:19" s="1" customFormat="1" ht="15">
      <c r="A123" s="429">
        <f t="shared" si="42"/>
        <v>44743</v>
      </c>
      <c r="B123" s="440"/>
      <c r="C123" s="440"/>
      <c r="D123" s="427">
        <f t="shared" ca="1" si="40"/>
        <v>0</v>
      </c>
      <c r="E123" s="427">
        <f t="shared" ca="1" si="41"/>
        <v>0</v>
      </c>
      <c r="F123" s="441">
        <v>0</v>
      </c>
      <c r="G123" s="441">
        <v>0</v>
      </c>
      <c r="H123" s="442"/>
      <c r="I123" s="443"/>
      <c r="J123" s="444"/>
      <c r="K123" s="444"/>
      <c r="L123" s="444"/>
      <c r="M123" s="444"/>
      <c r="N123" s="444"/>
      <c r="O123" s="444"/>
      <c r="P123" s="428" t="str">
        <f t="shared" si="43"/>
        <v/>
      </c>
      <c r="Q123" s="427"/>
      <c r="S123" s="804"/>
    </row>
    <row r="124" spans="1:19" s="1" customFormat="1" ht="15">
      <c r="A124" s="429">
        <f t="shared" si="42"/>
        <v>44713</v>
      </c>
      <c r="B124" s="440"/>
      <c r="C124" s="440"/>
      <c r="D124" s="427">
        <f t="shared" ca="1" si="40"/>
        <v>0</v>
      </c>
      <c r="E124" s="427">
        <f t="shared" ca="1" si="41"/>
        <v>0</v>
      </c>
      <c r="F124" s="441">
        <v>0</v>
      </c>
      <c r="G124" s="441">
        <v>0</v>
      </c>
      <c r="H124" s="442"/>
      <c r="I124" s="443"/>
      <c r="J124" s="444"/>
      <c r="K124" s="444"/>
      <c r="L124" s="444"/>
      <c r="M124" s="444"/>
      <c r="N124" s="444"/>
      <c r="O124" s="444"/>
      <c r="P124" s="428" t="str">
        <f t="shared" si="43"/>
        <v/>
      </c>
      <c r="Q124" s="427"/>
      <c r="S124" s="804">
        <f>IFERROR(IF(J115="Yes",AVERAGE(J118:O129),0),0)</f>
        <v>0</v>
      </c>
    </row>
    <row r="125" spans="1:19" s="1" customFormat="1" ht="15">
      <c r="A125" s="429">
        <f t="shared" si="42"/>
        <v>44682</v>
      </c>
      <c r="B125" s="440"/>
      <c r="C125" s="440"/>
      <c r="D125" s="427">
        <f t="shared" ca="1" si="40"/>
        <v>0</v>
      </c>
      <c r="E125" s="427">
        <f t="shared" ca="1" si="41"/>
        <v>0</v>
      </c>
      <c r="F125" s="441">
        <v>0</v>
      </c>
      <c r="G125" s="441">
        <v>0</v>
      </c>
      <c r="H125" s="442"/>
      <c r="I125" s="443"/>
      <c r="J125" s="444"/>
      <c r="K125" s="444"/>
      <c r="L125" s="444"/>
      <c r="M125" s="444"/>
      <c r="N125" s="444"/>
      <c r="O125" s="444"/>
      <c r="P125" s="428" t="str">
        <f t="shared" si="43"/>
        <v/>
      </c>
      <c r="Q125" s="427"/>
      <c r="S125" s="804"/>
    </row>
    <row r="126" spans="1:19" s="1" customFormat="1" ht="15">
      <c r="A126" s="429">
        <f t="shared" si="42"/>
        <v>44652</v>
      </c>
      <c r="B126" s="440"/>
      <c r="C126" s="440"/>
      <c r="D126" s="427">
        <f t="shared" ca="1" si="40"/>
        <v>0</v>
      </c>
      <c r="E126" s="427">
        <f t="shared" ca="1" si="41"/>
        <v>0</v>
      </c>
      <c r="F126" s="441">
        <v>0</v>
      </c>
      <c r="G126" s="441">
        <v>0</v>
      </c>
      <c r="H126" s="442"/>
      <c r="I126" s="443"/>
      <c r="J126" s="444"/>
      <c r="K126" s="444"/>
      <c r="L126" s="444"/>
      <c r="M126" s="444"/>
      <c r="N126" s="444"/>
      <c r="O126" s="444"/>
      <c r="P126" s="428" t="str">
        <f t="shared" si="43"/>
        <v/>
      </c>
      <c r="Q126" s="427"/>
      <c r="S126" s="804"/>
    </row>
    <row r="127" spans="1:19" s="1" customFormat="1" ht="15">
      <c r="A127" s="429">
        <f t="shared" si="42"/>
        <v>44621</v>
      </c>
      <c r="B127" s="440"/>
      <c r="C127" s="440"/>
      <c r="D127" s="427">
        <f t="shared" ca="1" si="40"/>
        <v>0</v>
      </c>
      <c r="E127" s="427">
        <f t="shared" ca="1" si="41"/>
        <v>0</v>
      </c>
      <c r="F127" s="441">
        <v>0</v>
      </c>
      <c r="G127" s="441">
        <v>0</v>
      </c>
      <c r="H127" s="442"/>
      <c r="I127" s="443"/>
      <c r="J127" s="444"/>
      <c r="K127" s="444"/>
      <c r="L127" s="444"/>
      <c r="M127" s="444"/>
      <c r="N127" s="444"/>
      <c r="O127" s="444"/>
      <c r="P127" s="428" t="str">
        <f t="shared" si="43"/>
        <v/>
      </c>
      <c r="Q127" s="427"/>
      <c r="S127" s="804"/>
    </row>
    <row r="128" spans="1:19" s="1" customFormat="1" ht="15">
      <c r="A128" s="421" t="s">
        <v>3664</v>
      </c>
      <c r="B128" s="430">
        <f t="shared" ref="B128:G128" si="44">SUM(B116:B127)</f>
        <v>0</v>
      </c>
      <c r="C128" s="430">
        <f t="shared" si="44"/>
        <v>0</v>
      </c>
      <c r="D128" s="430">
        <f t="shared" ca="1" si="44"/>
        <v>0</v>
      </c>
      <c r="E128" s="430">
        <f t="shared" ca="1" si="44"/>
        <v>0</v>
      </c>
      <c r="F128" s="430">
        <f t="shared" si="44"/>
        <v>0</v>
      </c>
      <c r="G128" s="430">
        <f t="shared" si="44"/>
        <v>0</v>
      </c>
      <c r="H128" s="430"/>
      <c r="I128" s="430"/>
      <c r="J128" s="430" t="str">
        <f t="shared" ref="J128:O128" si="45">IFERROR(AVERAGE(J116:J127),"")</f>
        <v/>
      </c>
      <c r="K128" s="430" t="str">
        <f t="shared" si="45"/>
        <v/>
      </c>
      <c r="L128" s="430" t="str">
        <f t="shared" si="45"/>
        <v/>
      </c>
      <c r="M128" s="430" t="str">
        <f t="shared" si="45"/>
        <v/>
      </c>
      <c r="N128" s="430" t="str">
        <f t="shared" si="45"/>
        <v/>
      </c>
      <c r="O128" s="430" t="str">
        <f t="shared" si="45"/>
        <v/>
      </c>
      <c r="P128" s="428" t="str">
        <f t="shared" si="43"/>
        <v/>
      </c>
      <c r="Q128" s="427"/>
      <c r="S128" s="804"/>
    </row>
    <row r="129" spans="1:19" s="1" customFormat="1" ht="15">
      <c r="A129" s="421" t="s">
        <v>3665</v>
      </c>
      <c r="B129" s="430" t="str">
        <f>IFERROR(AVERAGE(B116:B127),"")</f>
        <v/>
      </c>
      <c r="C129" s="430" t="str">
        <f>IFERROR(AVERAGE(C116:C127),"")</f>
        <v/>
      </c>
      <c r="D129" s="430">
        <f ca="1">AVERAGE(D116:D127)</f>
        <v>0</v>
      </c>
      <c r="E129" s="430">
        <f ca="1">AVERAGE(E116:E127)</f>
        <v>0</v>
      </c>
      <c r="F129" s="430">
        <f>IFERROR(AVERAGE(F116:F127),"")</f>
        <v>0</v>
      </c>
      <c r="G129" s="430">
        <f>IFERROR(AVERAGE(G116:G127),"")</f>
        <v>0</v>
      </c>
      <c r="H129" s="433"/>
      <c r="I129" s="433"/>
      <c r="J129" s="433"/>
      <c r="K129" s="434"/>
      <c r="L129" s="434"/>
      <c r="M129" s="435"/>
      <c r="N129" s="434"/>
      <c r="O129" s="436"/>
      <c r="P129" s="428" t="str">
        <f t="shared" si="43"/>
        <v/>
      </c>
      <c r="Q129" s="427"/>
      <c r="S129" s="804"/>
    </row>
    <row r="130" spans="1:19" ht="15"/>
    <row r="131" spans="1:19" ht="15">
      <c r="A131" s="823" t="s">
        <v>3666</v>
      </c>
      <c r="B131" s="824"/>
      <c r="C131" s="825"/>
      <c r="D131" s="818"/>
      <c r="E131" s="819"/>
      <c r="F131" s="819"/>
      <c r="G131" s="819"/>
      <c r="H131" s="819"/>
      <c r="I131" s="819"/>
      <c r="J131" s="819"/>
      <c r="K131" s="819"/>
      <c r="L131" s="819"/>
      <c r="M131" s="819"/>
      <c r="N131" s="819"/>
      <c r="O131" s="820"/>
    </row>
    <row r="132" spans="1:19" ht="15">
      <c r="A132" s="817" t="s">
        <v>3667</v>
      </c>
      <c r="B132" s="807"/>
      <c r="C132" s="808"/>
      <c r="D132" s="807"/>
      <c r="E132" s="807"/>
      <c r="F132" s="807"/>
      <c r="G132" s="807"/>
      <c r="H132" s="807"/>
      <c r="I132" s="807"/>
      <c r="J132" s="807"/>
      <c r="K132" s="807"/>
      <c r="L132" s="807"/>
      <c r="M132" s="807"/>
      <c r="N132" s="807"/>
      <c r="O132" s="808"/>
    </row>
    <row r="133" spans="1:19" ht="15">
      <c r="A133" s="812" t="s">
        <v>3668</v>
      </c>
      <c r="B133" s="813"/>
      <c r="C133" s="821"/>
      <c r="D133" s="821"/>
      <c r="E133" s="821"/>
      <c r="F133" s="821"/>
      <c r="G133" s="822"/>
      <c r="H133" s="417"/>
      <c r="I133" s="418"/>
      <c r="J133" s="829"/>
      <c r="K133" s="830"/>
      <c r="L133" s="830"/>
      <c r="M133" s="830"/>
      <c r="N133" s="830"/>
      <c r="O133" s="831"/>
    </row>
    <row r="134" spans="1:19" ht="15">
      <c r="A134" s="812" t="s">
        <v>3669</v>
      </c>
      <c r="B134" s="813"/>
      <c r="C134" s="814"/>
      <c r="D134" s="814"/>
      <c r="E134" s="814"/>
      <c r="F134" s="814"/>
      <c r="G134" s="815"/>
      <c r="H134" s="417"/>
      <c r="I134" s="418"/>
      <c r="J134" s="816"/>
      <c r="K134" s="814"/>
      <c r="L134" s="814"/>
      <c r="M134" s="814"/>
      <c r="N134" s="814"/>
      <c r="O134" s="815"/>
    </row>
    <row r="135" spans="1:19" ht="15">
      <c r="A135" s="421" t="s">
        <v>3670</v>
      </c>
      <c r="B135" s="809" t="s">
        <v>3671</v>
      </c>
      <c r="C135" s="811"/>
      <c r="D135" s="809" t="s">
        <v>3672</v>
      </c>
      <c r="E135" s="811"/>
      <c r="F135" s="805" t="s">
        <v>3673</v>
      </c>
      <c r="G135" s="805" t="s">
        <v>3674</v>
      </c>
      <c r="H135" s="805" t="s">
        <v>3675</v>
      </c>
      <c r="I135" s="422"/>
      <c r="J135" s="809" t="s">
        <v>3676</v>
      </c>
      <c r="K135" s="810"/>
      <c r="L135" s="810"/>
      <c r="M135" s="810"/>
      <c r="N135" s="810"/>
      <c r="O135" s="811"/>
    </row>
    <row r="136" spans="1:19" ht="33.75" customHeight="1">
      <c r="A136" s="421" t="s">
        <v>3677</v>
      </c>
      <c r="B136" s="423" t="s">
        <v>3678</v>
      </c>
      <c r="C136" s="423" t="s">
        <v>3679</v>
      </c>
      <c r="D136" s="423" t="s">
        <v>3680</v>
      </c>
      <c r="E136" s="423" t="s">
        <v>3681</v>
      </c>
      <c r="F136" s="806"/>
      <c r="G136" s="806"/>
      <c r="H136" s="806"/>
      <c r="I136" s="424"/>
      <c r="J136" s="423" t="s">
        <v>3682</v>
      </c>
      <c r="K136" s="423" t="s">
        <v>3683</v>
      </c>
      <c r="L136" s="423" t="s">
        <v>3684</v>
      </c>
      <c r="M136" s="423" t="s">
        <v>3685</v>
      </c>
      <c r="N136" s="423" t="s">
        <v>3686</v>
      </c>
      <c r="O136" s="423" t="s">
        <v>3687</v>
      </c>
    </row>
    <row r="137" spans="1:19" ht="15">
      <c r="A137" s="439">
        <f>A30</f>
        <v>44958</v>
      </c>
      <c r="B137" s="440"/>
      <c r="C137" s="440"/>
      <c r="D137" s="427">
        <f t="shared" ref="D137:D148" ca="1" si="46">IFERROR(LEN(_xludf.FORMULATEXT(B137))-LEN(SUBSTITUTE(_xludf.FORMULATEXT(B137),"+",""))+1,0)</f>
        <v>0</v>
      </c>
      <c r="E137" s="427">
        <f t="shared" ref="E137:E148" ca="1" si="47">IFERROR(LEN(_xludf.FORMULATEXT(C137))-LEN(SUBSTITUTE(_xludf.FORMULATEXT(C137),"+",""))+1,0)</f>
        <v>0</v>
      </c>
      <c r="F137" s="441">
        <v>0</v>
      </c>
      <c r="G137" s="441">
        <v>0</v>
      </c>
      <c r="H137" s="442"/>
      <c r="I137" s="443"/>
      <c r="J137" s="444"/>
      <c r="K137" s="159"/>
      <c r="L137" s="444"/>
      <c r="M137" s="444"/>
      <c r="N137" s="444"/>
      <c r="O137" s="444"/>
      <c r="P137" s="826" t="s">
        <v>3688</v>
      </c>
      <c r="Q137" s="828"/>
    </row>
    <row r="138" spans="1:19" s="1" customFormat="1" ht="30">
      <c r="A138" s="429">
        <f t="shared" ref="A138:A148" si="48">EDATE(A137,-1)</f>
        <v>44927</v>
      </c>
      <c r="B138" s="440"/>
      <c r="C138" s="440"/>
      <c r="D138" s="427">
        <f t="shared" ca="1" si="46"/>
        <v>0</v>
      </c>
      <c r="E138" s="427">
        <f t="shared" ca="1" si="47"/>
        <v>0</v>
      </c>
      <c r="F138" s="441">
        <v>0</v>
      </c>
      <c r="G138" s="441">
        <v>0</v>
      </c>
      <c r="H138" s="442"/>
      <c r="I138" s="443"/>
      <c r="J138" s="444"/>
      <c r="K138" s="444"/>
      <c r="L138" s="444"/>
      <c r="M138" s="444"/>
      <c r="N138" s="444"/>
      <c r="O138" s="444"/>
      <c r="P138" s="827"/>
      <c r="Q138" s="828"/>
      <c r="S138" s="393" t="s">
        <v>3689</v>
      </c>
    </row>
    <row r="139" spans="1:19" s="1" customFormat="1" ht="15">
      <c r="A139" s="429">
        <f t="shared" si="48"/>
        <v>44896</v>
      </c>
      <c r="B139" s="440"/>
      <c r="C139" s="440"/>
      <c r="D139" s="427">
        <f t="shared" ca="1" si="46"/>
        <v>0</v>
      </c>
      <c r="E139" s="427">
        <f t="shared" ca="1" si="47"/>
        <v>0</v>
      </c>
      <c r="F139" s="441">
        <v>0</v>
      </c>
      <c r="G139" s="441">
        <v>0</v>
      </c>
      <c r="H139" s="442"/>
      <c r="I139" s="443"/>
      <c r="J139" s="444"/>
      <c r="K139" s="444"/>
      <c r="L139" s="444"/>
      <c r="M139" s="444"/>
      <c r="N139" s="444"/>
      <c r="O139" s="444"/>
      <c r="P139" s="428" t="str">
        <f t="shared" ref="P139:P150" si="49">IFERROR(SUM(J139:O139)/COUNT(J139:O139),"")</f>
        <v/>
      </c>
      <c r="Q139" s="427"/>
      <c r="R139" s="1">
        <f>IF(AND(C139&lt;&gt;0,J136="yes"),1,0)</f>
        <v>0</v>
      </c>
      <c r="S139" s="804">
        <f>IFERROR(IF(J136="Yes",AVERAGE(J139:O144),0),0)</f>
        <v>0</v>
      </c>
    </row>
    <row r="140" spans="1:19" s="1" customFormat="1" ht="15">
      <c r="A140" s="429">
        <f t="shared" si="48"/>
        <v>44866</v>
      </c>
      <c r="B140" s="440"/>
      <c r="C140" s="440"/>
      <c r="D140" s="427">
        <f t="shared" ca="1" si="46"/>
        <v>0</v>
      </c>
      <c r="E140" s="427">
        <f t="shared" ca="1" si="47"/>
        <v>0</v>
      </c>
      <c r="F140" s="441">
        <v>0</v>
      </c>
      <c r="G140" s="441">
        <v>0</v>
      </c>
      <c r="H140" s="442"/>
      <c r="I140" s="443"/>
      <c r="J140" s="444"/>
      <c r="K140" s="444"/>
      <c r="L140" s="444"/>
      <c r="M140" s="444"/>
      <c r="N140" s="444"/>
      <c r="O140" s="444"/>
      <c r="P140" s="428" t="str">
        <f t="shared" si="49"/>
        <v/>
      </c>
      <c r="Q140" s="427"/>
      <c r="S140" s="804"/>
    </row>
    <row r="141" spans="1:19" s="1" customFormat="1" ht="15">
      <c r="A141" s="429">
        <f t="shared" si="48"/>
        <v>44835</v>
      </c>
      <c r="B141" s="440"/>
      <c r="C141" s="440"/>
      <c r="D141" s="427">
        <f t="shared" ca="1" si="46"/>
        <v>0</v>
      </c>
      <c r="E141" s="427">
        <f t="shared" ca="1" si="47"/>
        <v>0</v>
      </c>
      <c r="F141" s="441">
        <v>0</v>
      </c>
      <c r="G141" s="441">
        <v>0</v>
      </c>
      <c r="H141" s="442"/>
      <c r="I141" s="443"/>
      <c r="J141" s="444"/>
      <c r="K141" s="444"/>
      <c r="L141" s="444"/>
      <c r="M141" s="444"/>
      <c r="N141" s="444"/>
      <c r="O141" s="444"/>
      <c r="P141" s="428" t="str">
        <f t="shared" si="49"/>
        <v/>
      </c>
      <c r="Q141" s="427"/>
      <c r="S141" s="804"/>
    </row>
    <row r="142" spans="1:19" s="1" customFormat="1" ht="15">
      <c r="A142" s="429">
        <f t="shared" si="48"/>
        <v>44805</v>
      </c>
      <c r="B142" s="440"/>
      <c r="C142" s="440"/>
      <c r="D142" s="427">
        <f t="shared" ca="1" si="46"/>
        <v>0</v>
      </c>
      <c r="E142" s="427">
        <f t="shared" ca="1" si="47"/>
        <v>0</v>
      </c>
      <c r="F142" s="441">
        <v>0</v>
      </c>
      <c r="G142" s="441">
        <v>0</v>
      </c>
      <c r="H142" s="442"/>
      <c r="I142" s="443"/>
      <c r="J142" s="444"/>
      <c r="K142" s="444"/>
      <c r="L142" s="444"/>
      <c r="M142" s="444"/>
      <c r="N142" s="444"/>
      <c r="O142" s="444"/>
      <c r="P142" s="428" t="str">
        <f t="shared" si="49"/>
        <v/>
      </c>
      <c r="Q142" s="427"/>
      <c r="S142" s="804"/>
    </row>
    <row r="143" spans="1:19" s="1" customFormat="1" ht="15">
      <c r="A143" s="429">
        <f t="shared" si="48"/>
        <v>44774</v>
      </c>
      <c r="B143" s="440"/>
      <c r="C143" s="440"/>
      <c r="D143" s="427">
        <f t="shared" ca="1" si="46"/>
        <v>0</v>
      </c>
      <c r="E143" s="427">
        <f t="shared" ca="1" si="47"/>
        <v>0</v>
      </c>
      <c r="F143" s="441">
        <v>0</v>
      </c>
      <c r="G143" s="441">
        <v>0</v>
      </c>
      <c r="H143" s="442"/>
      <c r="I143" s="443"/>
      <c r="J143" s="444"/>
      <c r="K143" s="444"/>
      <c r="L143" s="444"/>
      <c r="M143" s="444"/>
      <c r="N143" s="444"/>
      <c r="O143" s="444"/>
      <c r="P143" s="428" t="str">
        <f t="shared" si="49"/>
        <v/>
      </c>
      <c r="Q143" s="427"/>
      <c r="S143" s="804"/>
    </row>
    <row r="144" spans="1:19" s="1" customFormat="1" ht="15">
      <c r="A144" s="429">
        <f t="shared" si="48"/>
        <v>44743</v>
      </c>
      <c r="B144" s="440"/>
      <c r="C144" s="440"/>
      <c r="D144" s="427">
        <f t="shared" ca="1" si="46"/>
        <v>0</v>
      </c>
      <c r="E144" s="427">
        <f t="shared" ca="1" si="47"/>
        <v>0</v>
      </c>
      <c r="F144" s="441">
        <v>0</v>
      </c>
      <c r="G144" s="441">
        <v>0</v>
      </c>
      <c r="H144" s="442"/>
      <c r="I144" s="443"/>
      <c r="J144" s="444"/>
      <c r="K144" s="444"/>
      <c r="L144" s="444"/>
      <c r="M144" s="444"/>
      <c r="N144" s="444"/>
      <c r="O144" s="444"/>
      <c r="P144" s="428" t="str">
        <f t="shared" si="49"/>
        <v/>
      </c>
      <c r="Q144" s="427"/>
      <c r="S144" s="804"/>
    </row>
    <row r="145" spans="1:19" s="1" customFormat="1" ht="15">
      <c r="A145" s="429">
        <f t="shared" si="48"/>
        <v>44713</v>
      </c>
      <c r="B145" s="440"/>
      <c r="C145" s="440"/>
      <c r="D145" s="427">
        <f t="shared" ca="1" si="46"/>
        <v>0</v>
      </c>
      <c r="E145" s="427">
        <f t="shared" ca="1" si="47"/>
        <v>0</v>
      </c>
      <c r="F145" s="441">
        <v>0</v>
      </c>
      <c r="G145" s="441">
        <v>0</v>
      </c>
      <c r="H145" s="442"/>
      <c r="I145" s="443"/>
      <c r="J145" s="444"/>
      <c r="K145" s="444"/>
      <c r="L145" s="444"/>
      <c r="M145" s="444"/>
      <c r="N145" s="444"/>
      <c r="O145" s="444"/>
      <c r="P145" s="428" t="str">
        <f t="shared" si="49"/>
        <v/>
      </c>
      <c r="Q145" s="427"/>
      <c r="S145" s="804">
        <f>IFERROR(IF(J136="Yes",AVERAGE(J139:O150),0),0)</f>
        <v>0</v>
      </c>
    </row>
    <row r="146" spans="1:19" s="1" customFormat="1" ht="15">
      <c r="A146" s="429">
        <f t="shared" si="48"/>
        <v>44682</v>
      </c>
      <c r="B146" s="440"/>
      <c r="C146" s="440"/>
      <c r="D146" s="427">
        <f t="shared" ca="1" si="46"/>
        <v>0</v>
      </c>
      <c r="E146" s="427">
        <f t="shared" ca="1" si="47"/>
        <v>0</v>
      </c>
      <c r="F146" s="441">
        <v>0</v>
      </c>
      <c r="G146" s="441">
        <v>0</v>
      </c>
      <c r="H146" s="442"/>
      <c r="I146" s="443"/>
      <c r="J146" s="444"/>
      <c r="K146" s="444"/>
      <c r="L146" s="444"/>
      <c r="M146" s="444"/>
      <c r="N146" s="444"/>
      <c r="O146" s="444"/>
      <c r="P146" s="428" t="str">
        <f t="shared" si="49"/>
        <v/>
      </c>
      <c r="Q146" s="427"/>
      <c r="S146" s="804"/>
    </row>
    <row r="147" spans="1:19" s="1" customFormat="1" ht="15">
      <c r="A147" s="429">
        <f t="shared" si="48"/>
        <v>44652</v>
      </c>
      <c r="B147" s="440"/>
      <c r="C147" s="440"/>
      <c r="D147" s="427">
        <f t="shared" ca="1" si="46"/>
        <v>0</v>
      </c>
      <c r="E147" s="427">
        <f t="shared" ca="1" si="47"/>
        <v>0</v>
      </c>
      <c r="F147" s="441">
        <v>0</v>
      </c>
      <c r="G147" s="441">
        <v>0</v>
      </c>
      <c r="H147" s="442"/>
      <c r="I147" s="443"/>
      <c r="J147" s="444"/>
      <c r="K147" s="444"/>
      <c r="L147" s="444"/>
      <c r="M147" s="444"/>
      <c r="N147" s="444"/>
      <c r="O147" s="444"/>
      <c r="P147" s="428" t="str">
        <f t="shared" si="49"/>
        <v/>
      </c>
      <c r="Q147" s="427"/>
      <c r="S147" s="804"/>
    </row>
    <row r="148" spans="1:19" s="1" customFormat="1" ht="15">
      <c r="A148" s="429">
        <f t="shared" si="48"/>
        <v>44621</v>
      </c>
      <c r="B148" s="440"/>
      <c r="C148" s="440"/>
      <c r="D148" s="427">
        <f t="shared" ca="1" si="46"/>
        <v>0</v>
      </c>
      <c r="E148" s="427">
        <f t="shared" ca="1" si="47"/>
        <v>0</v>
      </c>
      <c r="F148" s="441">
        <v>0</v>
      </c>
      <c r="G148" s="441">
        <v>0</v>
      </c>
      <c r="H148" s="442"/>
      <c r="I148" s="443"/>
      <c r="J148" s="444"/>
      <c r="K148" s="444"/>
      <c r="L148" s="444"/>
      <c r="M148" s="444"/>
      <c r="N148" s="444"/>
      <c r="O148" s="444"/>
      <c r="P148" s="428" t="str">
        <f t="shared" si="49"/>
        <v/>
      </c>
      <c r="Q148" s="427"/>
      <c r="S148" s="804"/>
    </row>
    <row r="149" spans="1:19" s="1" customFormat="1" ht="15">
      <c r="A149" s="421" t="s">
        <v>3690</v>
      </c>
      <c r="B149" s="430">
        <f t="shared" ref="B149:G149" si="50">SUM(B137:B148)</f>
        <v>0</v>
      </c>
      <c r="C149" s="430">
        <f t="shared" si="50"/>
        <v>0</v>
      </c>
      <c r="D149" s="430">
        <f t="shared" ca="1" si="50"/>
        <v>0</v>
      </c>
      <c r="E149" s="430">
        <f t="shared" ca="1" si="50"/>
        <v>0</v>
      </c>
      <c r="F149" s="430">
        <f t="shared" si="50"/>
        <v>0</v>
      </c>
      <c r="G149" s="430">
        <f t="shared" si="50"/>
        <v>0</v>
      </c>
      <c r="H149" s="430"/>
      <c r="I149" s="430"/>
      <c r="J149" s="430" t="str">
        <f t="shared" ref="J149:O149" si="51">IFERROR(AVERAGE(J137:J148),"")</f>
        <v/>
      </c>
      <c r="K149" s="430" t="str">
        <f t="shared" si="51"/>
        <v/>
      </c>
      <c r="L149" s="430" t="str">
        <f t="shared" si="51"/>
        <v/>
      </c>
      <c r="M149" s="430" t="str">
        <f t="shared" si="51"/>
        <v/>
      </c>
      <c r="N149" s="430" t="str">
        <f t="shared" si="51"/>
        <v/>
      </c>
      <c r="O149" s="430" t="str">
        <f t="shared" si="51"/>
        <v/>
      </c>
      <c r="P149" s="428" t="str">
        <f t="shared" si="49"/>
        <v/>
      </c>
      <c r="Q149" s="427"/>
      <c r="S149" s="804"/>
    </row>
    <row r="150" spans="1:19" s="1" customFormat="1" ht="15">
      <c r="A150" s="421" t="s">
        <v>3691</v>
      </c>
      <c r="B150" s="430" t="str">
        <f>IFERROR(AVERAGE(B137:B148),"")</f>
        <v/>
      </c>
      <c r="C150" s="430" t="str">
        <f>IFERROR(AVERAGE(C137:C148),"")</f>
        <v/>
      </c>
      <c r="D150" s="430">
        <f ca="1">AVERAGE(D137:D148)</f>
        <v>0</v>
      </c>
      <c r="E150" s="430">
        <f ca="1">AVERAGE(E137:E148)</f>
        <v>0</v>
      </c>
      <c r="F150" s="430">
        <f>IFERROR(AVERAGE(F137:F148),"")</f>
        <v>0</v>
      </c>
      <c r="G150" s="430">
        <f>IFERROR(AVERAGE(G137:G148),"")</f>
        <v>0</v>
      </c>
      <c r="H150" s="433"/>
      <c r="I150" s="433"/>
      <c r="J150" s="433"/>
      <c r="K150" s="434"/>
      <c r="L150" s="434"/>
      <c r="M150" s="435"/>
      <c r="N150" s="434"/>
      <c r="O150" s="436"/>
      <c r="P150" s="428" t="str">
        <f t="shared" si="49"/>
        <v/>
      </c>
      <c r="Q150" s="427"/>
      <c r="S150" s="804"/>
    </row>
    <row r="151" spans="1:19" ht="15"/>
    <row r="152" spans="1:19" ht="15">
      <c r="A152" s="823" t="s">
        <v>3692</v>
      </c>
      <c r="B152" s="824"/>
      <c r="C152" s="825"/>
      <c r="D152" s="818"/>
      <c r="E152" s="819"/>
      <c r="F152" s="819"/>
      <c r="G152" s="819"/>
      <c r="H152" s="819"/>
      <c r="I152" s="819"/>
      <c r="J152" s="819"/>
      <c r="K152" s="819"/>
      <c r="L152" s="819"/>
      <c r="M152" s="819"/>
      <c r="N152" s="819"/>
      <c r="O152" s="820"/>
    </row>
    <row r="153" spans="1:19" ht="15">
      <c r="A153" s="817" t="s">
        <v>3693</v>
      </c>
      <c r="B153" s="807"/>
      <c r="C153" s="808"/>
      <c r="D153" s="807"/>
      <c r="E153" s="807"/>
      <c r="F153" s="807"/>
      <c r="G153" s="807"/>
      <c r="H153" s="807"/>
      <c r="I153" s="807"/>
      <c r="J153" s="807"/>
      <c r="K153" s="807"/>
      <c r="L153" s="807"/>
      <c r="M153" s="807"/>
      <c r="N153" s="807"/>
      <c r="O153" s="808"/>
    </row>
    <row r="154" spans="1:19" ht="15">
      <c r="A154" s="812" t="s">
        <v>3694</v>
      </c>
      <c r="B154" s="813"/>
      <c r="C154" s="821"/>
      <c r="D154" s="821"/>
      <c r="E154" s="821"/>
      <c r="F154" s="821"/>
      <c r="G154" s="822"/>
      <c r="H154" s="417"/>
      <c r="I154" s="418"/>
      <c r="J154" s="829"/>
      <c r="K154" s="830"/>
      <c r="L154" s="830"/>
      <c r="M154" s="830"/>
      <c r="N154" s="830"/>
      <c r="O154" s="831"/>
    </row>
    <row r="155" spans="1:19" ht="15">
      <c r="A155" s="812" t="s">
        <v>3695</v>
      </c>
      <c r="B155" s="813"/>
      <c r="C155" s="814"/>
      <c r="D155" s="814"/>
      <c r="E155" s="814"/>
      <c r="F155" s="814"/>
      <c r="G155" s="815"/>
      <c r="H155" s="417"/>
      <c r="I155" s="418"/>
      <c r="J155" s="816"/>
      <c r="K155" s="814"/>
      <c r="L155" s="814"/>
      <c r="M155" s="814"/>
      <c r="N155" s="814"/>
      <c r="O155" s="815"/>
    </row>
    <row r="156" spans="1:19" ht="15">
      <c r="A156" s="421" t="s">
        <v>3696</v>
      </c>
      <c r="B156" s="809" t="s">
        <v>3697</v>
      </c>
      <c r="C156" s="811"/>
      <c r="D156" s="809" t="s">
        <v>3698</v>
      </c>
      <c r="E156" s="811"/>
      <c r="F156" s="805" t="s">
        <v>3699</v>
      </c>
      <c r="G156" s="805" t="s">
        <v>3700</v>
      </c>
      <c r="H156" s="805" t="s">
        <v>3701</v>
      </c>
      <c r="I156" s="422"/>
      <c r="J156" s="809" t="s">
        <v>3702</v>
      </c>
      <c r="K156" s="810"/>
      <c r="L156" s="810"/>
      <c r="M156" s="810"/>
      <c r="N156" s="810"/>
      <c r="O156" s="811"/>
    </row>
    <row r="157" spans="1:19" ht="33.75" customHeight="1">
      <c r="A157" s="421" t="s">
        <v>3703</v>
      </c>
      <c r="B157" s="423" t="s">
        <v>3704</v>
      </c>
      <c r="C157" s="423" t="s">
        <v>3705</v>
      </c>
      <c r="D157" s="423" t="s">
        <v>3706</v>
      </c>
      <c r="E157" s="423" t="s">
        <v>3707</v>
      </c>
      <c r="F157" s="806"/>
      <c r="G157" s="806"/>
      <c r="H157" s="806"/>
      <c r="I157" s="424"/>
      <c r="J157" s="423" t="s">
        <v>3708</v>
      </c>
      <c r="K157" s="423" t="s">
        <v>3709</v>
      </c>
      <c r="L157" s="423" t="s">
        <v>3710</v>
      </c>
      <c r="M157" s="423" t="s">
        <v>3711</v>
      </c>
      <c r="N157" s="423" t="s">
        <v>3712</v>
      </c>
      <c r="O157" s="423" t="s">
        <v>3713</v>
      </c>
    </row>
    <row r="158" spans="1:19" ht="15">
      <c r="A158" s="439">
        <f>A30</f>
        <v>44958</v>
      </c>
      <c r="B158" s="440"/>
      <c r="C158" s="440"/>
      <c r="D158" s="427">
        <f t="shared" ref="D158:D169" ca="1" si="52">IFERROR(LEN(_xludf.FORMULATEXT(B158))-LEN(SUBSTITUTE(_xludf.FORMULATEXT(B158),"+",""))+1,0)</f>
        <v>0</v>
      </c>
      <c r="E158" s="427">
        <f t="shared" ref="E158:E169" ca="1" si="53">IFERROR(LEN(_xludf.FORMULATEXT(C158))-LEN(SUBSTITUTE(_xludf.FORMULATEXT(C158),"+",""))+1,0)</f>
        <v>0</v>
      </c>
      <c r="F158" s="441">
        <v>0</v>
      </c>
      <c r="G158" s="441">
        <v>0</v>
      </c>
      <c r="H158" s="442"/>
      <c r="I158" s="443"/>
      <c r="J158" s="444"/>
      <c r="K158" s="159"/>
      <c r="L158" s="444"/>
      <c r="M158" s="444"/>
      <c r="N158" s="444"/>
      <c r="O158" s="444"/>
      <c r="P158" s="826" t="s">
        <v>3714</v>
      </c>
      <c r="Q158" s="828"/>
    </row>
    <row r="159" spans="1:19" s="1" customFormat="1" ht="30">
      <c r="A159" s="429">
        <f t="shared" ref="A159:A169" si="54">EDATE(A158,-1)</f>
        <v>44927</v>
      </c>
      <c r="B159" s="440"/>
      <c r="C159" s="440"/>
      <c r="D159" s="427">
        <f t="shared" ca="1" si="52"/>
        <v>0</v>
      </c>
      <c r="E159" s="427">
        <f t="shared" ca="1" si="53"/>
        <v>0</v>
      </c>
      <c r="F159" s="441">
        <v>0</v>
      </c>
      <c r="G159" s="441">
        <v>0</v>
      </c>
      <c r="H159" s="442"/>
      <c r="I159" s="443"/>
      <c r="J159" s="444"/>
      <c r="K159" s="444"/>
      <c r="L159" s="444"/>
      <c r="M159" s="444"/>
      <c r="N159" s="444"/>
      <c r="O159" s="444"/>
      <c r="P159" s="827"/>
      <c r="Q159" s="828"/>
      <c r="S159" s="393" t="s">
        <v>3715</v>
      </c>
    </row>
    <row r="160" spans="1:19" s="1" customFormat="1" ht="15">
      <c r="A160" s="429">
        <f t="shared" si="54"/>
        <v>44896</v>
      </c>
      <c r="B160" s="440"/>
      <c r="C160" s="440"/>
      <c r="D160" s="427">
        <f t="shared" ca="1" si="52"/>
        <v>0</v>
      </c>
      <c r="E160" s="427">
        <f t="shared" ca="1" si="53"/>
        <v>0</v>
      </c>
      <c r="F160" s="441">
        <v>0</v>
      </c>
      <c r="G160" s="441">
        <v>0</v>
      </c>
      <c r="H160" s="442"/>
      <c r="I160" s="443"/>
      <c r="J160" s="444"/>
      <c r="K160" s="444"/>
      <c r="L160" s="444"/>
      <c r="M160" s="444"/>
      <c r="N160" s="444"/>
      <c r="O160" s="444"/>
      <c r="P160" s="428" t="str">
        <f t="shared" ref="P160:P171" si="55">IFERROR(SUM(J160:O160)/COUNT(J160:O160),"")</f>
        <v/>
      </c>
      <c r="Q160" s="427"/>
      <c r="R160" s="1">
        <f>IF(AND(C160&lt;&gt;0,J157="yes"),1,0)</f>
        <v>0</v>
      </c>
      <c r="S160" s="804">
        <f>IFERROR(IF(J157="Yes",AVERAGE(J160:O165),0),0)</f>
        <v>0</v>
      </c>
    </row>
    <row r="161" spans="1:19" s="1" customFormat="1" ht="15">
      <c r="A161" s="429">
        <f t="shared" si="54"/>
        <v>44866</v>
      </c>
      <c r="B161" s="440"/>
      <c r="C161" s="440"/>
      <c r="D161" s="427">
        <f t="shared" ca="1" si="52"/>
        <v>0</v>
      </c>
      <c r="E161" s="427">
        <f t="shared" ca="1" si="53"/>
        <v>0</v>
      </c>
      <c r="F161" s="441">
        <v>0</v>
      </c>
      <c r="G161" s="441">
        <v>0</v>
      </c>
      <c r="H161" s="442"/>
      <c r="I161" s="443"/>
      <c r="J161" s="444"/>
      <c r="K161" s="444"/>
      <c r="L161" s="444"/>
      <c r="M161" s="444"/>
      <c r="N161" s="444"/>
      <c r="O161" s="444"/>
      <c r="P161" s="428" t="str">
        <f t="shared" si="55"/>
        <v/>
      </c>
      <c r="Q161" s="427"/>
      <c r="S161" s="804"/>
    </row>
    <row r="162" spans="1:19" s="1" customFormat="1" ht="15">
      <c r="A162" s="429">
        <f t="shared" si="54"/>
        <v>44835</v>
      </c>
      <c r="B162" s="440"/>
      <c r="C162" s="440"/>
      <c r="D162" s="427">
        <f t="shared" ca="1" si="52"/>
        <v>0</v>
      </c>
      <c r="E162" s="427">
        <f t="shared" ca="1" si="53"/>
        <v>0</v>
      </c>
      <c r="F162" s="441">
        <v>0</v>
      </c>
      <c r="G162" s="441">
        <v>0</v>
      </c>
      <c r="H162" s="442"/>
      <c r="I162" s="443"/>
      <c r="J162" s="444"/>
      <c r="K162" s="444"/>
      <c r="L162" s="444"/>
      <c r="M162" s="444"/>
      <c r="N162" s="444"/>
      <c r="O162" s="444"/>
      <c r="P162" s="428" t="str">
        <f t="shared" si="55"/>
        <v/>
      </c>
      <c r="Q162" s="427"/>
      <c r="S162" s="804"/>
    </row>
    <row r="163" spans="1:19" s="1" customFormat="1" ht="15">
      <c r="A163" s="429">
        <f t="shared" si="54"/>
        <v>44805</v>
      </c>
      <c r="B163" s="440"/>
      <c r="C163" s="440"/>
      <c r="D163" s="427">
        <f t="shared" ca="1" si="52"/>
        <v>0</v>
      </c>
      <c r="E163" s="427">
        <f t="shared" ca="1" si="53"/>
        <v>0</v>
      </c>
      <c r="F163" s="441">
        <v>0</v>
      </c>
      <c r="G163" s="441">
        <v>0</v>
      </c>
      <c r="H163" s="442"/>
      <c r="I163" s="443"/>
      <c r="J163" s="444"/>
      <c r="K163" s="444"/>
      <c r="L163" s="444"/>
      <c r="M163" s="444"/>
      <c r="N163" s="444"/>
      <c r="O163" s="444"/>
      <c r="P163" s="428" t="str">
        <f t="shared" si="55"/>
        <v/>
      </c>
      <c r="Q163" s="427"/>
      <c r="S163" s="804"/>
    </row>
    <row r="164" spans="1:19" s="1" customFormat="1" ht="15">
      <c r="A164" s="429">
        <f t="shared" si="54"/>
        <v>44774</v>
      </c>
      <c r="B164" s="440"/>
      <c r="C164" s="440"/>
      <c r="D164" s="427">
        <f t="shared" ca="1" si="52"/>
        <v>0</v>
      </c>
      <c r="E164" s="427">
        <f t="shared" ca="1" si="53"/>
        <v>0</v>
      </c>
      <c r="F164" s="441">
        <v>0</v>
      </c>
      <c r="G164" s="441">
        <v>0</v>
      </c>
      <c r="H164" s="442"/>
      <c r="I164" s="443"/>
      <c r="J164" s="444"/>
      <c r="K164" s="444"/>
      <c r="L164" s="444"/>
      <c r="M164" s="444"/>
      <c r="N164" s="444"/>
      <c r="O164" s="444"/>
      <c r="P164" s="428" t="str">
        <f t="shared" si="55"/>
        <v/>
      </c>
      <c r="Q164" s="427"/>
      <c r="S164" s="804"/>
    </row>
    <row r="165" spans="1:19" s="1" customFormat="1" ht="15">
      <c r="A165" s="429">
        <f t="shared" si="54"/>
        <v>44743</v>
      </c>
      <c r="B165" s="440"/>
      <c r="C165" s="440"/>
      <c r="D165" s="427">
        <f t="shared" ca="1" si="52"/>
        <v>0</v>
      </c>
      <c r="E165" s="427">
        <f t="shared" ca="1" si="53"/>
        <v>0</v>
      </c>
      <c r="F165" s="441">
        <v>0</v>
      </c>
      <c r="G165" s="441">
        <v>0</v>
      </c>
      <c r="H165" s="442"/>
      <c r="I165" s="443"/>
      <c r="J165" s="444"/>
      <c r="K165" s="444"/>
      <c r="L165" s="444"/>
      <c r="M165" s="444"/>
      <c r="N165" s="444"/>
      <c r="O165" s="444"/>
      <c r="P165" s="428" t="str">
        <f t="shared" si="55"/>
        <v/>
      </c>
      <c r="Q165" s="427"/>
      <c r="S165" s="804"/>
    </row>
    <row r="166" spans="1:19" s="1" customFormat="1" ht="15">
      <c r="A166" s="429">
        <f t="shared" si="54"/>
        <v>44713</v>
      </c>
      <c r="B166" s="440"/>
      <c r="C166" s="440"/>
      <c r="D166" s="427">
        <f t="shared" ca="1" si="52"/>
        <v>0</v>
      </c>
      <c r="E166" s="427">
        <f t="shared" ca="1" si="53"/>
        <v>0</v>
      </c>
      <c r="F166" s="441">
        <v>0</v>
      </c>
      <c r="G166" s="441">
        <v>0</v>
      </c>
      <c r="H166" s="442"/>
      <c r="I166" s="443"/>
      <c r="J166" s="444"/>
      <c r="K166" s="444"/>
      <c r="L166" s="444"/>
      <c r="M166" s="444"/>
      <c r="N166" s="444"/>
      <c r="O166" s="444"/>
      <c r="P166" s="428" t="str">
        <f t="shared" si="55"/>
        <v/>
      </c>
      <c r="Q166" s="427"/>
      <c r="S166" s="804">
        <f>IFERROR(IF(J157="Yes",AVERAGE(J160:O171),0),0)</f>
        <v>0</v>
      </c>
    </row>
    <row r="167" spans="1:19" s="1" customFormat="1" ht="15">
      <c r="A167" s="429">
        <f t="shared" si="54"/>
        <v>44682</v>
      </c>
      <c r="B167" s="440"/>
      <c r="C167" s="440"/>
      <c r="D167" s="427">
        <f t="shared" ca="1" si="52"/>
        <v>0</v>
      </c>
      <c r="E167" s="427">
        <f t="shared" ca="1" si="53"/>
        <v>0</v>
      </c>
      <c r="F167" s="441">
        <v>0</v>
      </c>
      <c r="G167" s="441">
        <v>0</v>
      </c>
      <c r="H167" s="442"/>
      <c r="I167" s="443"/>
      <c r="J167" s="444"/>
      <c r="K167" s="444"/>
      <c r="L167" s="444"/>
      <c r="M167" s="444"/>
      <c r="N167" s="444"/>
      <c r="O167" s="444"/>
      <c r="P167" s="428" t="str">
        <f t="shared" si="55"/>
        <v/>
      </c>
      <c r="Q167" s="427"/>
      <c r="S167" s="804"/>
    </row>
    <row r="168" spans="1:19" s="1" customFormat="1" ht="15">
      <c r="A168" s="429">
        <f t="shared" si="54"/>
        <v>44652</v>
      </c>
      <c r="B168" s="440"/>
      <c r="C168" s="440"/>
      <c r="D168" s="427">
        <f t="shared" ca="1" si="52"/>
        <v>0</v>
      </c>
      <c r="E168" s="427">
        <f t="shared" ca="1" si="53"/>
        <v>0</v>
      </c>
      <c r="F168" s="441">
        <v>0</v>
      </c>
      <c r="G168" s="441">
        <v>0</v>
      </c>
      <c r="H168" s="442"/>
      <c r="I168" s="443"/>
      <c r="J168" s="444"/>
      <c r="K168" s="444"/>
      <c r="L168" s="444"/>
      <c r="M168" s="444"/>
      <c r="N168" s="444"/>
      <c r="O168" s="444"/>
      <c r="P168" s="428" t="str">
        <f t="shared" si="55"/>
        <v/>
      </c>
      <c r="Q168" s="427"/>
      <c r="S168" s="804"/>
    </row>
    <row r="169" spans="1:19" s="1" customFormat="1" ht="15">
      <c r="A169" s="429">
        <f t="shared" si="54"/>
        <v>44621</v>
      </c>
      <c r="B169" s="440"/>
      <c r="C169" s="440"/>
      <c r="D169" s="427">
        <f t="shared" ca="1" si="52"/>
        <v>0</v>
      </c>
      <c r="E169" s="427">
        <f t="shared" ca="1" si="53"/>
        <v>0</v>
      </c>
      <c r="F169" s="441">
        <v>0</v>
      </c>
      <c r="G169" s="441">
        <v>0</v>
      </c>
      <c r="H169" s="442"/>
      <c r="I169" s="443"/>
      <c r="J169" s="444"/>
      <c r="K169" s="444"/>
      <c r="L169" s="444"/>
      <c r="M169" s="444"/>
      <c r="N169" s="444"/>
      <c r="O169" s="444"/>
      <c r="P169" s="428" t="str">
        <f t="shared" si="55"/>
        <v/>
      </c>
      <c r="Q169" s="427"/>
      <c r="S169" s="804"/>
    </row>
    <row r="170" spans="1:19" s="1" customFormat="1" ht="15">
      <c r="A170" s="421" t="s">
        <v>3716</v>
      </c>
      <c r="B170" s="430">
        <f t="shared" ref="B170:G170" si="56">SUM(B158:B169)</f>
        <v>0</v>
      </c>
      <c r="C170" s="430">
        <f t="shared" si="56"/>
        <v>0</v>
      </c>
      <c r="D170" s="430">
        <f t="shared" ca="1" si="56"/>
        <v>0</v>
      </c>
      <c r="E170" s="430">
        <f t="shared" ca="1" si="56"/>
        <v>0</v>
      </c>
      <c r="F170" s="430">
        <f t="shared" si="56"/>
        <v>0</v>
      </c>
      <c r="G170" s="430">
        <f t="shared" si="56"/>
        <v>0</v>
      </c>
      <c r="H170" s="430"/>
      <c r="I170" s="430"/>
      <c r="J170" s="430" t="str">
        <f t="shared" ref="J170:O170" si="57">IFERROR(AVERAGE(J158:J169),"")</f>
        <v/>
      </c>
      <c r="K170" s="430" t="str">
        <f t="shared" si="57"/>
        <v/>
      </c>
      <c r="L170" s="430" t="str">
        <f t="shared" si="57"/>
        <v/>
      </c>
      <c r="M170" s="430" t="str">
        <f t="shared" si="57"/>
        <v/>
      </c>
      <c r="N170" s="430" t="str">
        <f t="shared" si="57"/>
        <v/>
      </c>
      <c r="O170" s="430" t="str">
        <f t="shared" si="57"/>
        <v/>
      </c>
      <c r="P170" s="428" t="str">
        <f t="shared" si="55"/>
        <v/>
      </c>
      <c r="Q170" s="427"/>
      <c r="S170" s="804"/>
    </row>
    <row r="171" spans="1:19" s="1" customFormat="1" ht="15">
      <c r="A171" s="421" t="s">
        <v>3717</v>
      </c>
      <c r="B171" s="430" t="str">
        <f>IFERROR(AVERAGE(B158:B169),"")</f>
        <v/>
      </c>
      <c r="C171" s="430" t="str">
        <f>IFERROR(AVERAGE(C158:C169),"")</f>
        <v/>
      </c>
      <c r="D171" s="430">
        <f ca="1">AVERAGE(D158:D169)</f>
        <v>0</v>
      </c>
      <c r="E171" s="430">
        <f ca="1">AVERAGE(E158:E169)</f>
        <v>0</v>
      </c>
      <c r="F171" s="430">
        <f>IFERROR(AVERAGE(F158:F169),"")</f>
        <v>0</v>
      </c>
      <c r="G171" s="430">
        <f>IFERROR(AVERAGE(G158:G169),"")</f>
        <v>0</v>
      </c>
      <c r="H171" s="433"/>
      <c r="I171" s="433"/>
      <c r="J171" s="433"/>
      <c r="K171" s="434"/>
      <c r="L171" s="434"/>
      <c r="M171" s="435"/>
      <c r="N171" s="434"/>
      <c r="O171" s="436"/>
      <c r="P171" s="428" t="str">
        <f t="shared" si="55"/>
        <v/>
      </c>
      <c r="Q171" s="427"/>
      <c r="S171" s="804"/>
    </row>
    <row r="172" spans="1:19" ht="15"/>
    <row r="173" spans="1:19" ht="15">
      <c r="A173" s="823" t="s">
        <v>3718</v>
      </c>
      <c r="B173" s="824"/>
      <c r="C173" s="825"/>
      <c r="D173" s="818"/>
      <c r="E173" s="819"/>
      <c r="F173" s="819"/>
      <c r="G173" s="819"/>
      <c r="H173" s="819"/>
      <c r="I173" s="819"/>
      <c r="J173" s="819"/>
      <c r="K173" s="819"/>
      <c r="L173" s="819"/>
      <c r="M173" s="819"/>
      <c r="N173" s="819"/>
      <c r="O173" s="820"/>
    </row>
    <row r="174" spans="1:19" ht="15">
      <c r="A174" s="817" t="s">
        <v>3719</v>
      </c>
      <c r="B174" s="807"/>
      <c r="C174" s="808"/>
      <c r="D174" s="807"/>
      <c r="E174" s="807"/>
      <c r="F174" s="807"/>
      <c r="G174" s="807"/>
      <c r="H174" s="807"/>
      <c r="I174" s="807"/>
      <c r="J174" s="807"/>
      <c r="K174" s="807"/>
      <c r="L174" s="807"/>
      <c r="M174" s="807"/>
      <c r="N174" s="807"/>
      <c r="O174" s="808"/>
    </row>
    <row r="175" spans="1:19" ht="15">
      <c r="A175" s="812" t="s">
        <v>3720</v>
      </c>
      <c r="B175" s="813"/>
      <c r="C175" s="821"/>
      <c r="D175" s="821"/>
      <c r="E175" s="821"/>
      <c r="F175" s="821"/>
      <c r="G175" s="822"/>
      <c r="H175" s="417"/>
      <c r="I175" s="418"/>
      <c r="J175" s="829"/>
      <c r="K175" s="830"/>
      <c r="L175" s="830"/>
      <c r="M175" s="830"/>
      <c r="N175" s="830"/>
      <c r="O175" s="831"/>
    </row>
    <row r="176" spans="1:19" ht="15">
      <c r="A176" s="812" t="s">
        <v>3721</v>
      </c>
      <c r="B176" s="813"/>
      <c r="C176" s="814"/>
      <c r="D176" s="814"/>
      <c r="E176" s="814"/>
      <c r="F176" s="814"/>
      <c r="G176" s="815"/>
      <c r="H176" s="417"/>
      <c r="I176" s="418"/>
      <c r="J176" s="816"/>
      <c r="K176" s="814"/>
      <c r="L176" s="814"/>
      <c r="M176" s="814"/>
      <c r="N176" s="814"/>
      <c r="O176" s="815"/>
    </row>
    <row r="177" spans="1:19" ht="15">
      <c r="A177" s="421" t="s">
        <v>3722</v>
      </c>
      <c r="B177" s="809" t="s">
        <v>3723</v>
      </c>
      <c r="C177" s="811"/>
      <c r="D177" s="809" t="s">
        <v>3724</v>
      </c>
      <c r="E177" s="811"/>
      <c r="F177" s="805" t="s">
        <v>3725</v>
      </c>
      <c r="G177" s="805" t="s">
        <v>3726</v>
      </c>
      <c r="H177" s="805" t="s">
        <v>3727</v>
      </c>
      <c r="I177" s="422"/>
      <c r="J177" s="809" t="s">
        <v>3728</v>
      </c>
      <c r="K177" s="810"/>
      <c r="L177" s="810"/>
      <c r="M177" s="810"/>
      <c r="N177" s="810"/>
      <c r="O177" s="811"/>
    </row>
    <row r="178" spans="1:19" ht="33.75" customHeight="1">
      <c r="A178" s="421" t="s">
        <v>3729</v>
      </c>
      <c r="B178" s="423" t="s">
        <v>3730</v>
      </c>
      <c r="C178" s="423" t="s">
        <v>3731</v>
      </c>
      <c r="D178" s="423" t="s">
        <v>3732</v>
      </c>
      <c r="E178" s="423" t="s">
        <v>3733</v>
      </c>
      <c r="F178" s="806"/>
      <c r="G178" s="806"/>
      <c r="H178" s="806"/>
      <c r="I178" s="424"/>
      <c r="J178" s="423" t="s">
        <v>3734</v>
      </c>
      <c r="K178" s="423" t="s">
        <v>3735</v>
      </c>
      <c r="L178" s="423" t="s">
        <v>3736</v>
      </c>
      <c r="M178" s="423" t="s">
        <v>3737</v>
      </c>
      <c r="N178" s="423" t="s">
        <v>3738</v>
      </c>
      <c r="O178" s="423" t="s">
        <v>3739</v>
      </c>
    </row>
    <row r="179" spans="1:19" ht="15">
      <c r="A179" s="439">
        <f>A30</f>
        <v>44958</v>
      </c>
      <c r="B179" s="440"/>
      <c r="C179" s="440"/>
      <c r="D179" s="427">
        <f t="shared" ref="D179:D190" ca="1" si="58">IFERROR(LEN(_xludf.FORMULATEXT(B179))-LEN(SUBSTITUTE(_xludf.FORMULATEXT(B179),"+",""))+1,0)</f>
        <v>0</v>
      </c>
      <c r="E179" s="427">
        <f t="shared" ref="E179:E190" ca="1" si="59">IFERROR(LEN(_xludf.FORMULATEXT(C179))-LEN(SUBSTITUTE(_xludf.FORMULATEXT(C179),"+",""))+1,0)</f>
        <v>0</v>
      </c>
      <c r="F179" s="441">
        <v>0</v>
      </c>
      <c r="G179" s="441">
        <v>0</v>
      </c>
      <c r="H179" s="442"/>
      <c r="I179" s="443"/>
      <c r="J179" s="444"/>
      <c r="K179" s="159"/>
      <c r="L179" s="444"/>
      <c r="M179" s="444"/>
      <c r="N179" s="444"/>
      <c r="O179" s="444"/>
      <c r="P179" s="826" t="s">
        <v>3740</v>
      </c>
      <c r="Q179" s="828"/>
    </row>
    <row r="180" spans="1:19" s="1" customFormat="1" ht="30">
      <c r="A180" s="429">
        <f t="shared" ref="A180:A190" si="60">EDATE(A179,-1)</f>
        <v>44927</v>
      </c>
      <c r="B180" s="440"/>
      <c r="C180" s="440"/>
      <c r="D180" s="427">
        <f t="shared" ca="1" si="58"/>
        <v>0</v>
      </c>
      <c r="E180" s="427">
        <f t="shared" ca="1" si="59"/>
        <v>0</v>
      </c>
      <c r="F180" s="441">
        <v>0</v>
      </c>
      <c r="G180" s="441">
        <v>0</v>
      </c>
      <c r="H180" s="442"/>
      <c r="I180" s="443"/>
      <c r="J180" s="444"/>
      <c r="K180" s="444"/>
      <c r="L180" s="444"/>
      <c r="M180" s="444"/>
      <c r="N180" s="444"/>
      <c r="O180" s="444"/>
      <c r="P180" s="827"/>
      <c r="Q180" s="828"/>
      <c r="S180" s="393" t="s">
        <v>3741</v>
      </c>
    </row>
    <row r="181" spans="1:19" s="1" customFormat="1" ht="15">
      <c r="A181" s="429">
        <f t="shared" si="60"/>
        <v>44896</v>
      </c>
      <c r="B181" s="440"/>
      <c r="C181" s="440"/>
      <c r="D181" s="427">
        <f t="shared" ca="1" si="58"/>
        <v>0</v>
      </c>
      <c r="E181" s="427">
        <f t="shared" ca="1" si="59"/>
        <v>0</v>
      </c>
      <c r="F181" s="441">
        <v>0</v>
      </c>
      <c r="G181" s="441">
        <v>0</v>
      </c>
      <c r="H181" s="442"/>
      <c r="I181" s="443"/>
      <c r="J181" s="444"/>
      <c r="K181" s="444"/>
      <c r="L181" s="444"/>
      <c r="M181" s="444"/>
      <c r="N181" s="444"/>
      <c r="O181" s="444"/>
      <c r="P181" s="428" t="str">
        <f t="shared" ref="P181:P192" si="61">IFERROR(SUM(J181:O181)/COUNT(J181:O181),"")</f>
        <v/>
      </c>
      <c r="Q181" s="427"/>
      <c r="R181" s="1">
        <f>IF(AND(C181&lt;&gt;0,J178="yes"),1,0)</f>
        <v>0</v>
      </c>
      <c r="S181" s="804">
        <f>IFERROR(IF(J178="Yes",AVERAGE(J181:O186),0),0)</f>
        <v>0</v>
      </c>
    </row>
    <row r="182" spans="1:19" s="1" customFormat="1" ht="15">
      <c r="A182" s="429">
        <f t="shared" si="60"/>
        <v>44866</v>
      </c>
      <c r="B182" s="440"/>
      <c r="C182" s="440"/>
      <c r="D182" s="427">
        <f t="shared" ca="1" si="58"/>
        <v>0</v>
      </c>
      <c r="E182" s="427">
        <f t="shared" ca="1" si="59"/>
        <v>0</v>
      </c>
      <c r="F182" s="441">
        <v>0</v>
      </c>
      <c r="G182" s="441">
        <v>0</v>
      </c>
      <c r="H182" s="442"/>
      <c r="I182" s="443"/>
      <c r="J182" s="444"/>
      <c r="K182" s="444"/>
      <c r="L182" s="444"/>
      <c r="M182" s="444"/>
      <c r="N182" s="444"/>
      <c r="O182" s="444"/>
      <c r="P182" s="428" t="str">
        <f t="shared" si="61"/>
        <v/>
      </c>
      <c r="Q182" s="427"/>
      <c r="S182" s="804"/>
    </row>
    <row r="183" spans="1:19" s="1" customFormat="1" ht="15">
      <c r="A183" s="429">
        <f t="shared" si="60"/>
        <v>44835</v>
      </c>
      <c r="B183" s="440"/>
      <c r="C183" s="440"/>
      <c r="D183" s="427">
        <f t="shared" ca="1" si="58"/>
        <v>0</v>
      </c>
      <c r="E183" s="427">
        <f t="shared" ca="1" si="59"/>
        <v>0</v>
      </c>
      <c r="F183" s="441">
        <v>0</v>
      </c>
      <c r="G183" s="441">
        <v>0</v>
      </c>
      <c r="H183" s="442"/>
      <c r="I183" s="443"/>
      <c r="J183" s="444"/>
      <c r="K183" s="444"/>
      <c r="L183" s="444"/>
      <c r="M183" s="444"/>
      <c r="N183" s="444"/>
      <c r="O183" s="444"/>
      <c r="P183" s="428" t="str">
        <f t="shared" si="61"/>
        <v/>
      </c>
      <c r="Q183" s="427"/>
      <c r="S183" s="804"/>
    </row>
    <row r="184" spans="1:19" s="1" customFormat="1" ht="15">
      <c r="A184" s="429">
        <f t="shared" si="60"/>
        <v>44805</v>
      </c>
      <c r="B184" s="440"/>
      <c r="C184" s="440"/>
      <c r="D184" s="427">
        <f t="shared" ca="1" si="58"/>
        <v>0</v>
      </c>
      <c r="E184" s="427">
        <f t="shared" ca="1" si="59"/>
        <v>0</v>
      </c>
      <c r="F184" s="441">
        <v>0</v>
      </c>
      <c r="G184" s="441">
        <v>0</v>
      </c>
      <c r="H184" s="442"/>
      <c r="I184" s="443"/>
      <c r="J184" s="444"/>
      <c r="K184" s="444"/>
      <c r="L184" s="444"/>
      <c r="M184" s="444"/>
      <c r="N184" s="444"/>
      <c r="O184" s="444"/>
      <c r="P184" s="428" t="str">
        <f t="shared" si="61"/>
        <v/>
      </c>
      <c r="Q184" s="427"/>
      <c r="S184" s="804"/>
    </row>
    <row r="185" spans="1:19" s="1" customFormat="1" ht="15">
      <c r="A185" s="429">
        <f t="shared" si="60"/>
        <v>44774</v>
      </c>
      <c r="B185" s="440"/>
      <c r="C185" s="440"/>
      <c r="D185" s="427">
        <f t="shared" ca="1" si="58"/>
        <v>0</v>
      </c>
      <c r="E185" s="427">
        <f t="shared" ca="1" si="59"/>
        <v>0</v>
      </c>
      <c r="F185" s="441">
        <v>0</v>
      </c>
      <c r="G185" s="441">
        <v>0</v>
      </c>
      <c r="H185" s="442"/>
      <c r="I185" s="443"/>
      <c r="J185" s="444"/>
      <c r="K185" s="444"/>
      <c r="L185" s="444"/>
      <c r="M185" s="444"/>
      <c r="N185" s="444"/>
      <c r="O185" s="444"/>
      <c r="P185" s="428" t="str">
        <f t="shared" si="61"/>
        <v/>
      </c>
      <c r="Q185" s="427"/>
      <c r="S185" s="804"/>
    </row>
    <row r="186" spans="1:19" s="1" customFormat="1" ht="15">
      <c r="A186" s="429">
        <f t="shared" si="60"/>
        <v>44743</v>
      </c>
      <c r="B186" s="440"/>
      <c r="C186" s="440"/>
      <c r="D186" s="427">
        <f t="shared" ca="1" si="58"/>
        <v>0</v>
      </c>
      <c r="E186" s="427">
        <f t="shared" ca="1" si="59"/>
        <v>0</v>
      </c>
      <c r="F186" s="441">
        <v>0</v>
      </c>
      <c r="G186" s="441">
        <v>0</v>
      </c>
      <c r="H186" s="442"/>
      <c r="I186" s="443"/>
      <c r="J186" s="444"/>
      <c r="K186" s="444"/>
      <c r="L186" s="444"/>
      <c r="M186" s="444"/>
      <c r="N186" s="444"/>
      <c r="O186" s="444"/>
      <c r="P186" s="428" t="str">
        <f t="shared" si="61"/>
        <v/>
      </c>
      <c r="Q186" s="427"/>
      <c r="S186" s="804"/>
    </row>
    <row r="187" spans="1:19" s="1" customFormat="1" ht="15">
      <c r="A187" s="429">
        <f t="shared" si="60"/>
        <v>44713</v>
      </c>
      <c r="B187" s="440"/>
      <c r="C187" s="440"/>
      <c r="D187" s="427">
        <f t="shared" ca="1" si="58"/>
        <v>0</v>
      </c>
      <c r="E187" s="427">
        <f t="shared" ca="1" si="59"/>
        <v>0</v>
      </c>
      <c r="F187" s="441">
        <v>0</v>
      </c>
      <c r="G187" s="441">
        <v>0</v>
      </c>
      <c r="H187" s="442"/>
      <c r="I187" s="443"/>
      <c r="J187" s="444"/>
      <c r="K187" s="444"/>
      <c r="L187" s="444"/>
      <c r="M187" s="444"/>
      <c r="N187" s="444"/>
      <c r="O187" s="444"/>
      <c r="P187" s="428" t="str">
        <f t="shared" si="61"/>
        <v/>
      </c>
      <c r="Q187" s="427"/>
      <c r="S187" s="804">
        <f>IFERROR(IF(J178="Yes",AVERAGE(J181:O192),0),0)</f>
        <v>0</v>
      </c>
    </row>
    <row r="188" spans="1:19" s="1" customFormat="1" ht="15">
      <c r="A188" s="429">
        <f t="shared" si="60"/>
        <v>44682</v>
      </c>
      <c r="B188" s="440"/>
      <c r="C188" s="440"/>
      <c r="D188" s="427">
        <f t="shared" ca="1" si="58"/>
        <v>0</v>
      </c>
      <c r="E188" s="427">
        <f t="shared" ca="1" si="59"/>
        <v>0</v>
      </c>
      <c r="F188" s="441">
        <v>0</v>
      </c>
      <c r="G188" s="441">
        <v>0</v>
      </c>
      <c r="H188" s="442"/>
      <c r="I188" s="443"/>
      <c r="J188" s="444"/>
      <c r="K188" s="444"/>
      <c r="L188" s="444"/>
      <c r="M188" s="444"/>
      <c r="N188" s="444"/>
      <c r="O188" s="444"/>
      <c r="P188" s="428" t="str">
        <f t="shared" si="61"/>
        <v/>
      </c>
      <c r="Q188" s="427"/>
      <c r="S188" s="804"/>
    </row>
    <row r="189" spans="1:19" s="1" customFormat="1" ht="15">
      <c r="A189" s="429">
        <f t="shared" si="60"/>
        <v>44652</v>
      </c>
      <c r="B189" s="440"/>
      <c r="C189" s="440"/>
      <c r="D189" s="427">
        <f t="shared" ca="1" si="58"/>
        <v>0</v>
      </c>
      <c r="E189" s="427">
        <f t="shared" ca="1" si="59"/>
        <v>0</v>
      </c>
      <c r="F189" s="441">
        <v>0</v>
      </c>
      <c r="G189" s="441">
        <v>0</v>
      </c>
      <c r="H189" s="442"/>
      <c r="I189" s="443"/>
      <c r="J189" s="444"/>
      <c r="K189" s="444"/>
      <c r="L189" s="444"/>
      <c r="M189" s="444"/>
      <c r="N189" s="444"/>
      <c r="O189" s="444"/>
      <c r="P189" s="428" t="str">
        <f t="shared" si="61"/>
        <v/>
      </c>
      <c r="Q189" s="427"/>
      <c r="S189" s="804"/>
    </row>
    <row r="190" spans="1:19" s="1" customFormat="1" ht="15">
      <c r="A190" s="429">
        <f t="shared" si="60"/>
        <v>44621</v>
      </c>
      <c r="B190" s="440"/>
      <c r="C190" s="440"/>
      <c r="D190" s="427">
        <f t="shared" ca="1" si="58"/>
        <v>0</v>
      </c>
      <c r="E190" s="427">
        <f t="shared" ca="1" si="59"/>
        <v>0</v>
      </c>
      <c r="F190" s="441">
        <v>0</v>
      </c>
      <c r="G190" s="441">
        <v>0</v>
      </c>
      <c r="H190" s="442"/>
      <c r="I190" s="443"/>
      <c r="J190" s="444"/>
      <c r="K190" s="444"/>
      <c r="L190" s="444"/>
      <c r="M190" s="444"/>
      <c r="N190" s="444"/>
      <c r="O190" s="444"/>
      <c r="P190" s="428" t="str">
        <f t="shared" si="61"/>
        <v/>
      </c>
      <c r="Q190" s="427"/>
      <c r="S190" s="804"/>
    </row>
    <row r="191" spans="1:19" s="1" customFormat="1" ht="15">
      <c r="A191" s="421" t="s">
        <v>3742</v>
      </c>
      <c r="B191" s="430">
        <f t="shared" ref="B191:G191" si="62">SUM(B179:B190)</f>
        <v>0</v>
      </c>
      <c r="C191" s="430">
        <f t="shared" si="62"/>
        <v>0</v>
      </c>
      <c r="D191" s="430">
        <f t="shared" ca="1" si="62"/>
        <v>0</v>
      </c>
      <c r="E191" s="430">
        <f t="shared" ca="1" si="62"/>
        <v>0</v>
      </c>
      <c r="F191" s="430">
        <f t="shared" si="62"/>
        <v>0</v>
      </c>
      <c r="G191" s="430">
        <f t="shared" si="62"/>
        <v>0</v>
      </c>
      <c r="H191" s="430"/>
      <c r="I191" s="430"/>
      <c r="J191" s="430" t="str">
        <f t="shared" ref="J191:O191" si="63">IFERROR(AVERAGE(J179:J190),"")</f>
        <v/>
      </c>
      <c r="K191" s="430" t="str">
        <f t="shared" si="63"/>
        <v/>
      </c>
      <c r="L191" s="430" t="str">
        <f t="shared" si="63"/>
        <v/>
      </c>
      <c r="M191" s="430" t="str">
        <f t="shared" si="63"/>
        <v/>
      </c>
      <c r="N191" s="430" t="str">
        <f t="shared" si="63"/>
        <v/>
      </c>
      <c r="O191" s="430" t="str">
        <f t="shared" si="63"/>
        <v/>
      </c>
      <c r="P191" s="428" t="str">
        <f t="shared" si="61"/>
        <v/>
      </c>
      <c r="Q191" s="427"/>
      <c r="S191" s="804"/>
    </row>
    <row r="192" spans="1:19" s="1" customFormat="1" ht="15">
      <c r="A192" s="421" t="s">
        <v>3743</v>
      </c>
      <c r="B192" s="430" t="str">
        <f>IFERROR(AVERAGE(B179:B190),"")</f>
        <v/>
      </c>
      <c r="C192" s="430" t="str">
        <f>IFERROR(AVERAGE(C179:C190),"")</f>
        <v/>
      </c>
      <c r="D192" s="430">
        <f ca="1">AVERAGE(D179:D190)</f>
        <v>0</v>
      </c>
      <c r="E192" s="430">
        <f ca="1">AVERAGE(E179:E190)</f>
        <v>0</v>
      </c>
      <c r="F192" s="430">
        <f>IFERROR(AVERAGE(F179:F190),"")</f>
        <v>0</v>
      </c>
      <c r="G192" s="430">
        <f>IFERROR(AVERAGE(G179:G190),"")</f>
        <v>0</v>
      </c>
      <c r="H192" s="433"/>
      <c r="I192" s="433"/>
      <c r="J192" s="433"/>
      <c r="K192" s="434"/>
      <c r="L192" s="434"/>
      <c r="M192" s="435"/>
      <c r="N192" s="434"/>
      <c r="O192" s="436"/>
      <c r="P192" s="428" t="str">
        <f t="shared" si="61"/>
        <v/>
      </c>
      <c r="Q192" s="427"/>
      <c r="S192" s="804"/>
    </row>
    <row r="193" spans="1:19" ht="15"/>
    <row r="194" spans="1:19" ht="15">
      <c r="A194" s="823" t="s">
        <v>3744</v>
      </c>
      <c r="B194" s="824"/>
      <c r="C194" s="825"/>
      <c r="D194" s="818"/>
      <c r="E194" s="819"/>
      <c r="F194" s="819"/>
      <c r="G194" s="819"/>
      <c r="H194" s="819"/>
      <c r="I194" s="819"/>
      <c r="J194" s="819"/>
      <c r="K194" s="819"/>
      <c r="L194" s="819"/>
      <c r="M194" s="819"/>
      <c r="N194" s="819"/>
      <c r="O194" s="820"/>
    </row>
    <row r="195" spans="1:19" ht="15">
      <c r="A195" s="817" t="s">
        <v>3745</v>
      </c>
      <c r="B195" s="807"/>
      <c r="C195" s="808"/>
      <c r="D195" s="807"/>
      <c r="E195" s="807"/>
      <c r="F195" s="807"/>
      <c r="G195" s="807"/>
      <c r="H195" s="807"/>
      <c r="I195" s="807"/>
      <c r="J195" s="807"/>
      <c r="K195" s="807"/>
      <c r="L195" s="807"/>
      <c r="M195" s="807"/>
      <c r="N195" s="807"/>
      <c r="O195" s="808"/>
    </row>
    <row r="196" spans="1:19" ht="15">
      <c r="A196" s="812" t="s">
        <v>3746</v>
      </c>
      <c r="B196" s="813"/>
      <c r="C196" s="821"/>
      <c r="D196" s="821"/>
      <c r="E196" s="821"/>
      <c r="F196" s="821"/>
      <c r="G196" s="822"/>
      <c r="H196" s="417"/>
      <c r="I196" s="418"/>
      <c r="J196" s="829"/>
      <c r="K196" s="830"/>
      <c r="L196" s="830"/>
      <c r="M196" s="830"/>
      <c r="N196" s="830"/>
      <c r="O196" s="831"/>
    </row>
    <row r="197" spans="1:19" ht="15">
      <c r="A197" s="812" t="s">
        <v>3747</v>
      </c>
      <c r="B197" s="813"/>
      <c r="C197" s="814"/>
      <c r="D197" s="814"/>
      <c r="E197" s="814"/>
      <c r="F197" s="814"/>
      <c r="G197" s="815"/>
      <c r="H197" s="417"/>
      <c r="I197" s="418"/>
      <c r="J197" s="816"/>
      <c r="K197" s="814"/>
      <c r="L197" s="814"/>
      <c r="M197" s="814"/>
      <c r="N197" s="814"/>
      <c r="O197" s="815"/>
    </row>
    <row r="198" spans="1:19" ht="15">
      <c r="A198" s="421" t="s">
        <v>3748</v>
      </c>
      <c r="B198" s="809" t="s">
        <v>3749</v>
      </c>
      <c r="C198" s="811"/>
      <c r="D198" s="809" t="s">
        <v>3750</v>
      </c>
      <c r="E198" s="811"/>
      <c r="F198" s="805" t="s">
        <v>3751</v>
      </c>
      <c r="G198" s="805" t="s">
        <v>3752</v>
      </c>
      <c r="H198" s="805" t="s">
        <v>3753</v>
      </c>
      <c r="I198" s="422"/>
      <c r="J198" s="809" t="s">
        <v>3754</v>
      </c>
      <c r="K198" s="810"/>
      <c r="L198" s="810"/>
      <c r="M198" s="810"/>
      <c r="N198" s="810"/>
      <c r="O198" s="811"/>
    </row>
    <row r="199" spans="1:19" ht="33.75" customHeight="1">
      <c r="A199" s="421" t="s">
        <v>3755</v>
      </c>
      <c r="B199" s="423" t="s">
        <v>3756</v>
      </c>
      <c r="C199" s="423" t="s">
        <v>3757</v>
      </c>
      <c r="D199" s="423" t="s">
        <v>3758</v>
      </c>
      <c r="E199" s="423" t="s">
        <v>3759</v>
      </c>
      <c r="F199" s="806"/>
      <c r="G199" s="806"/>
      <c r="H199" s="806"/>
      <c r="I199" s="424"/>
      <c r="J199" s="423" t="s">
        <v>3760</v>
      </c>
      <c r="K199" s="423" t="s">
        <v>3761</v>
      </c>
      <c r="L199" s="423" t="s">
        <v>3762</v>
      </c>
      <c r="M199" s="423" t="s">
        <v>3763</v>
      </c>
      <c r="N199" s="423" t="s">
        <v>3764</v>
      </c>
      <c r="O199" s="423" t="s">
        <v>3765</v>
      </c>
    </row>
    <row r="200" spans="1:19" ht="15">
      <c r="A200" s="439">
        <f>A30</f>
        <v>44958</v>
      </c>
      <c r="B200" s="440"/>
      <c r="C200" s="440"/>
      <c r="D200" s="427">
        <f t="shared" ref="D200:D211" ca="1" si="64">IFERROR(LEN(_xludf.FORMULATEXT(B200))-LEN(SUBSTITUTE(_xludf.FORMULATEXT(B200),"+",""))+1,0)</f>
        <v>0</v>
      </c>
      <c r="E200" s="427">
        <f t="shared" ref="E200:E211" ca="1" si="65">IFERROR(LEN(_xludf.FORMULATEXT(C200))-LEN(SUBSTITUTE(_xludf.FORMULATEXT(C200),"+",""))+1,0)</f>
        <v>0</v>
      </c>
      <c r="F200" s="441">
        <v>0</v>
      </c>
      <c r="G200" s="441">
        <v>0</v>
      </c>
      <c r="H200" s="442"/>
      <c r="I200" s="443"/>
      <c r="J200" s="444"/>
      <c r="K200" s="159"/>
      <c r="L200" s="444"/>
      <c r="M200" s="444"/>
      <c r="N200" s="444"/>
      <c r="O200" s="444"/>
      <c r="P200" s="826" t="s">
        <v>3766</v>
      </c>
      <c r="Q200" s="828"/>
    </row>
    <row r="201" spans="1:19" s="1" customFormat="1" ht="30">
      <c r="A201" s="429">
        <f t="shared" ref="A201:A211" si="66">EDATE(A200,-1)</f>
        <v>44927</v>
      </c>
      <c r="B201" s="440"/>
      <c r="C201" s="440"/>
      <c r="D201" s="427">
        <f t="shared" ca="1" si="64"/>
        <v>0</v>
      </c>
      <c r="E201" s="427">
        <f t="shared" ca="1" si="65"/>
        <v>0</v>
      </c>
      <c r="F201" s="441">
        <v>0</v>
      </c>
      <c r="G201" s="441">
        <v>0</v>
      </c>
      <c r="H201" s="442"/>
      <c r="I201" s="443"/>
      <c r="J201" s="444"/>
      <c r="K201" s="444"/>
      <c r="L201" s="444"/>
      <c r="M201" s="444"/>
      <c r="N201" s="444"/>
      <c r="O201" s="444"/>
      <c r="P201" s="827"/>
      <c r="Q201" s="828"/>
      <c r="S201" s="393" t="s">
        <v>3767</v>
      </c>
    </row>
    <row r="202" spans="1:19" s="1" customFormat="1" ht="15">
      <c r="A202" s="429">
        <f t="shared" si="66"/>
        <v>44896</v>
      </c>
      <c r="B202" s="440"/>
      <c r="C202" s="440"/>
      <c r="D202" s="427">
        <f t="shared" ca="1" si="64"/>
        <v>0</v>
      </c>
      <c r="E202" s="427">
        <f t="shared" ca="1" si="65"/>
        <v>0</v>
      </c>
      <c r="F202" s="441">
        <v>0</v>
      </c>
      <c r="G202" s="441">
        <v>0</v>
      </c>
      <c r="H202" s="442"/>
      <c r="I202" s="443"/>
      <c r="J202" s="444"/>
      <c r="K202" s="444"/>
      <c r="L202" s="444"/>
      <c r="M202" s="444"/>
      <c r="N202" s="444"/>
      <c r="O202" s="444"/>
      <c r="P202" s="428" t="str">
        <f t="shared" ref="P202:P213" si="67">IFERROR(SUM(J202:O202)/COUNT(J202:O202),"")</f>
        <v/>
      </c>
      <c r="Q202" s="427"/>
      <c r="R202" s="1">
        <f>IF(AND(C202&lt;&gt;0,J199="yes"),1,0)</f>
        <v>0</v>
      </c>
      <c r="S202" s="804">
        <f>IFERROR(IF(J199="Yes",AVERAGE(J202:O207),0),0)</f>
        <v>0</v>
      </c>
    </row>
    <row r="203" spans="1:19" s="1" customFormat="1" ht="15">
      <c r="A203" s="429">
        <f t="shared" si="66"/>
        <v>44866</v>
      </c>
      <c r="B203" s="440"/>
      <c r="C203" s="440"/>
      <c r="D203" s="427">
        <f t="shared" ca="1" si="64"/>
        <v>0</v>
      </c>
      <c r="E203" s="427">
        <f t="shared" ca="1" si="65"/>
        <v>0</v>
      </c>
      <c r="F203" s="441">
        <v>0</v>
      </c>
      <c r="G203" s="441">
        <v>0</v>
      </c>
      <c r="H203" s="442"/>
      <c r="I203" s="443"/>
      <c r="J203" s="444"/>
      <c r="K203" s="444"/>
      <c r="L203" s="444"/>
      <c r="M203" s="444"/>
      <c r="N203" s="444"/>
      <c r="O203" s="444"/>
      <c r="P203" s="428" t="str">
        <f t="shared" si="67"/>
        <v/>
      </c>
      <c r="Q203" s="427"/>
      <c r="S203" s="804"/>
    </row>
    <row r="204" spans="1:19" s="1" customFormat="1" ht="15">
      <c r="A204" s="429">
        <f t="shared" si="66"/>
        <v>44835</v>
      </c>
      <c r="B204" s="440"/>
      <c r="C204" s="440"/>
      <c r="D204" s="427">
        <f t="shared" ca="1" si="64"/>
        <v>0</v>
      </c>
      <c r="E204" s="427">
        <f t="shared" ca="1" si="65"/>
        <v>0</v>
      </c>
      <c r="F204" s="441">
        <v>0</v>
      </c>
      <c r="G204" s="441">
        <v>0</v>
      </c>
      <c r="H204" s="442"/>
      <c r="I204" s="443"/>
      <c r="J204" s="444"/>
      <c r="K204" s="444"/>
      <c r="L204" s="444"/>
      <c r="M204" s="444"/>
      <c r="N204" s="444"/>
      <c r="O204" s="444"/>
      <c r="P204" s="428" t="str">
        <f t="shared" si="67"/>
        <v/>
      </c>
      <c r="Q204" s="427"/>
      <c r="S204" s="804"/>
    </row>
    <row r="205" spans="1:19" s="1" customFormat="1" ht="15">
      <c r="A205" s="429">
        <f t="shared" si="66"/>
        <v>44805</v>
      </c>
      <c r="B205" s="440"/>
      <c r="C205" s="440"/>
      <c r="D205" s="427">
        <f t="shared" ca="1" si="64"/>
        <v>0</v>
      </c>
      <c r="E205" s="427">
        <f t="shared" ca="1" si="65"/>
        <v>0</v>
      </c>
      <c r="F205" s="441">
        <v>0</v>
      </c>
      <c r="G205" s="441">
        <v>0</v>
      </c>
      <c r="H205" s="442"/>
      <c r="I205" s="443"/>
      <c r="J205" s="444"/>
      <c r="K205" s="444"/>
      <c r="L205" s="444"/>
      <c r="M205" s="444"/>
      <c r="N205" s="444"/>
      <c r="O205" s="444"/>
      <c r="P205" s="428" t="str">
        <f t="shared" si="67"/>
        <v/>
      </c>
      <c r="Q205" s="427"/>
      <c r="S205" s="804"/>
    </row>
    <row r="206" spans="1:19" s="1" customFormat="1" ht="15">
      <c r="A206" s="429">
        <f t="shared" si="66"/>
        <v>44774</v>
      </c>
      <c r="B206" s="440"/>
      <c r="C206" s="440"/>
      <c r="D206" s="427">
        <f t="shared" ca="1" si="64"/>
        <v>0</v>
      </c>
      <c r="E206" s="427">
        <f t="shared" ca="1" si="65"/>
        <v>0</v>
      </c>
      <c r="F206" s="441">
        <v>0</v>
      </c>
      <c r="G206" s="441">
        <v>0</v>
      </c>
      <c r="H206" s="442"/>
      <c r="I206" s="443"/>
      <c r="J206" s="444"/>
      <c r="K206" s="444"/>
      <c r="L206" s="444"/>
      <c r="M206" s="444"/>
      <c r="N206" s="444"/>
      <c r="O206" s="444"/>
      <c r="P206" s="428" t="str">
        <f t="shared" si="67"/>
        <v/>
      </c>
      <c r="Q206" s="427"/>
      <c r="S206" s="804"/>
    </row>
    <row r="207" spans="1:19" s="1" customFormat="1" ht="15">
      <c r="A207" s="429">
        <f t="shared" si="66"/>
        <v>44743</v>
      </c>
      <c r="B207" s="440"/>
      <c r="C207" s="440"/>
      <c r="D207" s="427">
        <f t="shared" ca="1" si="64"/>
        <v>0</v>
      </c>
      <c r="E207" s="427">
        <f t="shared" ca="1" si="65"/>
        <v>0</v>
      </c>
      <c r="F207" s="441">
        <v>0</v>
      </c>
      <c r="G207" s="441">
        <v>0</v>
      </c>
      <c r="H207" s="442"/>
      <c r="I207" s="443"/>
      <c r="J207" s="444"/>
      <c r="K207" s="444"/>
      <c r="L207" s="444"/>
      <c r="M207" s="444"/>
      <c r="N207" s="444"/>
      <c r="O207" s="444"/>
      <c r="P207" s="428" t="str">
        <f t="shared" si="67"/>
        <v/>
      </c>
      <c r="Q207" s="427"/>
      <c r="S207" s="804"/>
    </row>
    <row r="208" spans="1:19" s="1" customFormat="1" ht="15">
      <c r="A208" s="429">
        <f t="shared" si="66"/>
        <v>44713</v>
      </c>
      <c r="B208" s="440"/>
      <c r="C208" s="440"/>
      <c r="D208" s="427">
        <f t="shared" ca="1" si="64"/>
        <v>0</v>
      </c>
      <c r="E208" s="427">
        <f t="shared" ca="1" si="65"/>
        <v>0</v>
      </c>
      <c r="F208" s="441">
        <v>0</v>
      </c>
      <c r="G208" s="441">
        <v>0</v>
      </c>
      <c r="H208" s="442"/>
      <c r="I208" s="443"/>
      <c r="J208" s="444"/>
      <c r="K208" s="444"/>
      <c r="L208" s="444"/>
      <c r="M208" s="444"/>
      <c r="N208" s="444"/>
      <c r="O208" s="444"/>
      <c r="P208" s="428" t="str">
        <f t="shared" si="67"/>
        <v/>
      </c>
      <c r="Q208" s="427"/>
      <c r="S208" s="804">
        <f>IFERROR(IF(J199="Yes",AVERAGE(J202:O213),0),0)</f>
        <v>0</v>
      </c>
    </row>
    <row r="209" spans="1:19" s="1" customFormat="1" ht="15">
      <c r="A209" s="429">
        <f t="shared" si="66"/>
        <v>44682</v>
      </c>
      <c r="B209" s="440"/>
      <c r="C209" s="440"/>
      <c r="D209" s="427">
        <f t="shared" ca="1" si="64"/>
        <v>0</v>
      </c>
      <c r="E209" s="427">
        <f t="shared" ca="1" si="65"/>
        <v>0</v>
      </c>
      <c r="F209" s="441">
        <v>0</v>
      </c>
      <c r="G209" s="441">
        <v>0</v>
      </c>
      <c r="H209" s="442"/>
      <c r="I209" s="443"/>
      <c r="J209" s="444"/>
      <c r="K209" s="444"/>
      <c r="L209" s="444"/>
      <c r="M209" s="444"/>
      <c r="N209" s="444"/>
      <c r="O209" s="444"/>
      <c r="P209" s="428" t="str">
        <f t="shared" si="67"/>
        <v/>
      </c>
      <c r="Q209" s="427"/>
      <c r="S209" s="804"/>
    </row>
    <row r="210" spans="1:19" s="1" customFormat="1" ht="15">
      <c r="A210" s="429">
        <f t="shared" si="66"/>
        <v>44652</v>
      </c>
      <c r="B210" s="440"/>
      <c r="C210" s="440"/>
      <c r="D210" s="427">
        <f t="shared" ca="1" si="64"/>
        <v>0</v>
      </c>
      <c r="E210" s="427">
        <f t="shared" ca="1" si="65"/>
        <v>0</v>
      </c>
      <c r="F210" s="441">
        <v>0</v>
      </c>
      <c r="G210" s="441">
        <v>0</v>
      </c>
      <c r="H210" s="442"/>
      <c r="I210" s="443"/>
      <c r="J210" s="444"/>
      <c r="K210" s="444"/>
      <c r="L210" s="444"/>
      <c r="M210" s="444"/>
      <c r="N210" s="444"/>
      <c r="O210" s="444"/>
      <c r="P210" s="428" t="str">
        <f t="shared" si="67"/>
        <v/>
      </c>
      <c r="Q210" s="427"/>
      <c r="S210" s="804"/>
    </row>
    <row r="211" spans="1:19" s="1" customFormat="1" ht="15">
      <c r="A211" s="429">
        <f t="shared" si="66"/>
        <v>44621</v>
      </c>
      <c r="B211" s="440"/>
      <c r="C211" s="440"/>
      <c r="D211" s="427">
        <f t="shared" ca="1" si="64"/>
        <v>0</v>
      </c>
      <c r="E211" s="427">
        <f t="shared" ca="1" si="65"/>
        <v>0</v>
      </c>
      <c r="F211" s="441">
        <v>0</v>
      </c>
      <c r="G211" s="441">
        <v>0</v>
      </c>
      <c r="H211" s="442"/>
      <c r="I211" s="443"/>
      <c r="J211" s="444"/>
      <c r="K211" s="444"/>
      <c r="L211" s="444"/>
      <c r="M211" s="444"/>
      <c r="N211" s="444"/>
      <c r="O211" s="444"/>
      <c r="P211" s="428" t="str">
        <f t="shared" si="67"/>
        <v/>
      </c>
      <c r="Q211" s="427"/>
      <c r="S211" s="804"/>
    </row>
    <row r="212" spans="1:19" s="1" customFormat="1" ht="15">
      <c r="A212" s="421" t="s">
        <v>3768</v>
      </c>
      <c r="B212" s="430">
        <f t="shared" ref="B212:G212" si="68">SUM(B200:B211)</f>
        <v>0</v>
      </c>
      <c r="C212" s="430">
        <f t="shared" si="68"/>
        <v>0</v>
      </c>
      <c r="D212" s="430">
        <f t="shared" ca="1" si="68"/>
        <v>0</v>
      </c>
      <c r="E212" s="430">
        <f t="shared" ca="1" si="68"/>
        <v>0</v>
      </c>
      <c r="F212" s="430">
        <f t="shared" si="68"/>
        <v>0</v>
      </c>
      <c r="G212" s="430">
        <f t="shared" si="68"/>
        <v>0</v>
      </c>
      <c r="H212" s="430"/>
      <c r="I212" s="430"/>
      <c r="J212" s="430" t="str">
        <f t="shared" ref="J212:O212" si="69">IFERROR(AVERAGE(J200:J211),"")</f>
        <v/>
      </c>
      <c r="K212" s="430" t="str">
        <f t="shared" si="69"/>
        <v/>
      </c>
      <c r="L212" s="430" t="str">
        <f t="shared" si="69"/>
        <v/>
      </c>
      <c r="M212" s="430" t="str">
        <f t="shared" si="69"/>
        <v/>
      </c>
      <c r="N212" s="430" t="str">
        <f t="shared" si="69"/>
        <v/>
      </c>
      <c r="O212" s="430" t="str">
        <f t="shared" si="69"/>
        <v/>
      </c>
      <c r="P212" s="428" t="str">
        <f t="shared" si="67"/>
        <v/>
      </c>
      <c r="Q212" s="427"/>
      <c r="S212" s="804"/>
    </row>
    <row r="213" spans="1:19" s="1" customFormat="1" ht="15">
      <c r="A213" s="421" t="s">
        <v>3769</v>
      </c>
      <c r="B213" s="430" t="str">
        <f>IFERROR(AVERAGE(B200:B211),"")</f>
        <v/>
      </c>
      <c r="C213" s="430" t="str">
        <f>IFERROR(AVERAGE(C200:C211),"")</f>
        <v/>
      </c>
      <c r="D213" s="430">
        <f ca="1">AVERAGE(D200:D211)</f>
        <v>0</v>
      </c>
      <c r="E213" s="430">
        <f ca="1">AVERAGE(E200:E211)</f>
        <v>0</v>
      </c>
      <c r="F213" s="430">
        <f>IFERROR(AVERAGE(F200:F211),"")</f>
        <v>0</v>
      </c>
      <c r="G213" s="430">
        <f>IFERROR(AVERAGE(G200:G211),"")</f>
        <v>0</v>
      </c>
      <c r="H213" s="433"/>
      <c r="I213" s="433"/>
      <c r="J213" s="433"/>
      <c r="K213" s="434"/>
      <c r="L213" s="434"/>
      <c r="M213" s="435"/>
      <c r="N213" s="434"/>
      <c r="O213" s="436"/>
      <c r="P213" s="428" t="str">
        <f t="shared" si="67"/>
        <v/>
      </c>
      <c r="Q213" s="427"/>
      <c r="S213" s="804"/>
    </row>
    <row r="214" spans="1:19" ht="15"/>
    <row r="215" spans="1:19" ht="15">
      <c r="A215" s="823" t="s">
        <v>3770</v>
      </c>
      <c r="B215" s="824"/>
      <c r="C215" s="825"/>
      <c r="D215" s="818"/>
      <c r="E215" s="819"/>
      <c r="F215" s="819"/>
      <c r="G215" s="819"/>
      <c r="H215" s="819"/>
      <c r="I215" s="819"/>
      <c r="J215" s="819"/>
      <c r="K215" s="819"/>
      <c r="L215" s="819"/>
      <c r="M215" s="819"/>
      <c r="N215" s="819"/>
      <c r="O215" s="820"/>
    </row>
    <row r="216" spans="1:19" ht="15">
      <c r="A216" s="817" t="s">
        <v>3771</v>
      </c>
      <c r="B216" s="807"/>
      <c r="C216" s="808"/>
      <c r="D216" s="807"/>
      <c r="E216" s="807"/>
      <c r="F216" s="807"/>
      <c r="G216" s="807"/>
      <c r="H216" s="807"/>
      <c r="I216" s="807"/>
      <c r="J216" s="807"/>
      <c r="K216" s="807"/>
      <c r="L216" s="807"/>
      <c r="M216" s="807"/>
      <c r="N216" s="807"/>
      <c r="O216" s="808"/>
    </row>
    <row r="217" spans="1:19" ht="15">
      <c r="A217" s="812" t="s">
        <v>3772</v>
      </c>
      <c r="B217" s="813"/>
      <c r="C217" s="821"/>
      <c r="D217" s="821"/>
      <c r="E217" s="821"/>
      <c r="F217" s="821"/>
      <c r="G217" s="822"/>
      <c r="H217" s="417"/>
      <c r="I217" s="418"/>
      <c r="J217" s="829"/>
      <c r="K217" s="830"/>
      <c r="L217" s="830"/>
      <c r="M217" s="830"/>
      <c r="N217" s="830"/>
      <c r="O217" s="831"/>
    </row>
    <row r="218" spans="1:19" ht="15">
      <c r="A218" s="812" t="s">
        <v>3773</v>
      </c>
      <c r="B218" s="813"/>
      <c r="C218" s="814"/>
      <c r="D218" s="814"/>
      <c r="E218" s="814"/>
      <c r="F218" s="814"/>
      <c r="G218" s="815"/>
      <c r="H218" s="417"/>
      <c r="I218" s="418"/>
      <c r="J218" s="816"/>
      <c r="K218" s="814"/>
      <c r="L218" s="814"/>
      <c r="M218" s="814"/>
      <c r="N218" s="814"/>
      <c r="O218" s="815"/>
    </row>
    <row r="219" spans="1:19" ht="15">
      <c r="A219" s="421" t="s">
        <v>3774</v>
      </c>
      <c r="B219" s="809" t="s">
        <v>3775</v>
      </c>
      <c r="C219" s="811"/>
      <c r="D219" s="809" t="s">
        <v>3776</v>
      </c>
      <c r="E219" s="811"/>
      <c r="F219" s="805" t="s">
        <v>3777</v>
      </c>
      <c r="G219" s="805" t="s">
        <v>3778</v>
      </c>
      <c r="H219" s="805" t="s">
        <v>3779</v>
      </c>
      <c r="I219" s="422"/>
      <c r="J219" s="809" t="s">
        <v>3780</v>
      </c>
      <c r="K219" s="810"/>
      <c r="L219" s="810"/>
      <c r="M219" s="810"/>
      <c r="N219" s="810"/>
      <c r="O219" s="811"/>
    </row>
    <row r="220" spans="1:19" ht="33.75" customHeight="1">
      <c r="A220" s="421" t="s">
        <v>3781</v>
      </c>
      <c r="B220" s="423" t="s">
        <v>3782</v>
      </c>
      <c r="C220" s="423" t="s">
        <v>3783</v>
      </c>
      <c r="D220" s="423" t="s">
        <v>3784</v>
      </c>
      <c r="E220" s="423" t="s">
        <v>3785</v>
      </c>
      <c r="F220" s="806"/>
      <c r="G220" s="806"/>
      <c r="H220" s="806"/>
      <c r="I220" s="424"/>
      <c r="J220" s="423" t="s">
        <v>3786</v>
      </c>
      <c r="K220" s="423" t="s">
        <v>3787</v>
      </c>
      <c r="L220" s="423" t="s">
        <v>3788</v>
      </c>
      <c r="M220" s="423" t="s">
        <v>3789</v>
      </c>
      <c r="N220" s="423" t="s">
        <v>3790</v>
      </c>
      <c r="O220" s="423" t="s">
        <v>3791</v>
      </c>
    </row>
    <row r="221" spans="1:19" ht="15">
      <c r="A221" s="439">
        <f>A30</f>
        <v>44958</v>
      </c>
      <c r="B221" s="440"/>
      <c r="C221" s="440"/>
      <c r="D221" s="427">
        <f t="shared" ref="D221:D232" ca="1" si="70">IFERROR(LEN(_xludf.FORMULATEXT(B221))-LEN(SUBSTITUTE(_xludf.FORMULATEXT(B221),"+",""))+1,0)</f>
        <v>0</v>
      </c>
      <c r="E221" s="427">
        <f t="shared" ref="E221:E232" ca="1" si="71">IFERROR(LEN(_xludf.FORMULATEXT(C221))-LEN(SUBSTITUTE(_xludf.FORMULATEXT(C221),"+",""))+1,0)</f>
        <v>0</v>
      </c>
      <c r="F221" s="441">
        <v>0</v>
      </c>
      <c r="G221" s="441">
        <v>0</v>
      </c>
      <c r="H221" s="442"/>
      <c r="I221" s="443"/>
      <c r="J221" s="444"/>
      <c r="K221" s="159"/>
      <c r="L221" s="444"/>
      <c r="M221" s="444"/>
      <c r="N221" s="444"/>
      <c r="O221" s="444"/>
      <c r="P221" s="826" t="s">
        <v>3792</v>
      </c>
      <c r="Q221" s="828"/>
    </row>
    <row r="222" spans="1:19" s="1" customFormat="1" ht="30">
      <c r="A222" s="429">
        <f t="shared" ref="A222:A232" si="72">EDATE(A221,-1)</f>
        <v>44927</v>
      </c>
      <c r="B222" s="440"/>
      <c r="C222" s="440"/>
      <c r="D222" s="427">
        <f t="shared" ca="1" si="70"/>
        <v>0</v>
      </c>
      <c r="E222" s="427">
        <f t="shared" ca="1" si="71"/>
        <v>0</v>
      </c>
      <c r="F222" s="441">
        <v>0</v>
      </c>
      <c r="G222" s="441">
        <v>0</v>
      </c>
      <c r="H222" s="442"/>
      <c r="I222" s="443"/>
      <c r="J222" s="444"/>
      <c r="K222" s="444"/>
      <c r="L222" s="444"/>
      <c r="M222" s="444"/>
      <c r="N222" s="444"/>
      <c r="O222" s="444"/>
      <c r="P222" s="827"/>
      <c r="Q222" s="828"/>
      <c r="S222" s="393" t="s">
        <v>3793</v>
      </c>
    </row>
    <row r="223" spans="1:19" s="1" customFormat="1" ht="15">
      <c r="A223" s="429">
        <f t="shared" si="72"/>
        <v>44896</v>
      </c>
      <c r="B223" s="440"/>
      <c r="C223" s="440"/>
      <c r="D223" s="427">
        <f t="shared" ca="1" si="70"/>
        <v>0</v>
      </c>
      <c r="E223" s="427">
        <f t="shared" ca="1" si="71"/>
        <v>0</v>
      </c>
      <c r="F223" s="441">
        <v>0</v>
      </c>
      <c r="G223" s="441">
        <v>0</v>
      </c>
      <c r="H223" s="442"/>
      <c r="I223" s="443"/>
      <c r="J223" s="444"/>
      <c r="K223" s="444"/>
      <c r="L223" s="444"/>
      <c r="M223" s="444"/>
      <c r="N223" s="444"/>
      <c r="O223" s="444"/>
      <c r="P223" s="428" t="str">
        <f t="shared" ref="P223:P234" si="73">IFERROR(SUM(J223:O223)/COUNT(J223:O223),"")</f>
        <v/>
      </c>
      <c r="Q223" s="427"/>
      <c r="R223" s="1">
        <f>IF(AND(C223&lt;&gt;0,J220="yes"),1,0)</f>
        <v>0</v>
      </c>
      <c r="S223" s="804">
        <f>IFERROR(IF(J220="Yes",AVERAGE(J223:O228),0),0)</f>
        <v>0</v>
      </c>
    </row>
    <row r="224" spans="1:19" s="1" customFormat="1" ht="15">
      <c r="A224" s="429">
        <f t="shared" si="72"/>
        <v>44866</v>
      </c>
      <c r="B224" s="440"/>
      <c r="C224" s="440"/>
      <c r="D224" s="427">
        <f t="shared" ca="1" si="70"/>
        <v>0</v>
      </c>
      <c r="E224" s="427">
        <f t="shared" ca="1" si="71"/>
        <v>0</v>
      </c>
      <c r="F224" s="441">
        <v>0</v>
      </c>
      <c r="G224" s="441">
        <v>0</v>
      </c>
      <c r="H224" s="442"/>
      <c r="I224" s="443"/>
      <c r="J224" s="444"/>
      <c r="K224" s="444"/>
      <c r="L224" s="444"/>
      <c r="M224" s="444"/>
      <c r="N224" s="444"/>
      <c r="O224" s="444"/>
      <c r="P224" s="428" t="str">
        <f t="shared" si="73"/>
        <v/>
      </c>
      <c r="Q224" s="427"/>
      <c r="S224" s="804"/>
    </row>
    <row r="225" spans="1:19" s="1" customFormat="1" ht="15">
      <c r="A225" s="429">
        <f t="shared" si="72"/>
        <v>44835</v>
      </c>
      <c r="B225" s="440"/>
      <c r="C225" s="440"/>
      <c r="D225" s="427">
        <f t="shared" ca="1" si="70"/>
        <v>0</v>
      </c>
      <c r="E225" s="427">
        <f t="shared" ca="1" si="71"/>
        <v>0</v>
      </c>
      <c r="F225" s="441">
        <v>0</v>
      </c>
      <c r="G225" s="441">
        <v>0</v>
      </c>
      <c r="H225" s="442"/>
      <c r="I225" s="443"/>
      <c r="J225" s="444"/>
      <c r="K225" s="444"/>
      <c r="L225" s="444"/>
      <c r="M225" s="444"/>
      <c r="N225" s="444"/>
      <c r="O225" s="444"/>
      <c r="P225" s="428" t="str">
        <f t="shared" si="73"/>
        <v/>
      </c>
      <c r="Q225" s="427"/>
      <c r="S225" s="804"/>
    </row>
    <row r="226" spans="1:19" s="1" customFormat="1" ht="15">
      <c r="A226" s="429">
        <f t="shared" si="72"/>
        <v>44805</v>
      </c>
      <c r="B226" s="440"/>
      <c r="C226" s="440"/>
      <c r="D226" s="427">
        <f t="shared" ca="1" si="70"/>
        <v>0</v>
      </c>
      <c r="E226" s="427">
        <f t="shared" ca="1" si="71"/>
        <v>0</v>
      </c>
      <c r="F226" s="441">
        <v>0</v>
      </c>
      <c r="G226" s="441">
        <v>0</v>
      </c>
      <c r="H226" s="442"/>
      <c r="I226" s="443"/>
      <c r="J226" s="444"/>
      <c r="K226" s="444"/>
      <c r="L226" s="444"/>
      <c r="M226" s="444"/>
      <c r="N226" s="444"/>
      <c r="O226" s="444"/>
      <c r="P226" s="428" t="str">
        <f t="shared" si="73"/>
        <v/>
      </c>
      <c r="Q226" s="427"/>
      <c r="S226" s="804"/>
    </row>
    <row r="227" spans="1:19" s="1" customFormat="1" ht="15">
      <c r="A227" s="429">
        <f t="shared" si="72"/>
        <v>44774</v>
      </c>
      <c r="B227" s="440"/>
      <c r="C227" s="440"/>
      <c r="D227" s="427">
        <f t="shared" ca="1" si="70"/>
        <v>0</v>
      </c>
      <c r="E227" s="427">
        <f t="shared" ca="1" si="71"/>
        <v>0</v>
      </c>
      <c r="F227" s="441">
        <v>0</v>
      </c>
      <c r="G227" s="441">
        <v>0</v>
      </c>
      <c r="H227" s="442"/>
      <c r="I227" s="443"/>
      <c r="J227" s="444"/>
      <c r="K227" s="444"/>
      <c r="L227" s="444"/>
      <c r="M227" s="444"/>
      <c r="N227" s="444"/>
      <c r="O227" s="444"/>
      <c r="P227" s="428" t="str">
        <f t="shared" si="73"/>
        <v/>
      </c>
      <c r="Q227" s="427"/>
      <c r="S227" s="804"/>
    </row>
    <row r="228" spans="1:19" s="1" customFormat="1" ht="15">
      <c r="A228" s="429">
        <f t="shared" si="72"/>
        <v>44743</v>
      </c>
      <c r="B228" s="440"/>
      <c r="C228" s="440"/>
      <c r="D228" s="427">
        <f t="shared" ca="1" si="70"/>
        <v>0</v>
      </c>
      <c r="E228" s="427">
        <f t="shared" ca="1" si="71"/>
        <v>0</v>
      </c>
      <c r="F228" s="441">
        <v>0</v>
      </c>
      <c r="G228" s="441">
        <v>0</v>
      </c>
      <c r="H228" s="442"/>
      <c r="I228" s="443"/>
      <c r="J228" s="444"/>
      <c r="K228" s="444"/>
      <c r="L228" s="444"/>
      <c r="M228" s="444"/>
      <c r="N228" s="444"/>
      <c r="O228" s="444"/>
      <c r="P228" s="428" t="str">
        <f t="shared" si="73"/>
        <v/>
      </c>
      <c r="Q228" s="427"/>
      <c r="S228" s="804"/>
    </row>
    <row r="229" spans="1:19" s="1" customFormat="1" ht="15">
      <c r="A229" s="429">
        <f t="shared" si="72"/>
        <v>44713</v>
      </c>
      <c r="B229" s="440"/>
      <c r="C229" s="440"/>
      <c r="D229" s="427">
        <f t="shared" ca="1" si="70"/>
        <v>0</v>
      </c>
      <c r="E229" s="427">
        <f t="shared" ca="1" si="71"/>
        <v>0</v>
      </c>
      <c r="F229" s="441">
        <v>0</v>
      </c>
      <c r="G229" s="441">
        <v>0</v>
      </c>
      <c r="H229" s="442"/>
      <c r="I229" s="443"/>
      <c r="J229" s="444"/>
      <c r="K229" s="444"/>
      <c r="L229" s="444"/>
      <c r="M229" s="444"/>
      <c r="N229" s="444"/>
      <c r="O229" s="444"/>
      <c r="P229" s="428" t="str">
        <f t="shared" si="73"/>
        <v/>
      </c>
      <c r="Q229" s="427"/>
      <c r="S229" s="804">
        <f>IFERROR(IF(J220="Yes",AVERAGE(J223:O234),0),0)</f>
        <v>0</v>
      </c>
    </row>
    <row r="230" spans="1:19" s="1" customFormat="1" ht="15">
      <c r="A230" s="429">
        <f t="shared" si="72"/>
        <v>44682</v>
      </c>
      <c r="B230" s="440"/>
      <c r="C230" s="440"/>
      <c r="D230" s="427">
        <f t="shared" ca="1" si="70"/>
        <v>0</v>
      </c>
      <c r="E230" s="427">
        <f t="shared" ca="1" si="71"/>
        <v>0</v>
      </c>
      <c r="F230" s="441">
        <v>0</v>
      </c>
      <c r="G230" s="441">
        <v>0</v>
      </c>
      <c r="H230" s="442"/>
      <c r="I230" s="443"/>
      <c r="J230" s="444"/>
      <c r="K230" s="444"/>
      <c r="L230" s="444"/>
      <c r="M230" s="444"/>
      <c r="N230" s="444"/>
      <c r="O230" s="444"/>
      <c r="P230" s="428" t="str">
        <f t="shared" si="73"/>
        <v/>
      </c>
      <c r="Q230" s="427"/>
      <c r="S230" s="804"/>
    </row>
    <row r="231" spans="1:19" s="1" customFormat="1" ht="15">
      <c r="A231" s="429">
        <f t="shared" si="72"/>
        <v>44652</v>
      </c>
      <c r="B231" s="440"/>
      <c r="C231" s="440"/>
      <c r="D231" s="427">
        <f t="shared" ca="1" si="70"/>
        <v>0</v>
      </c>
      <c r="E231" s="427">
        <f t="shared" ca="1" si="71"/>
        <v>0</v>
      </c>
      <c r="F231" s="441">
        <v>0</v>
      </c>
      <c r="G231" s="441">
        <v>0</v>
      </c>
      <c r="H231" s="442"/>
      <c r="I231" s="443"/>
      <c r="J231" s="444"/>
      <c r="K231" s="444"/>
      <c r="L231" s="444"/>
      <c r="M231" s="444"/>
      <c r="N231" s="444"/>
      <c r="O231" s="444"/>
      <c r="P231" s="428" t="str">
        <f t="shared" si="73"/>
        <v/>
      </c>
      <c r="Q231" s="427"/>
      <c r="S231" s="804"/>
    </row>
    <row r="232" spans="1:19" s="1" customFormat="1" ht="15">
      <c r="A232" s="429">
        <f t="shared" si="72"/>
        <v>44621</v>
      </c>
      <c r="B232" s="440"/>
      <c r="C232" s="440"/>
      <c r="D232" s="427">
        <f t="shared" ca="1" si="70"/>
        <v>0</v>
      </c>
      <c r="E232" s="427">
        <f t="shared" ca="1" si="71"/>
        <v>0</v>
      </c>
      <c r="F232" s="441">
        <v>0</v>
      </c>
      <c r="G232" s="441">
        <v>0</v>
      </c>
      <c r="H232" s="442"/>
      <c r="I232" s="443"/>
      <c r="J232" s="444"/>
      <c r="K232" s="444"/>
      <c r="L232" s="444"/>
      <c r="M232" s="444"/>
      <c r="N232" s="444"/>
      <c r="O232" s="444"/>
      <c r="P232" s="428" t="str">
        <f t="shared" si="73"/>
        <v/>
      </c>
      <c r="Q232" s="427"/>
      <c r="S232" s="804"/>
    </row>
    <row r="233" spans="1:19" s="1" customFormat="1" ht="15">
      <c r="A233" s="421" t="s">
        <v>3794</v>
      </c>
      <c r="B233" s="430">
        <f t="shared" ref="B233:G233" si="74">SUM(B221:B232)</f>
        <v>0</v>
      </c>
      <c r="C233" s="430">
        <f t="shared" si="74"/>
        <v>0</v>
      </c>
      <c r="D233" s="430">
        <f t="shared" ca="1" si="74"/>
        <v>0</v>
      </c>
      <c r="E233" s="430">
        <f t="shared" ca="1" si="74"/>
        <v>0</v>
      </c>
      <c r="F233" s="430">
        <f t="shared" si="74"/>
        <v>0</v>
      </c>
      <c r="G233" s="430">
        <f t="shared" si="74"/>
        <v>0</v>
      </c>
      <c r="H233" s="430"/>
      <c r="I233" s="430"/>
      <c r="J233" s="430" t="str">
        <f t="shared" ref="J233:O233" si="75">IFERROR(AVERAGE(J221:J232),"")</f>
        <v/>
      </c>
      <c r="K233" s="430" t="str">
        <f t="shared" si="75"/>
        <v/>
      </c>
      <c r="L233" s="430" t="str">
        <f t="shared" si="75"/>
        <v/>
      </c>
      <c r="M233" s="430" t="str">
        <f t="shared" si="75"/>
        <v/>
      </c>
      <c r="N233" s="430" t="str">
        <f t="shared" si="75"/>
        <v/>
      </c>
      <c r="O233" s="430" t="str">
        <f t="shared" si="75"/>
        <v/>
      </c>
      <c r="P233" s="428" t="str">
        <f t="shared" si="73"/>
        <v/>
      </c>
      <c r="Q233" s="427"/>
      <c r="S233" s="804"/>
    </row>
    <row r="234" spans="1:19" s="1" customFormat="1" ht="15">
      <c r="A234" s="421" t="s">
        <v>3795</v>
      </c>
      <c r="B234" s="430" t="str">
        <f>IFERROR(AVERAGE(B221:B232),"")</f>
        <v/>
      </c>
      <c r="C234" s="430" t="str">
        <f>IFERROR(AVERAGE(C221:C232),"")</f>
        <v/>
      </c>
      <c r="D234" s="430">
        <f ca="1">AVERAGE(D221:D232)</f>
        <v>0</v>
      </c>
      <c r="E234" s="430">
        <f ca="1">AVERAGE(E221:E232)</f>
        <v>0</v>
      </c>
      <c r="F234" s="430">
        <f>IFERROR(AVERAGE(F221:F232),"")</f>
        <v>0</v>
      </c>
      <c r="G234" s="430">
        <f>IFERROR(AVERAGE(G221:G232),"")</f>
        <v>0</v>
      </c>
      <c r="H234" s="433"/>
      <c r="I234" s="433"/>
      <c r="J234" s="433"/>
      <c r="K234" s="434"/>
      <c r="L234" s="434"/>
      <c r="M234" s="435"/>
      <c r="N234" s="434"/>
      <c r="O234" s="436"/>
      <c r="P234" s="428" t="str">
        <f t="shared" si="73"/>
        <v/>
      </c>
      <c r="Q234" s="427"/>
      <c r="S234" s="804"/>
    </row>
  </sheetData>
  <mergeCells count="212">
    <mergeCell ref="S118:S123"/>
    <mergeCell ref="S30:S35"/>
    <mergeCell ref="J113:O113"/>
    <mergeCell ref="J47:O47"/>
    <mergeCell ref="P179:P180"/>
    <mergeCell ref="A196:B196"/>
    <mergeCell ref="Q179:Q180"/>
    <mergeCell ref="C196:G196"/>
    <mergeCell ref="J196:O196"/>
    <mergeCell ref="D46:O46"/>
    <mergeCell ref="A47:B47"/>
    <mergeCell ref="C47:G47"/>
    <mergeCell ref="D132:O132"/>
    <mergeCell ref="S82:S87"/>
    <mergeCell ref="P116:P117"/>
    <mergeCell ref="A133:B133"/>
    <mergeCell ref="J2:O2"/>
    <mergeCell ref="P200:P201"/>
    <mergeCell ref="Q200:Q201"/>
    <mergeCell ref="C217:G217"/>
    <mergeCell ref="P2:P3"/>
    <mergeCell ref="J217:O217"/>
    <mergeCell ref="B135:C135"/>
    <mergeCell ref="A69:C69"/>
    <mergeCell ref="D135:E135"/>
    <mergeCell ref="S181:S186"/>
    <mergeCell ref="A1:C1"/>
    <mergeCell ref="D1:F1"/>
    <mergeCell ref="J133:O133"/>
    <mergeCell ref="H1:O1"/>
    <mergeCell ref="A216:C216"/>
    <mergeCell ref="D216:O216"/>
    <mergeCell ref="S166:S171"/>
    <mergeCell ref="B51:C51"/>
    <mergeCell ref="D51:E51"/>
    <mergeCell ref="F51:F52"/>
    <mergeCell ref="G51:G52"/>
    <mergeCell ref="H51:H52"/>
    <mergeCell ref="J51:O51"/>
    <mergeCell ref="A134:B134"/>
    <mergeCell ref="C134:G134"/>
    <mergeCell ref="A68:C68"/>
    <mergeCell ref="B2:C2"/>
    <mergeCell ref="D68:O68"/>
    <mergeCell ref="D2:E2"/>
    <mergeCell ref="J134:O134"/>
    <mergeCell ref="F2:F3"/>
    <mergeCell ref="G2:G3"/>
    <mergeCell ref="H2:H16"/>
    <mergeCell ref="J28:O28"/>
    <mergeCell ref="B177:C177"/>
    <mergeCell ref="A111:C111"/>
    <mergeCell ref="S229:S234"/>
    <mergeCell ref="B114:C114"/>
    <mergeCell ref="A48:B48"/>
    <mergeCell ref="D114:E114"/>
    <mergeCell ref="S97:S102"/>
    <mergeCell ref="C48:G48"/>
    <mergeCell ref="F114:F115"/>
    <mergeCell ref="G114:G115"/>
    <mergeCell ref="H114:H115"/>
    <mergeCell ref="J114:O114"/>
    <mergeCell ref="J48:O48"/>
    <mergeCell ref="A197:B197"/>
    <mergeCell ref="C197:G197"/>
    <mergeCell ref="A131:C131"/>
    <mergeCell ref="D131:O131"/>
    <mergeCell ref="J197:O197"/>
    <mergeCell ref="J112:O112"/>
    <mergeCell ref="A195:C195"/>
    <mergeCell ref="D195:O195"/>
    <mergeCell ref="S145:S150"/>
    <mergeCell ref="A113:B113"/>
    <mergeCell ref="S160:S165"/>
    <mergeCell ref="D177:E177"/>
    <mergeCell ref="A45:C45"/>
    <mergeCell ref="P28:P29"/>
    <mergeCell ref="Q28:Q29"/>
    <mergeCell ref="F177:F178"/>
    <mergeCell ref="D111:O111"/>
    <mergeCell ref="G177:G178"/>
    <mergeCell ref="S61:S66"/>
    <mergeCell ref="H177:H178"/>
    <mergeCell ref="D45:O45"/>
    <mergeCell ref="J177:O177"/>
    <mergeCell ref="P95:P96"/>
    <mergeCell ref="A112:B112"/>
    <mergeCell ref="Q95:Q96"/>
    <mergeCell ref="A46:C46"/>
    <mergeCell ref="S36:S41"/>
    <mergeCell ref="Q116:Q117"/>
    <mergeCell ref="C133:G133"/>
    <mergeCell ref="B28:C28"/>
    <mergeCell ref="D28:E28"/>
    <mergeCell ref="F28:F29"/>
    <mergeCell ref="G28:G29"/>
    <mergeCell ref="H28:H29"/>
    <mergeCell ref="S223:S228"/>
    <mergeCell ref="D174:O174"/>
    <mergeCell ref="S124:S129"/>
    <mergeCell ref="A92:B92"/>
    <mergeCell ref="C92:G92"/>
    <mergeCell ref="J92:O92"/>
    <mergeCell ref="A175:B175"/>
    <mergeCell ref="P158:P159"/>
    <mergeCell ref="Q158:Q159"/>
    <mergeCell ref="C175:G175"/>
    <mergeCell ref="J175:O175"/>
    <mergeCell ref="S208:S213"/>
    <mergeCell ref="B93:C93"/>
    <mergeCell ref="D93:E93"/>
    <mergeCell ref="F93:F94"/>
    <mergeCell ref="G93:G94"/>
    <mergeCell ref="H93:H94"/>
    <mergeCell ref="J93:O93"/>
    <mergeCell ref="A176:B176"/>
    <mergeCell ref="A110:C110"/>
    <mergeCell ref="C176:G176"/>
    <mergeCell ref="D110:O110"/>
    <mergeCell ref="J176:O176"/>
    <mergeCell ref="A194:C194"/>
    <mergeCell ref="P221:P222"/>
    <mergeCell ref="Q221:Q222"/>
    <mergeCell ref="B156:C156"/>
    <mergeCell ref="A90:C90"/>
    <mergeCell ref="D156:E156"/>
    <mergeCell ref="S139:S144"/>
    <mergeCell ref="A24:B24"/>
    <mergeCell ref="D90:O90"/>
    <mergeCell ref="F156:F157"/>
    <mergeCell ref="G156:G157"/>
    <mergeCell ref="C24:G24"/>
    <mergeCell ref="H156:H157"/>
    <mergeCell ref="J156:O156"/>
    <mergeCell ref="J24:O24"/>
    <mergeCell ref="A173:C173"/>
    <mergeCell ref="D173:O173"/>
    <mergeCell ref="P74:P75"/>
    <mergeCell ref="A91:B91"/>
    <mergeCell ref="Q74:Q75"/>
    <mergeCell ref="A25:B25"/>
    <mergeCell ref="C91:G91"/>
    <mergeCell ref="C25:G25"/>
    <mergeCell ref="J91:O91"/>
    <mergeCell ref="J25:O25"/>
    <mergeCell ref="S4:S9"/>
    <mergeCell ref="A71:B71"/>
    <mergeCell ref="C71:G71"/>
    <mergeCell ref="J71:O71"/>
    <mergeCell ref="A154:B154"/>
    <mergeCell ref="P137:P138"/>
    <mergeCell ref="Q137:Q138"/>
    <mergeCell ref="C154:G154"/>
    <mergeCell ref="A22:C22"/>
    <mergeCell ref="D22:O22"/>
    <mergeCell ref="J154:O154"/>
    <mergeCell ref="B72:C72"/>
    <mergeCell ref="D72:E72"/>
    <mergeCell ref="S55:S60"/>
    <mergeCell ref="F72:F73"/>
    <mergeCell ref="G72:G73"/>
    <mergeCell ref="H72:H73"/>
    <mergeCell ref="J72:O72"/>
    <mergeCell ref="A89:C89"/>
    <mergeCell ref="A23:C23"/>
    <mergeCell ref="D89:O89"/>
    <mergeCell ref="D23:O23"/>
    <mergeCell ref="S76:S81"/>
    <mergeCell ref="S10:S15"/>
    <mergeCell ref="J218:O218"/>
    <mergeCell ref="A70:B70"/>
    <mergeCell ref="P53:P54"/>
    <mergeCell ref="Q53:Q54"/>
    <mergeCell ref="C70:G70"/>
    <mergeCell ref="J70:O70"/>
    <mergeCell ref="B219:C219"/>
    <mergeCell ref="A153:C153"/>
    <mergeCell ref="D219:E219"/>
    <mergeCell ref="D69:O69"/>
    <mergeCell ref="F198:F199"/>
    <mergeCell ref="G198:G199"/>
    <mergeCell ref="H198:H199"/>
    <mergeCell ref="J198:O198"/>
    <mergeCell ref="A215:C215"/>
    <mergeCell ref="D215:O215"/>
    <mergeCell ref="A217:B217"/>
    <mergeCell ref="C113:G113"/>
    <mergeCell ref="A132:C132"/>
    <mergeCell ref="S202:S207"/>
    <mergeCell ref="F219:F220"/>
    <mergeCell ref="D153:O153"/>
    <mergeCell ref="G219:G220"/>
    <mergeCell ref="S103:S108"/>
    <mergeCell ref="H219:H220"/>
    <mergeCell ref="J219:O219"/>
    <mergeCell ref="S187:S192"/>
    <mergeCell ref="A155:B155"/>
    <mergeCell ref="C155:G155"/>
    <mergeCell ref="J155:O155"/>
    <mergeCell ref="A174:C174"/>
    <mergeCell ref="D194:O194"/>
    <mergeCell ref="C112:G112"/>
    <mergeCell ref="F135:F136"/>
    <mergeCell ref="G135:G136"/>
    <mergeCell ref="H135:H136"/>
    <mergeCell ref="J135:O135"/>
    <mergeCell ref="A218:B218"/>
    <mergeCell ref="A152:C152"/>
    <mergeCell ref="C218:G218"/>
    <mergeCell ref="D152:O152"/>
    <mergeCell ref="B198:C198"/>
    <mergeCell ref="D198:E198"/>
  </mergeCells>
  <conditionalFormatting sqref="H30:I41">
    <cfRule type="cellIs" dxfId="45" priority="3" operator="equal">
      <formula>"Yes"</formula>
    </cfRule>
    <cfRule type="cellIs" dxfId="44" priority="4" operator="equal">
      <formula>"No"</formula>
    </cfRule>
  </conditionalFormatting>
  <conditionalFormatting sqref="H53:I64">
    <cfRule type="cellIs" dxfId="43" priority="7" operator="equal">
      <formula>"Yes"</formula>
    </cfRule>
    <cfRule type="cellIs" dxfId="42" priority="8" operator="equal">
      <formula>"No"</formula>
    </cfRule>
  </conditionalFormatting>
  <conditionalFormatting sqref="H74:I85">
    <cfRule type="cellIs" dxfId="41" priority="11" operator="equal">
      <formula>"Yes"</formula>
    </cfRule>
    <cfRule type="cellIs" dxfId="40" priority="12" operator="equal">
      <formula>"No"</formula>
    </cfRule>
  </conditionalFormatting>
  <conditionalFormatting sqref="H95:I106">
    <cfRule type="cellIs" dxfId="39" priority="15" operator="equal">
      <formula>"Yes"</formula>
    </cfRule>
    <cfRule type="cellIs" dxfId="38" priority="16" operator="equal">
      <formula>"No"</formula>
    </cfRule>
  </conditionalFormatting>
  <conditionalFormatting sqref="H116:I127">
    <cfRule type="cellIs" dxfId="37" priority="20" operator="equal">
      <formula>"No"</formula>
    </cfRule>
    <cfRule type="cellIs" dxfId="36" priority="19" operator="equal">
      <formula>"Yes"</formula>
    </cfRule>
  </conditionalFormatting>
  <conditionalFormatting sqref="H137:I148">
    <cfRule type="cellIs" dxfId="35" priority="24" operator="equal">
      <formula>"No"</formula>
    </cfRule>
    <cfRule type="cellIs" dxfId="34" priority="23" operator="equal">
      <formula>"Yes"</formula>
    </cfRule>
  </conditionalFormatting>
  <conditionalFormatting sqref="H158:I169">
    <cfRule type="cellIs" dxfId="33" priority="28" operator="equal">
      <formula>"No"</formula>
    </cfRule>
    <cfRule type="cellIs" dxfId="32" priority="27" operator="equal">
      <formula>"Yes"</formula>
    </cfRule>
  </conditionalFormatting>
  <conditionalFormatting sqref="H179:I190">
    <cfRule type="cellIs" dxfId="31" priority="32" operator="equal">
      <formula>"No"</formula>
    </cfRule>
    <cfRule type="cellIs" dxfId="30" priority="31" operator="equal">
      <formula>"Yes"</formula>
    </cfRule>
  </conditionalFormatting>
  <conditionalFormatting sqref="H200:I211">
    <cfRule type="cellIs" dxfId="29" priority="36" operator="equal">
      <formula>"No"</formula>
    </cfRule>
    <cfRule type="cellIs" dxfId="28" priority="35" operator="equal">
      <formula>"Yes"</formula>
    </cfRule>
  </conditionalFormatting>
  <conditionalFormatting sqref="H221:I232">
    <cfRule type="cellIs" dxfId="27" priority="40" operator="equal">
      <formula>"No"</formula>
    </cfRule>
    <cfRule type="cellIs" dxfId="26" priority="39" operator="equal">
      <formula>"Yes"</formula>
    </cfRule>
  </conditionalFormatting>
  <conditionalFormatting sqref="J25:J27">
    <cfRule type="expression" dxfId="25" priority="1">
      <formula>J24="Overdraft"</formula>
    </cfRule>
    <cfRule type="expression" dxfId="24" priority="2">
      <formula>J24="Cash Credit"</formula>
    </cfRule>
  </conditionalFormatting>
  <conditionalFormatting sqref="J48:J50">
    <cfRule type="expression" dxfId="23" priority="6">
      <formula>J47="Cash Credit"</formula>
    </cfRule>
    <cfRule type="expression" dxfId="22" priority="5">
      <formula>J47="Overdraft"</formula>
    </cfRule>
  </conditionalFormatting>
  <conditionalFormatting sqref="J71">
    <cfRule type="expression" dxfId="21" priority="10">
      <formula>J70="Cash Credit"</formula>
    </cfRule>
    <cfRule type="expression" dxfId="20" priority="9">
      <formula>J70="Overdraft"</formula>
    </cfRule>
  </conditionalFormatting>
  <conditionalFormatting sqref="J92">
    <cfRule type="expression" dxfId="19" priority="14">
      <formula>J91="Cash Credit"</formula>
    </cfRule>
    <cfRule type="expression" dxfId="18" priority="13">
      <formula>J91="Overdraft"</formula>
    </cfRule>
  </conditionalFormatting>
  <conditionalFormatting sqref="J113">
    <cfRule type="expression" dxfId="17" priority="18">
      <formula>J112="Cash Credit"</formula>
    </cfRule>
    <cfRule type="expression" dxfId="16" priority="17">
      <formula>J112="Overdraft"</formula>
    </cfRule>
  </conditionalFormatting>
  <conditionalFormatting sqref="J134">
    <cfRule type="expression" dxfId="15" priority="22">
      <formula>J133="Cash Credit"</formula>
    </cfRule>
    <cfRule type="expression" dxfId="14" priority="21">
      <formula>J133="Overdraft"</formula>
    </cfRule>
  </conditionalFormatting>
  <conditionalFormatting sqref="J155">
    <cfRule type="expression" dxfId="13" priority="25">
      <formula>J154="Overdraft"</formula>
    </cfRule>
    <cfRule type="expression" dxfId="12" priority="26">
      <formula>J154="Cash Credit"</formula>
    </cfRule>
  </conditionalFormatting>
  <conditionalFormatting sqref="J176">
    <cfRule type="expression" dxfId="11" priority="29">
      <formula>J175="Overdraft"</formula>
    </cfRule>
    <cfRule type="expression" dxfId="10" priority="30">
      <formula>J175="Cash Credit"</formula>
    </cfRule>
  </conditionalFormatting>
  <conditionalFormatting sqref="J197">
    <cfRule type="expression" dxfId="9" priority="33">
      <formula>J196="Overdraft"</formula>
    </cfRule>
    <cfRule type="expression" dxfId="8" priority="34">
      <formula>J196="Cash Credit"</formula>
    </cfRule>
  </conditionalFormatting>
  <conditionalFormatting sqref="J218">
    <cfRule type="expression" dxfId="7" priority="37">
      <formula>J217="Overdraft"</formula>
    </cfRule>
    <cfRule type="expression" dxfId="6" priority="38">
      <formula>J217="Cash Credit"</formula>
    </cfRule>
  </conditionalFormatting>
  <dataValidations count="3">
    <dataValidation type="list" allowBlank="1" showErrorMessage="1" errorTitle="The value you entered is not valid." error="The value entered violates data validation rules set in cell" sqref="J25:J27 J48:J50 J71 J92 J113 J134 J155 J176 J197 J218" xr:uid="{00000000-0002-0000-1200-000000000000}">
      <formula1>"Current Account, Savings Account"</formula1>
    </dataValidation>
    <dataValidation type="list" allowBlank="1" showErrorMessage="1" errorTitle="The value you entered is not valid." error="The value entered violates data validation rules set in cell" sqref="H30:I41 H53:I64 H74:I85 H95:I106 H116:I127 H137:I148 H158:I169 H179:I190 H200:I211 H221:I232" xr:uid="{00000000-0002-0000-1200-000001000000}">
      <formula1>"Yes,No"</formula1>
    </dataValidation>
    <dataValidation type="list" allowBlank="1" showErrorMessage="1" errorTitle="The value you entered is not valid." error="The value entered violates data validation rules set in cell" sqref="G1" xr:uid="{00000000-0002-0000-1200-000002000000}">
      <formula1>"Absolute,Lacs"</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AMJ676"/>
  <sheetViews>
    <sheetView showGridLines="0" workbookViewId="0"/>
  </sheetViews>
  <sheetFormatPr defaultRowHeight="16.5" customHeight="1"/>
  <cols>
    <col min="1" max="1" width="2.28515625" style="27"/>
    <col min="2" max="2" width="3.140625" style="27"/>
    <col min="3" max="3" width="61.42578125" style="27"/>
    <col min="4" max="4" width="13.42578125" style="28"/>
    <col min="5" max="5" width="19.85546875" style="28"/>
    <col min="6" max="6" width="13.42578125" style="28"/>
    <col min="7" max="7" width="22.85546875" style="28"/>
    <col min="8" max="8" width="13.42578125"/>
    <col min="9" max="1024" width="13.42578125" style="27"/>
    <col min="1025" max="1025" width="11.42578125"/>
  </cols>
  <sheetData>
    <row r="1" spans="1:26" ht="15" customHeight="1">
      <c r="A1" s="29"/>
      <c r="B1" s="29"/>
      <c r="C1" s="29"/>
      <c r="D1" s="515" t="s">
        <v>23</v>
      </c>
      <c r="E1" s="515"/>
      <c r="F1" s="515" t="s">
        <v>24</v>
      </c>
      <c r="G1" s="515"/>
      <c r="H1" s="519" t="s">
        <v>25</v>
      </c>
      <c r="I1" s="519"/>
      <c r="J1" s="29" t="s">
        <v>26</v>
      </c>
      <c r="K1" s="29" t="s">
        <v>27</v>
      </c>
      <c r="L1" s="30" t="s">
        <v>28</v>
      </c>
      <c r="M1" s="29"/>
      <c r="N1" s="29"/>
      <c r="O1" s="29"/>
      <c r="P1" s="29"/>
      <c r="Q1" s="29"/>
      <c r="R1" s="29"/>
      <c r="S1" s="29"/>
      <c r="T1" s="29"/>
      <c r="U1" s="29"/>
      <c r="V1" s="29"/>
      <c r="W1" s="29"/>
      <c r="X1" s="29"/>
      <c r="Y1" s="29"/>
      <c r="Z1" s="29"/>
    </row>
    <row r="2" spans="1:26" ht="15" customHeight="1">
      <c r="A2" s="29"/>
      <c r="B2" s="31" t="s">
        <v>29</v>
      </c>
      <c r="C2" s="32"/>
      <c r="D2" s="522">
        <f>E5</f>
        <v>87.61904761904762</v>
      </c>
      <c r="E2" s="523"/>
      <c r="F2" s="522">
        <f>G5</f>
        <v>73.333333333333329</v>
      </c>
      <c r="G2" s="524"/>
      <c r="H2" s="522">
        <f>F2-D2</f>
        <v>-14.285714285714292</v>
      </c>
      <c r="I2" s="524"/>
      <c r="J2" s="29" t="s">
        <v>30</v>
      </c>
      <c r="K2" s="29">
        <v>100</v>
      </c>
      <c r="L2" s="30">
        <f>IF(H2&lt;-10,K5,IF(H2&lt;0,K4,IF(H2&lt;10,K3,K2)))</f>
        <v>0</v>
      </c>
      <c r="M2" s="29"/>
      <c r="N2" s="29"/>
      <c r="O2" s="29"/>
      <c r="P2" s="29"/>
      <c r="Q2" s="29"/>
      <c r="R2" s="29"/>
      <c r="S2" s="29"/>
      <c r="T2" s="29"/>
      <c r="U2" s="29"/>
      <c r="V2" s="29"/>
      <c r="W2" s="29"/>
      <c r="X2" s="29"/>
      <c r="Y2" s="29"/>
      <c r="Z2" s="29"/>
    </row>
    <row r="3" spans="1:26" ht="15">
      <c r="A3" s="29"/>
      <c r="B3" s="29"/>
      <c r="C3" s="29"/>
      <c r="D3" s="33"/>
      <c r="E3" s="33"/>
      <c r="F3" s="33"/>
      <c r="G3" s="33"/>
      <c r="I3" s="29"/>
      <c r="J3" s="29" t="s">
        <v>31</v>
      </c>
      <c r="K3" s="29">
        <v>70</v>
      </c>
      <c r="L3" s="29"/>
      <c r="M3" s="29"/>
      <c r="N3" s="29"/>
      <c r="O3" s="29"/>
      <c r="P3" s="29"/>
      <c r="Q3" s="29"/>
      <c r="R3" s="29"/>
      <c r="S3" s="29"/>
      <c r="T3" s="29"/>
      <c r="U3" s="29"/>
      <c r="V3" s="29"/>
      <c r="W3" s="29"/>
      <c r="X3" s="29"/>
      <c r="Y3" s="29"/>
      <c r="Z3" s="29"/>
    </row>
    <row r="4" spans="1:26" ht="15.75" customHeight="1">
      <c r="A4" s="29"/>
      <c r="B4" s="34" t="s">
        <v>32</v>
      </c>
      <c r="C4" s="32"/>
      <c r="D4" s="35" t="s">
        <v>33</v>
      </c>
      <c r="E4" s="35" t="s">
        <v>34</v>
      </c>
      <c r="F4" s="35" t="s">
        <v>35</v>
      </c>
      <c r="G4" s="35" t="s">
        <v>36</v>
      </c>
      <c r="I4" s="29"/>
      <c r="J4" s="29" t="s">
        <v>37</v>
      </c>
      <c r="K4" s="29">
        <v>50</v>
      </c>
      <c r="L4" s="29"/>
      <c r="M4" s="29"/>
      <c r="N4" s="29"/>
      <c r="O4" s="29"/>
      <c r="P4" s="29"/>
      <c r="Q4" s="29"/>
      <c r="R4" s="29"/>
      <c r="S4" s="29"/>
      <c r="T4" s="29"/>
      <c r="U4" s="29"/>
      <c r="V4" s="29"/>
      <c r="W4" s="29"/>
      <c r="X4" s="29"/>
      <c r="Y4" s="29"/>
      <c r="Z4" s="29"/>
    </row>
    <row r="5" spans="1:26" ht="15">
      <c r="A5" s="29"/>
      <c r="B5" s="36" t="s">
        <v>38</v>
      </c>
      <c r="C5" s="36" t="s">
        <v>39</v>
      </c>
      <c r="D5" s="37">
        <v>1</v>
      </c>
      <c r="E5" s="38">
        <f>SUM(E9,E22,E44,E63)</f>
        <v>87.61904761904762</v>
      </c>
      <c r="F5" s="37">
        <v>1</v>
      </c>
      <c r="G5" s="38">
        <f>SUM(G9,G22,G44,G63)</f>
        <v>73.333333333333329</v>
      </c>
      <c r="I5" s="29"/>
      <c r="J5" s="29" t="s">
        <v>40</v>
      </c>
      <c r="K5" s="29">
        <v>0</v>
      </c>
      <c r="L5" s="29"/>
      <c r="M5" s="29"/>
      <c r="N5" s="29"/>
      <c r="O5" s="29"/>
      <c r="P5" s="29"/>
      <c r="Q5" s="29"/>
      <c r="R5" s="29"/>
      <c r="S5" s="29"/>
      <c r="T5" s="29"/>
      <c r="U5" s="29"/>
      <c r="V5" s="29"/>
      <c r="W5" s="29"/>
      <c r="X5" s="29"/>
      <c r="Y5" s="29"/>
      <c r="Z5" s="29"/>
    </row>
    <row r="6" spans="1:26" ht="15">
      <c r="A6" s="29"/>
      <c r="B6" s="39"/>
      <c r="C6" s="39"/>
      <c r="D6" s="40"/>
      <c r="E6" s="40"/>
      <c r="F6" s="40"/>
      <c r="G6" s="40"/>
      <c r="I6" s="29"/>
      <c r="J6" s="29"/>
      <c r="K6" s="29"/>
      <c r="L6" s="29"/>
      <c r="M6" s="29"/>
      <c r="N6" s="29"/>
      <c r="O6" s="29"/>
      <c r="P6" s="29"/>
      <c r="Q6" s="29"/>
      <c r="R6" s="29"/>
      <c r="S6" s="29"/>
      <c r="T6" s="29"/>
      <c r="U6" s="29"/>
      <c r="V6" s="29"/>
      <c r="W6" s="29"/>
      <c r="X6" s="29"/>
      <c r="Y6" s="29"/>
      <c r="Z6" s="29"/>
    </row>
    <row r="7" spans="1:26" ht="15">
      <c r="A7" s="29"/>
      <c r="B7" s="41"/>
      <c r="C7" s="42" t="s">
        <v>41</v>
      </c>
      <c r="D7" s="43" t="s">
        <v>42</v>
      </c>
      <c r="E7" s="43" t="s">
        <v>43</v>
      </c>
      <c r="F7" s="43" t="s">
        <v>44</v>
      </c>
      <c r="G7" s="43" t="s">
        <v>45</v>
      </c>
      <c r="I7" s="29"/>
      <c r="J7" s="29"/>
      <c r="K7" s="29"/>
      <c r="L7" s="29"/>
      <c r="M7" s="29"/>
      <c r="N7" s="29"/>
      <c r="O7" s="29"/>
      <c r="P7" s="29"/>
      <c r="Q7" s="29"/>
      <c r="R7" s="29"/>
      <c r="S7" s="29"/>
      <c r="T7" s="29"/>
      <c r="U7" s="29"/>
      <c r="V7" s="29"/>
      <c r="W7" s="29"/>
      <c r="X7" s="29"/>
      <c r="Y7" s="29"/>
      <c r="Z7" s="29"/>
    </row>
    <row r="8" spans="1:26" ht="15">
      <c r="A8" s="29"/>
      <c r="B8" s="44" t="s">
        <v>46</v>
      </c>
      <c r="C8" s="45" t="s">
        <v>47</v>
      </c>
      <c r="D8" s="46"/>
      <c r="E8" s="46"/>
      <c r="F8" s="47"/>
      <c r="G8" s="48"/>
      <c r="I8" s="29"/>
      <c r="J8" s="29"/>
      <c r="K8" s="29"/>
      <c r="L8" s="29"/>
      <c r="M8" s="29"/>
      <c r="N8" s="29"/>
      <c r="O8" s="29"/>
      <c r="P8" s="29"/>
      <c r="Q8" s="29"/>
      <c r="R8" s="29"/>
      <c r="S8" s="29"/>
      <c r="T8" s="29"/>
      <c r="U8" s="29"/>
      <c r="V8" s="29"/>
      <c r="W8" s="29"/>
      <c r="X8" s="29"/>
      <c r="Y8" s="29"/>
      <c r="Z8" s="29"/>
    </row>
    <row r="9" spans="1:26" ht="15">
      <c r="A9" s="29"/>
      <c r="B9" s="42" t="s">
        <v>48</v>
      </c>
      <c r="C9" s="49" t="s">
        <v>49</v>
      </c>
      <c r="D9" s="50"/>
      <c r="E9" s="51">
        <f>SUM(E10,E13,E16,E19)*30/4</f>
        <v>30</v>
      </c>
      <c r="F9" s="52"/>
      <c r="G9" s="51">
        <f>SUM(G10,G13,G16,G19)*30/4</f>
        <v>30</v>
      </c>
      <c r="H9" s="520">
        <f>G9-E9</f>
        <v>0</v>
      </c>
      <c r="I9" s="521"/>
      <c r="J9" s="29"/>
      <c r="K9" s="29"/>
      <c r="L9" s="29"/>
      <c r="M9" s="29"/>
      <c r="N9" s="29"/>
      <c r="O9" s="29"/>
      <c r="P9" s="29"/>
      <c r="Q9" s="29"/>
      <c r="R9" s="29"/>
      <c r="S9" s="29"/>
      <c r="T9" s="29"/>
      <c r="U9" s="29"/>
      <c r="V9" s="29"/>
      <c r="W9" s="29"/>
      <c r="X9" s="29"/>
      <c r="Y9" s="29"/>
      <c r="Z9" s="29"/>
    </row>
    <row r="10" spans="1:26" ht="15">
      <c r="A10" s="29"/>
      <c r="B10" s="42" t="s">
        <v>50</v>
      </c>
      <c r="C10" s="42" t="s">
        <v>51</v>
      </c>
      <c r="D10" s="53"/>
      <c r="E10" s="43">
        <f>IF('Consolidated Financials'!H23-'Consolidated Financials'!G23&gt;0,1,0)</f>
        <v>1</v>
      </c>
      <c r="F10" s="53"/>
      <c r="G10" s="43">
        <f>IF('Consolidated Financials'!I23-'Consolidated Financials'!H23&gt;0,1,0)</f>
        <v>1</v>
      </c>
      <c r="I10" s="29"/>
      <c r="J10" s="29"/>
      <c r="K10" s="29"/>
      <c r="L10" s="29"/>
      <c r="M10" s="29"/>
      <c r="N10" s="29"/>
      <c r="O10" s="29"/>
      <c r="P10" s="29"/>
      <c r="Q10" s="29"/>
      <c r="R10" s="29"/>
      <c r="S10" s="29"/>
      <c r="T10" s="29"/>
      <c r="U10" s="29"/>
      <c r="V10" s="29"/>
      <c r="W10" s="29"/>
      <c r="X10" s="29"/>
      <c r="Y10" s="29"/>
      <c r="Z10" s="29"/>
    </row>
    <row r="11" spans="1:26" ht="15">
      <c r="A11" s="29"/>
      <c r="B11" s="41"/>
      <c r="C11" s="41" t="s">
        <v>52</v>
      </c>
      <c r="D11" s="53">
        <v>1</v>
      </c>
      <c r="E11" s="54"/>
      <c r="F11" s="53">
        <v>1</v>
      </c>
      <c r="G11" s="54"/>
      <c r="I11" s="29"/>
      <c r="J11" s="29"/>
      <c r="K11" s="29"/>
      <c r="L11" s="29"/>
      <c r="M11" s="29"/>
      <c r="N11" s="29"/>
      <c r="O11" s="29"/>
      <c r="P11" s="29"/>
      <c r="Q11" s="29"/>
      <c r="R11" s="29"/>
      <c r="S11" s="29"/>
      <c r="T11" s="29"/>
      <c r="U11" s="29"/>
      <c r="V11" s="29"/>
      <c r="W11" s="29"/>
      <c r="X11" s="29"/>
      <c r="Y11" s="29"/>
      <c r="Z11" s="29"/>
    </row>
    <row r="12" spans="1:26" ht="15">
      <c r="A12" s="29"/>
      <c r="B12" s="41"/>
      <c r="C12" s="41" t="s">
        <v>53</v>
      </c>
      <c r="D12" s="53">
        <v>0</v>
      </c>
      <c r="E12" s="55"/>
      <c r="F12" s="53">
        <v>0</v>
      </c>
      <c r="G12" s="55"/>
      <c r="I12" s="29"/>
      <c r="J12" s="29"/>
      <c r="K12" s="29"/>
      <c r="L12" s="29"/>
      <c r="M12" s="29"/>
      <c r="N12" s="29"/>
      <c r="O12" s="29"/>
      <c r="P12" s="29"/>
      <c r="Q12" s="29"/>
      <c r="R12" s="29"/>
      <c r="S12" s="29"/>
      <c r="T12" s="29"/>
      <c r="U12" s="29"/>
      <c r="V12" s="29"/>
      <c r="W12" s="29"/>
      <c r="X12" s="29"/>
      <c r="Y12" s="29"/>
      <c r="Z12" s="29"/>
    </row>
    <row r="13" spans="1:26" ht="15">
      <c r="A13" s="29"/>
      <c r="B13" s="42" t="s">
        <v>54</v>
      </c>
      <c r="C13" s="42" t="s">
        <v>55</v>
      </c>
      <c r="D13" s="53"/>
      <c r="E13" s="43">
        <f>IF('Consolidated Financials'!H43-'Consolidated Financials'!G43&gt;0,1,0)</f>
        <v>1</v>
      </c>
      <c r="F13" s="53"/>
      <c r="G13" s="43">
        <f>IF('Consolidated Financials'!I43-'Consolidated Financials'!H43&gt;0,1,0)</f>
        <v>1</v>
      </c>
      <c r="I13" s="29"/>
      <c r="J13" s="29"/>
      <c r="K13" s="29"/>
      <c r="L13" s="29"/>
      <c r="M13" s="29"/>
      <c r="N13" s="29"/>
      <c r="O13" s="29"/>
      <c r="P13" s="29"/>
      <c r="Q13" s="29"/>
      <c r="R13" s="29"/>
      <c r="S13" s="29"/>
      <c r="T13" s="29"/>
      <c r="U13" s="29"/>
      <c r="V13" s="29"/>
      <c r="W13" s="29"/>
      <c r="X13" s="29"/>
      <c r="Y13" s="29"/>
      <c r="Z13" s="29"/>
    </row>
    <row r="14" spans="1:26" ht="15">
      <c r="A14" s="29"/>
      <c r="B14" s="41"/>
      <c r="C14" s="41" t="s">
        <v>56</v>
      </c>
      <c r="D14" s="53">
        <v>1</v>
      </c>
      <c r="E14" s="516"/>
      <c r="F14" s="53">
        <v>1</v>
      </c>
      <c r="G14" s="54"/>
      <c r="I14" s="29"/>
      <c r="J14" s="29"/>
      <c r="K14" s="29"/>
      <c r="L14" s="29"/>
      <c r="M14" s="29"/>
      <c r="N14" s="29"/>
      <c r="O14" s="29"/>
      <c r="P14" s="29"/>
      <c r="Q14" s="29"/>
      <c r="R14" s="29"/>
      <c r="S14" s="29"/>
      <c r="T14" s="29"/>
      <c r="U14" s="29"/>
      <c r="V14" s="29"/>
      <c r="W14" s="29"/>
      <c r="X14" s="29"/>
      <c r="Y14" s="29"/>
      <c r="Z14" s="29"/>
    </row>
    <row r="15" spans="1:26" ht="15">
      <c r="A15" s="29"/>
      <c r="B15" s="41"/>
      <c r="C15" s="41" t="s">
        <v>57</v>
      </c>
      <c r="D15" s="53">
        <v>0</v>
      </c>
      <c r="E15" s="518"/>
      <c r="F15" s="53">
        <v>0</v>
      </c>
      <c r="G15" s="55"/>
      <c r="I15" s="29"/>
      <c r="J15" s="29"/>
      <c r="K15" s="29"/>
      <c r="L15" s="29"/>
      <c r="M15" s="29"/>
      <c r="N15" s="29"/>
      <c r="O15" s="29"/>
      <c r="P15" s="29"/>
      <c r="Q15" s="29"/>
      <c r="R15" s="29"/>
      <c r="S15" s="29"/>
      <c r="T15" s="29"/>
      <c r="U15" s="29"/>
      <c r="V15" s="29"/>
      <c r="W15" s="29"/>
      <c r="X15" s="29"/>
      <c r="Y15" s="29"/>
      <c r="Z15" s="29"/>
    </row>
    <row r="16" spans="1:26" ht="15">
      <c r="A16" s="29"/>
      <c r="B16" s="42" t="s">
        <v>58</v>
      </c>
      <c r="C16" s="42" t="s">
        <v>59</v>
      </c>
      <c r="D16" s="53"/>
      <c r="E16" s="43">
        <f>IF('Consolidated Financials'!H55-'Consolidated Financials'!G55&gt;0,1,0)</f>
        <v>1</v>
      </c>
      <c r="F16" s="53"/>
      <c r="G16" s="43">
        <f>IF('Consolidated Financials'!I55-'Consolidated Financials'!H55&gt;0,1,0)</f>
        <v>1</v>
      </c>
      <c r="I16" s="29"/>
      <c r="J16" s="29"/>
      <c r="K16" s="29"/>
      <c r="L16" s="29"/>
      <c r="M16" s="29"/>
      <c r="N16" s="29"/>
      <c r="O16" s="29"/>
      <c r="P16" s="29"/>
      <c r="Q16" s="29"/>
      <c r="R16" s="29"/>
      <c r="S16" s="29"/>
      <c r="T16" s="29"/>
      <c r="U16" s="29"/>
      <c r="V16" s="29"/>
      <c r="W16" s="29"/>
      <c r="X16" s="29"/>
      <c r="Y16" s="29"/>
      <c r="Z16" s="29"/>
    </row>
    <row r="17" spans="1:26" ht="15">
      <c r="A17" s="29"/>
      <c r="B17" s="41"/>
      <c r="C17" s="41" t="s">
        <v>60</v>
      </c>
      <c r="D17" s="53">
        <v>1</v>
      </c>
      <c r="E17" s="516"/>
      <c r="F17" s="53">
        <v>1</v>
      </c>
      <c r="G17" s="54"/>
      <c r="I17" s="29"/>
      <c r="J17" s="29"/>
      <c r="K17" s="29"/>
      <c r="L17" s="29"/>
      <c r="M17" s="29"/>
      <c r="N17" s="29"/>
      <c r="O17" s="29"/>
      <c r="P17" s="29"/>
      <c r="Q17" s="29"/>
      <c r="R17" s="29"/>
      <c r="S17" s="29"/>
      <c r="T17" s="29"/>
      <c r="U17" s="29"/>
      <c r="V17" s="29"/>
      <c r="W17" s="29"/>
      <c r="X17" s="29"/>
      <c r="Y17" s="29"/>
      <c r="Z17" s="29"/>
    </row>
    <row r="18" spans="1:26" ht="15">
      <c r="A18" s="29"/>
      <c r="B18" s="41"/>
      <c r="C18" s="41" t="s">
        <v>61</v>
      </c>
      <c r="D18" s="53">
        <v>0</v>
      </c>
      <c r="E18" s="518"/>
      <c r="F18" s="53">
        <v>0</v>
      </c>
      <c r="G18" s="55"/>
      <c r="I18" s="29"/>
      <c r="J18" s="29"/>
      <c r="K18" s="29"/>
      <c r="L18" s="29"/>
      <c r="M18" s="29"/>
      <c r="N18" s="29"/>
      <c r="O18" s="29"/>
      <c r="P18" s="29"/>
      <c r="Q18" s="29"/>
      <c r="R18" s="29"/>
      <c r="S18" s="29"/>
      <c r="T18" s="29"/>
      <c r="U18" s="29"/>
      <c r="V18" s="29"/>
      <c r="W18" s="29"/>
      <c r="X18" s="29"/>
      <c r="Y18" s="29"/>
      <c r="Z18" s="29"/>
    </row>
    <row r="19" spans="1:26" ht="15">
      <c r="A19" s="29"/>
      <c r="B19" s="42" t="s">
        <v>62</v>
      </c>
      <c r="C19" s="42" t="s">
        <v>63</v>
      </c>
      <c r="D19" s="53"/>
      <c r="E19" s="43">
        <f>IF('Consolidated Financials'!H95-'Consolidated Financials'!G95&gt;0,1,0)</f>
        <v>1</v>
      </c>
      <c r="F19" s="53"/>
      <c r="G19" s="43">
        <f>IF('Consolidated Financials'!I95-'Consolidated Financials'!H95&gt;0,1,0)</f>
        <v>1</v>
      </c>
      <c r="I19" s="29"/>
      <c r="J19" s="29"/>
      <c r="K19" s="29"/>
      <c r="L19" s="29"/>
      <c r="M19" s="29"/>
      <c r="N19" s="29"/>
      <c r="O19" s="29"/>
      <c r="P19" s="29"/>
      <c r="Q19" s="29"/>
      <c r="R19" s="29"/>
      <c r="S19" s="29"/>
      <c r="T19" s="29"/>
      <c r="U19" s="29"/>
      <c r="V19" s="29"/>
      <c r="W19" s="29"/>
      <c r="X19" s="29"/>
      <c r="Y19" s="29"/>
      <c r="Z19" s="29"/>
    </row>
    <row r="20" spans="1:26" ht="15">
      <c r="A20" s="29"/>
      <c r="B20" s="41"/>
      <c r="C20" s="41" t="s">
        <v>64</v>
      </c>
      <c r="D20" s="53">
        <v>1</v>
      </c>
      <c r="E20" s="516"/>
      <c r="F20" s="53">
        <v>1</v>
      </c>
      <c r="G20" s="54"/>
      <c r="I20" s="29"/>
      <c r="J20" s="29"/>
      <c r="K20" s="29"/>
      <c r="L20" s="29"/>
      <c r="M20" s="29"/>
      <c r="N20" s="29"/>
      <c r="O20" s="29"/>
      <c r="P20" s="29"/>
      <c r="Q20" s="29"/>
      <c r="R20" s="29"/>
      <c r="S20" s="29"/>
      <c r="T20" s="29"/>
      <c r="U20" s="29"/>
      <c r="V20" s="29"/>
      <c r="W20" s="29"/>
      <c r="X20" s="29"/>
      <c r="Y20" s="29"/>
      <c r="Z20" s="29"/>
    </row>
    <row r="21" spans="1:26" ht="15">
      <c r="A21" s="29"/>
      <c r="B21" s="41"/>
      <c r="C21" s="41" t="s">
        <v>65</v>
      </c>
      <c r="D21" s="53">
        <v>0</v>
      </c>
      <c r="E21" s="518"/>
      <c r="F21" s="53">
        <v>0</v>
      </c>
      <c r="G21" s="55"/>
      <c r="I21" s="29"/>
      <c r="J21" s="29"/>
      <c r="K21" s="29"/>
      <c r="L21" s="29"/>
      <c r="M21" s="29"/>
      <c r="N21" s="29"/>
      <c r="O21" s="29"/>
      <c r="P21" s="29"/>
      <c r="Q21" s="29"/>
      <c r="R21" s="29"/>
      <c r="S21" s="29"/>
      <c r="T21" s="29"/>
      <c r="U21" s="29"/>
      <c r="V21" s="29"/>
      <c r="W21" s="29"/>
      <c r="X21" s="29"/>
      <c r="Y21" s="29"/>
      <c r="Z21" s="29"/>
    </row>
    <row r="22" spans="1:26" ht="15">
      <c r="A22" s="29"/>
      <c r="B22" s="42" t="s">
        <v>66</v>
      </c>
      <c r="C22" s="49" t="s">
        <v>67</v>
      </c>
      <c r="D22" s="50"/>
      <c r="E22" s="51">
        <f>SUM(E23,E26,E29,E32,E35,E38,E41)*10/7</f>
        <v>8.5714285714285712</v>
      </c>
      <c r="F22" s="52"/>
      <c r="G22" s="51">
        <f>SUM(G23,G26,G29,G32,G35,G38,G41)*10/7</f>
        <v>10</v>
      </c>
      <c r="H22" s="520">
        <f>G22-E22</f>
        <v>1.4285714285714288</v>
      </c>
      <c r="I22" s="521"/>
      <c r="J22" s="29"/>
      <c r="K22" s="29"/>
      <c r="L22" s="29"/>
      <c r="M22" s="29"/>
      <c r="N22" s="29"/>
      <c r="O22" s="29"/>
      <c r="P22" s="29"/>
      <c r="Q22" s="29"/>
      <c r="R22" s="29"/>
      <c r="S22" s="29"/>
      <c r="T22" s="29"/>
      <c r="U22" s="29"/>
      <c r="V22" s="29"/>
      <c r="W22" s="29"/>
      <c r="X22" s="29"/>
      <c r="Y22" s="29"/>
      <c r="Z22" s="29"/>
    </row>
    <row r="23" spans="1:26" ht="15">
      <c r="A23" s="29"/>
      <c r="B23" s="42" t="s">
        <v>68</v>
      </c>
      <c r="C23" s="42" t="s">
        <v>69</v>
      </c>
      <c r="D23" s="53"/>
      <c r="E23" s="43">
        <f>IF('Consolidated Financials'!H121-'Consolidated Financials'!G121&gt;0,1,0)</f>
        <v>1</v>
      </c>
      <c r="F23" s="53"/>
      <c r="G23" s="43">
        <f>IF('Consolidated Financials'!I121-'Consolidated Financials'!H121&gt;0,1,0)</f>
        <v>1</v>
      </c>
      <c r="I23" s="29"/>
      <c r="J23" s="29"/>
      <c r="K23" s="29"/>
      <c r="L23" s="29"/>
      <c r="M23" s="29"/>
      <c r="N23" s="29"/>
      <c r="O23" s="29"/>
      <c r="P23" s="29"/>
      <c r="Q23" s="29"/>
      <c r="R23" s="29"/>
      <c r="S23" s="29"/>
      <c r="T23" s="29"/>
      <c r="U23" s="29"/>
      <c r="V23" s="29"/>
      <c r="W23" s="29"/>
      <c r="X23" s="29"/>
      <c r="Y23" s="29"/>
      <c r="Z23" s="29"/>
    </row>
    <row r="24" spans="1:26" ht="15">
      <c r="A24" s="29"/>
      <c r="B24" s="41"/>
      <c r="C24" s="41" t="s">
        <v>70</v>
      </c>
      <c r="D24" s="53">
        <v>1</v>
      </c>
      <c r="E24" s="516"/>
      <c r="F24" s="53">
        <v>1</v>
      </c>
      <c r="G24" s="54"/>
      <c r="I24" s="29"/>
      <c r="J24" s="29"/>
      <c r="K24" s="29"/>
      <c r="L24" s="29"/>
      <c r="M24" s="29"/>
      <c r="N24" s="29"/>
      <c r="O24" s="29"/>
      <c r="P24" s="29"/>
      <c r="Q24" s="29"/>
      <c r="R24" s="29"/>
      <c r="S24" s="29"/>
      <c r="T24" s="29"/>
      <c r="U24" s="29"/>
      <c r="V24" s="29"/>
      <c r="W24" s="29"/>
      <c r="X24" s="29"/>
      <c r="Y24" s="29"/>
      <c r="Z24" s="29"/>
    </row>
    <row r="25" spans="1:26" ht="15">
      <c r="A25" s="29"/>
      <c r="B25" s="41"/>
      <c r="C25" s="41" t="s">
        <v>71</v>
      </c>
      <c r="D25" s="53">
        <v>0</v>
      </c>
      <c r="E25" s="518"/>
      <c r="F25" s="53">
        <v>0</v>
      </c>
      <c r="G25" s="55"/>
      <c r="I25" s="29"/>
      <c r="J25" s="29"/>
      <c r="K25" s="29"/>
      <c r="L25" s="29"/>
      <c r="M25" s="29"/>
      <c r="N25" s="29"/>
      <c r="O25" s="29"/>
      <c r="P25" s="29"/>
      <c r="Q25" s="29"/>
      <c r="R25" s="29"/>
      <c r="S25" s="29"/>
      <c r="T25" s="29"/>
      <c r="U25" s="29"/>
      <c r="V25" s="29"/>
      <c r="W25" s="29"/>
      <c r="X25" s="29"/>
      <c r="Y25" s="29"/>
      <c r="Z25" s="29"/>
    </row>
    <row r="26" spans="1:26" ht="15">
      <c r="A26" s="29"/>
      <c r="B26" s="42" t="s">
        <v>72</v>
      </c>
      <c r="C26" s="42" t="s">
        <v>73</v>
      </c>
      <c r="D26" s="53"/>
      <c r="E26" s="43">
        <f>IF('Consolidated Financials'!H141-'Consolidated Financials'!G141&gt;0,1,0)</f>
        <v>1</v>
      </c>
      <c r="F26" s="53"/>
      <c r="G26" s="43">
        <f>IF('Consolidated Financials'!I141-'Consolidated Financials'!H141&gt;0,1,0)</f>
        <v>1</v>
      </c>
      <c r="I26" s="29"/>
      <c r="J26" s="29"/>
      <c r="K26" s="29"/>
      <c r="L26" s="29"/>
      <c r="M26" s="29"/>
      <c r="N26" s="29"/>
      <c r="O26" s="29"/>
      <c r="P26" s="29"/>
      <c r="Q26" s="29"/>
      <c r="R26" s="29"/>
      <c r="S26" s="29"/>
      <c r="T26" s="29"/>
      <c r="U26" s="29"/>
      <c r="V26" s="29"/>
      <c r="W26" s="29"/>
      <c r="X26" s="29"/>
      <c r="Y26" s="29"/>
      <c r="Z26" s="29"/>
    </row>
    <row r="27" spans="1:26" ht="15">
      <c r="A27" s="29"/>
      <c r="B27" s="41"/>
      <c r="C27" s="41" t="s">
        <v>74</v>
      </c>
      <c r="D27" s="53">
        <v>1</v>
      </c>
      <c r="E27" s="516"/>
      <c r="F27" s="53">
        <v>1</v>
      </c>
      <c r="G27" s="54"/>
      <c r="I27" s="29"/>
      <c r="J27" s="29"/>
      <c r="K27" s="29"/>
      <c r="L27" s="29"/>
      <c r="M27" s="29"/>
      <c r="N27" s="29"/>
      <c r="O27" s="29"/>
      <c r="P27" s="29"/>
      <c r="Q27" s="29"/>
      <c r="R27" s="29"/>
      <c r="S27" s="29"/>
      <c r="T27" s="29"/>
      <c r="U27" s="29"/>
      <c r="V27" s="29"/>
      <c r="W27" s="29"/>
      <c r="X27" s="29"/>
      <c r="Y27" s="29"/>
      <c r="Z27" s="29"/>
    </row>
    <row r="28" spans="1:26" ht="15">
      <c r="A28" s="29"/>
      <c r="B28" s="41"/>
      <c r="C28" s="41" t="s">
        <v>75</v>
      </c>
      <c r="D28" s="53">
        <v>0</v>
      </c>
      <c r="E28" s="518"/>
      <c r="F28" s="53">
        <v>0</v>
      </c>
      <c r="G28" s="55"/>
      <c r="I28" s="29"/>
      <c r="J28" s="29"/>
      <c r="K28" s="29"/>
      <c r="L28" s="29"/>
      <c r="M28" s="29"/>
      <c r="N28" s="29"/>
      <c r="O28" s="29"/>
      <c r="P28" s="29"/>
      <c r="Q28" s="29"/>
      <c r="R28" s="29"/>
      <c r="S28" s="29"/>
      <c r="T28" s="29"/>
      <c r="U28" s="29"/>
      <c r="V28" s="29"/>
      <c r="W28" s="29"/>
      <c r="X28" s="29"/>
      <c r="Y28" s="29"/>
      <c r="Z28" s="29"/>
    </row>
    <row r="29" spans="1:26" ht="15">
      <c r="A29" s="29"/>
      <c r="B29" s="42" t="s">
        <v>76</v>
      </c>
      <c r="C29" s="42" t="s">
        <v>77</v>
      </c>
      <c r="D29" s="53"/>
      <c r="E29" s="43">
        <f>IF('Consolidated Financials'!H162-'Consolidated Financials'!G162&gt;0,1,0)</f>
        <v>1</v>
      </c>
      <c r="F29" s="53"/>
      <c r="G29" s="43">
        <f>IF('Consolidated Financials'!I162-'Consolidated Financials'!H162&gt;0,1,0)</f>
        <v>1</v>
      </c>
      <c r="I29" s="29"/>
      <c r="J29" s="29"/>
      <c r="K29" s="29"/>
      <c r="L29" s="29"/>
      <c r="M29" s="29"/>
      <c r="N29" s="29"/>
      <c r="O29" s="29"/>
      <c r="P29" s="29"/>
      <c r="Q29" s="29"/>
      <c r="R29" s="29"/>
      <c r="S29" s="29"/>
      <c r="T29" s="29"/>
      <c r="U29" s="29"/>
      <c r="V29" s="29"/>
      <c r="W29" s="29"/>
      <c r="X29" s="29"/>
      <c r="Y29" s="29"/>
      <c r="Z29" s="29"/>
    </row>
    <row r="30" spans="1:26" ht="15">
      <c r="A30" s="29"/>
      <c r="B30" s="41"/>
      <c r="C30" s="41" t="s">
        <v>78</v>
      </c>
      <c r="D30" s="53">
        <v>1</v>
      </c>
      <c r="E30" s="516"/>
      <c r="F30" s="53">
        <v>1</v>
      </c>
      <c r="G30" s="54"/>
      <c r="I30" s="29"/>
      <c r="J30" s="29"/>
      <c r="K30" s="29"/>
      <c r="L30" s="29"/>
      <c r="M30" s="29"/>
      <c r="N30" s="29"/>
      <c r="O30" s="29"/>
      <c r="P30" s="29"/>
      <c r="Q30" s="29"/>
      <c r="R30" s="29"/>
      <c r="S30" s="29"/>
      <c r="T30" s="29"/>
      <c r="U30" s="29"/>
      <c r="V30" s="29"/>
      <c r="W30" s="29"/>
      <c r="X30" s="29"/>
      <c r="Y30" s="29"/>
      <c r="Z30" s="29"/>
    </row>
    <row r="31" spans="1:26" ht="15">
      <c r="A31" s="29"/>
      <c r="B31" s="41"/>
      <c r="C31" s="41" t="s">
        <v>79</v>
      </c>
      <c r="D31" s="53">
        <v>0</v>
      </c>
      <c r="E31" s="518"/>
      <c r="F31" s="53">
        <v>0</v>
      </c>
      <c r="G31" s="55"/>
      <c r="I31" s="29"/>
      <c r="J31" s="29"/>
      <c r="K31" s="29"/>
      <c r="L31" s="29"/>
      <c r="M31" s="29"/>
      <c r="N31" s="29"/>
      <c r="O31" s="29"/>
      <c r="P31" s="29"/>
      <c r="Q31" s="29"/>
      <c r="R31" s="29"/>
      <c r="S31" s="29"/>
      <c r="T31" s="29"/>
      <c r="U31" s="29"/>
      <c r="V31" s="29"/>
      <c r="W31" s="29"/>
      <c r="X31" s="29"/>
      <c r="Y31" s="29"/>
      <c r="Z31" s="29"/>
    </row>
    <row r="32" spans="1:26" ht="15">
      <c r="A32" s="29"/>
      <c r="B32" s="42" t="s">
        <v>80</v>
      </c>
      <c r="C32" s="42" t="s">
        <v>81</v>
      </c>
      <c r="D32" s="53"/>
      <c r="E32" s="43">
        <f>IF('Consolidated Financials'!H167-'Consolidated Financials'!G167&gt;0,1,0)</f>
        <v>1</v>
      </c>
      <c r="F32" s="53"/>
      <c r="G32" s="43">
        <f>IF('Consolidated Financials'!I167-'Consolidated Financials'!H167&gt;0,1,0)</f>
        <v>1</v>
      </c>
      <c r="I32" s="29"/>
      <c r="J32" s="29"/>
      <c r="K32" s="29"/>
      <c r="L32" s="29"/>
      <c r="M32" s="29"/>
      <c r="N32" s="29"/>
      <c r="O32" s="29"/>
      <c r="P32" s="29"/>
      <c r="Q32" s="29"/>
      <c r="R32" s="29"/>
      <c r="S32" s="29"/>
      <c r="T32" s="29"/>
      <c r="U32" s="29"/>
      <c r="V32" s="29"/>
      <c r="W32" s="29"/>
      <c r="X32" s="29"/>
      <c r="Y32" s="29"/>
      <c r="Z32" s="29"/>
    </row>
    <row r="33" spans="1:26" ht="15">
      <c r="A33" s="29"/>
      <c r="B33" s="41"/>
      <c r="C33" s="41" t="s">
        <v>82</v>
      </c>
      <c r="D33" s="53">
        <v>1</v>
      </c>
      <c r="E33" s="516"/>
      <c r="F33" s="53">
        <v>1</v>
      </c>
      <c r="G33" s="54"/>
      <c r="I33" s="29"/>
      <c r="J33" s="29"/>
      <c r="K33" s="29"/>
      <c r="L33" s="29"/>
      <c r="M33" s="29"/>
      <c r="N33" s="29"/>
      <c r="O33" s="29"/>
      <c r="P33" s="29"/>
      <c r="Q33" s="29"/>
      <c r="R33" s="29"/>
      <c r="S33" s="29"/>
      <c r="T33" s="29"/>
      <c r="U33" s="29"/>
      <c r="V33" s="29"/>
      <c r="W33" s="29"/>
      <c r="X33" s="29"/>
      <c r="Y33" s="29"/>
      <c r="Z33" s="29"/>
    </row>
    <row r="34" spans="1:26" ht="15">
      <c r="A34" s="29"/>
      <c r="B34" s="41"/>
      <c r="C34" s="41" t="s">
        <v>83</v>
      </c>
      <c r="D34" s="53">
        <v>0</v>
      </c>
      <c r="E34" s="518"/>
      <c r="F34" s="53">
        <v>0</v>
      </c>
      <c r="G34" s="55"/>
      <c r="I34" s="29"/>
      <c r="J34" s="29"/>
      <c r="K34" s="29"/>
      <c r="L34" s="29"/>
      <c r="M34" s="29"/>
      <c r="N34" s="29"/>
      <c r="O34" s="29"/>
      <c r="P34" s="29"/>
      <c r="Q34" s="29"/>
      <c r="R34" s="29"/>
      <c r="S34" s="29"/>
      <c r="T34" s="29"/>
      <c r="U34" s="29"/>
      <c r="V34" s="29"/>
      <c r="W34" s="29"/>
      <c r="X34" s="29"/>
      <c r="Y34" s="29"/>
      <c r="Z34" s="29"/>
    </row>
    <row r="35" spans="1:26" ht="15">
      <c r="A35" s="29"/>
      <c r="B35" s="42" t="s">
        <v>84</v>
      </c>
      <c r="C35" s="42" t="s">
        <v>85</v>
      </c>
      <c r="D35" s="53"/>
      <c r="E35" s="43">
        <f>IF('Consolidated Financials'!H203-'Consolidated Financials'!G203&gt;0,1,0)</f>
        <v>1</v>
      </c>
      <c r="F35" s="53"/>
      <c r="G35" s="43">
        <f>IF('Consolidated Financials'!I203-'Consolidated Financials'!H203&gt;0,1,0)</f>
        <v>1</v>
      </c>
      <c r="I35" s="29"/>
      <c r="J35" s="29"/>
      <c r="K35" s="29"/>
      <c r="L35" s="29"/>
      <c r="M35" s="29"/>
      <c r="N35" s="29"/>
      <c r="O35" s="29"/>
      <c r="P35" s="29"/>
      <c r="Q35" s="29"/>
      <c r="R35" s="29"/>
      <c r="S35" s="29"/>
      <c r="T35" s="29"/>
      <c r="U35" s="29"/>
      <c r="V35" s="29"/>
      <c r="W35" s="29"/>
      <c r="X35" s="29"/>
      <c r="Y35" s="29"/>
      <c r="Z35" s="29"/>
    </row>
    <row r="36" spans="1:26" ht="15">
      <c r="A36" s="29"/>
      <c r="B36" s="41"/>
      <c r="C36" s="41" t="s">
        <v>86</v>
      </c>
      <c r="D36" s="53">
        <v>1</v>
      </c>
      <c r="E36" s="516"/>
      <c r="F36" s="53">
        <v>1</v>
      </c>
      <c r="G36" s="54"/>
      <c r="I36" s="29"/>
      <c r="J36" s="29"/>
      <c r="K36" s="29"/>
      <c r="L36" s="29"/>
      <c r="M36" s="29"/>
      <c r="N36" s="29"/>
      <c r="O36" s="29"/>
      <c r="P36" s="29"/>
      <c r="Q36" s="29"/>
      <c r="R36" s="29"/>
      <c r="S36" s="29"/>
      <c r="T36" s="29"/>
      <c r="U36" s="29"/>
      <c r="V36" s="29"/>
      <c r="W36" s="29"/>
      <c r="X36" s="29"/>
      <c r="Y36" s="29"/>
      <c r="Z36" s="29"/>
    </row>
    <row r="37" spans="1:26" ht="15">
      <c r="A37" s="29"/>
      <c r="B37" s="41"/>
      <c r="C37" s="41" t="s">
        <v>87</v>
      </c>
      <c r="D37" s="53">
        <v>0</v>
      </c>
      <c r="E37" s="518"/>
      <c r="F37" s="53">
        <v>0</v>
      </c>
      <c r="G37" s="55"/>
      <c r="I37" s="29"/>
      <c r="J37" s="29"/>
      <c r="K37" s="29"/>
      <c r="L37" s="29"/>
      <c r="M37" s="29"/>
      <c r="N37" s="29"/>
      <c r="O37" s="29"/>
      <c r="P37" s="29"/>
      <c r="Q37" s="29"/>
      <c r="R37" s="29"/>
      <c r="S37" s="29"/>
      <c r="T37" s="29"/>
      <c r="U37" s="29"/>
      <c r="V37" s="29"/>
      <c r="W37" s="29"/>
      <c r="X37" s="29"/>
      <c r="Y37" s="29"/>
      <c r="Z37" s="29"/>
    </row>
    <row r="38" spans="1:26" ht="15">
      <c r="A38" s="29"/>
      <c r="B38" s="42" t="s">
        <v>88</v>
      </c>
      <c r="C38" s="42" t="s">
        <v>89</v>
      </c>
      <c r="D38" s="53"/>
      <c r="E38" s="43">
        <f>IF('Consolidated Financials'!H208-'Consolidated Financials'!G208&gt;0,1,0)</f>
        <v>0</v>
      </c>
      <c r="F38" s="53"/>
      <c r="G38" s="43">
        <f>IF('Consolidated Financials'!I208-'Consolidated Financials'!H208&gt;0,1,0)</f>
        <v>1</v>
      </c>
      <c r="I38" s="29"/>
      <c r="J38" s="29"/>
      <c r="K38" s="29"/>
      <c r="L38" s="29"/>
      <c r="M38" s="29"/>
      <c r="N38" s="29"/>
      <c r="O38" s="29"/>
      <c r="P38" s="29"/>
      <c r="Q38" s="29"/>
      <c r="R38" s="29"/>
      <c r="S38" s="29"/>
      <c r="T38" s="29"/>
      <c r="U38" s="29"/>
      <c r="V38" s="29"/>
      <c r="W38" s="29"/>
      <c r="X38" s="29"/>
      <c r="Y38" s="29"/>
      <c r="Z38" s="29"/>
    </row>
    <row r="39" spans="1:26" ht="15">
      <c r="A39" s="29"/>
      <c r="B39" s="41"/>
      <c r="C39" s="41" t="s">
        <v>90</v>
      </c>
      <c r="D39" s="53">
        <v>1</v>
      </c>
      <c r="E39" s="516"/>
      <c r="F39" s="53">
        <v>1</v>
      </c>
      <c r="G39" s="54"/>
      <c r="I39" s="29"/>
      <c r="J39" s="29"/>
      <c r="K39" s="29"/>
      <c r="L39" s="29"/>
      <c r="M39" s="29"/>
      <c r="N39" s="29"/>
      <c r="O39" s="29"/>
      <c r="P39" s="29"/>
      <c r="Q39" s="29"/>
      <c r="R39" s="29"/>
      <c r="S39" s="29"/>
      <c r="T39" s="29"/>
      <c r="U39" s="29"/>
      <c r="V39" s="29"/>
      <c r="W39" s="29"/>
      <c r="X39" s="29"/>
      <c r="Y39" s="29"/>
      <c r="Z39" s="29"/>
    </row>
    <row r="40" spans="1:26" ht="15">
      <c r="A40" s="29"/>
      <c r="B40" s="41"/>
      <c r="C40" s="41" t="s">
        <v>91</v>
      </c>
      <c r="D40" s="53">
        <v>0</v>
      </c>
      <c r="E40" s="518"/>
      <c r="F40" s="53">
        <v>0</v>
      </c>
      <c r="G40" s="55"/>
      <c r="I40" s="29"/>
      <c r="J40" s="29"/>
      <c r="K40" s="29"/>
      <c r="L40" s="29"/>
      <c r="M40" s="29"/>
      <c r="N40" s="29"/>
      <c r="O40" s="29"/>
      <c r="P40" s="29"/>
      <c r="Q40" s="29"/>
      <c r="R40" s="29"/>
      <c r="S40" s="29"/>
      <c r="T40" s="29"/>
      <c r="U40" s="29"/>
      <c r="V40" s="29"/>
      <c r="W40" s="29"/>
      <c r="X40" s="29"/>
      <c r="Y40" s="29"/>
      <c r="Z40" s="29"/>
    </row>
    <row r="41" spans="1:26" ht="15">
      <c r="A41" s="29"/>
      <c r="B41" s="42" t="s">
        <v>92</v>
      </c>
      <c r="C41" s="42" t="s">
        <v>93</v>
      </c>
      <c r="D41" s="53"/>
      <c r="E41" s="43">
        <f>IF('Consolidated Financials'!H213-'Consolidated Financials'!G213&gt;0,1,0)</f>
        <v>1</v>
      </c>
      <c r="F41" s="53"/>
      <c r="G41" s="43">
        <f>IF('Consolidated Financials'!I213-'Consolidated Financials'!H213&gt;0,1,0)</f>
        <v>1</v>
      </c>
      <c r="I41" s="29"/>
      <c r="J41" s="29"/>
      <c r="K41" s="29"/>
      <c r="L41" s="29"/>
      <c r="M41" s="29"/>
      <c r="N41" s="29"/>
      <c r="O41" s="29"/>
      <c r="P41" s="29"/>
      <c r="Q41" s="29"/>
      <c r="R41" s="29"/>
      <c r="S41" s="29"/>
      <c r="T41" s="29"/>
      <c r="U41" s="29"/>
      <c r="V41" s="29"/>
      <c r="W41" s="29"/>
      <c r="X41" s="29"/>
      <c r="Y41" s="29"/>
      <c r="Z41" s="29"/>
    </row>
    <row r="42" spans="1:26" ht="15">
      <c r="A42" s="29"/>
      <c r="B42" s="41"/>
      <c r="C42" s="41" t="s">
        <v>94</v>
      </c>
      <c r="D42" s="53">
        <v>1</v>
      </c>
      <c r="E42" s="516"/>
      <c r="F42" s="53">
        <v>1</v>
      </c>
      <c r="G42" s="54"/>
      <c r="I42" s="29"/>
      <c r="J42" s="29"/>
      <c r="K42" s="29"/>
      <c r="L42" s="29"/>
      <c r="M42" s="29"/>
      <c r="N42" s="29"/>
      <c r="O42" s="29"/>
      <c r="P42" s="29"/>
      <c r="Q42" s="29"/>
      <c r="R42" s="29"/>
      <c r="S42" s="29"/>
      <c r="T42" s="29"/>
      <c r="U42" s="29"/>
      <c r="V42" s="29"/>
      <c r="W42" s="29"/>
      <c r="X42" s="29"/>
      <c r="Y42" s="29"/>
      <c r="Z42" s="29"/>
    </row>
    <row r="43" spans="1:26" ht="15">
      <c r="A43" s="29"/>
      <c r="B43" s="41"/>
      <c r="C43" s="41" t="s">
        <v>95</v>
      </c>
      <c r="D43" s="53">
        <v>0</v>
      </c>
      <c r="E43" s="518"/>
      <c r="F43" s="53">
        <v>0</v>
      </c>
      <c r="G43" s="55"/>
      <c r="I43" s="29"/>
      <c r="J43" s="29"/>
      <c r="K43" s="29"/>
      <c r="L43" s="29"/>
      <c r="M43" s="29"/>
      <c r="N43" s="29"/>
      <c r="O43" s="29"/>
      <c r="P43" s="29"/>
      <c r="Q43" s="29"/>
      <c r="R43" s="29"/>
      <c r="S43" s="29"/>
      <c r="T43" s="29"/>
      <c r="U43" s="29"/>
      <c r="V43" s="29"/>
      <c r="W43" s="29"/>
      <c r="X43" s="29"/>
      <c r="Y43" s="29"/>
      <c r="Z43" s="29"/>
    </row>
    <row r="44" spans="1:26" ht="15">
      <c r="A44" s="29"/>
      <c r="B44" s="42" t="s">
        <v>96</v>
      </c>
      <c r="C44" s="49" t="s">
        <v>97</v>
      </c>
      <c r="D44" s="50"/>
      <c r="E44" s="51">
        <f>SUM(E45,E48,E51,E54,E57,E60)*20/6</f>
        <v>16.666666666666668</v>
      </c>
      <c r="F44" s="52"/>
      <c r="G44" s="51">
        <f>SUM(G45,G48,G51,G54,G57,G60)*20/6</f>
        <v>6.666666666666667</v>
      </c>
      <c r="H44" s="520">
        <f>G44-E44</f>
        <v>-10</v>
      </c>
      <c r="I44" s="521"/>
      <c r="J44" s="29"/>
      <c r="K44" s="29"/>
      <c r="L44" s="29"/>
      <c r="M44" s="29"/>
      <c r="N44" s="29"/>
      <c r="O44" s="29"/>
      <c r="P44" s="29"/>
      <c r="Q44" s="29"/>
      <c r="R44" s="29"/>
      <c r="S44" s="29"/>
      <c r="T44" s="29"/>
      <c r="U44" s="29"/>
      <c r="V44" s="29"/>
      <c r="W44" s="29"/>
      <c r="X44" s="29"/>
      <c r="Y44" s="29"/>
      <c r="Z44" s="29"/>
    </row>
    <row r="45" spans="1:26" ht="15">
      <c r="A45" s="29"/>
      <c r="B45" s="42" t="s">
        <v>98</v>
      </c>
      <c r="C45" s="42" t="s">
        <v>99</v>
      </c>
      <c r="D45" s="53"/>
      <c r="E45" s="43">
        <f>IF('Consolidated Financials'!H242-'Consolidated Financials'!G242&gt;0,1,0)</f>
        <v>1</v>
      </c>
      <c r="F45" s="53"/>
      <c r="G45" s="43">
        <f>IF('Consolidated Financials'!I242-'Consolidated Financials'!H242&gt;0,1,0)</f>
        <v>1</v>
      </c>
      <c r="I45" s="29"/>
      <c r="J45" s="29"/>
      <c r="K45" s="29"/>
      <c r="L45" s="29"/>
      <c r="M45" s="29"/>
      <c r="N45" s="29"/>
      <c r="O45" s="29"/>
      <c r="P45" s="29"/>
      <c r="Q45" s="29"/>
      <c r="R45" s="29"/>
      <c r="S45" s="29"/>
      <c r="T45" s="29"/>
      <c r="U45" s="29"/>
      <c r="V45" s="29"/>
      <c r="W45" s="29"/>
      <c r="X45" s="29"/>
      <c r="Y45" s="29"/>
      <c r="Z45" s="29"/>
    </row>
    <row r="46" spans="1:26" ht="15">
      <c r="A46" s="29"/>
      <c r="B46" s="41"/>
      <c r="C46" s="41" t="s">
        <v>100</v>
      </c>
      <c r="D46" s="53">
        <v>1</v>
      </c>
      <c r="E46" s="516"/>
      <c r="F46" s="53">
        <v>1</v>
      </c>
      <c r="G46" s="54"/>
      <c r="I46" s="29"/>
      <c r="J46" s="29"/>
      <c r="K46" s="29"/>
      <c r="L46" s="29"/>
      <c r="M46" s="29"/>
      <c r="N46" s="29"/>
      <c r="O46" s="29"/>
      <c r="P46" s="29"/>
      <c r="Q46" s="29"/>
      <c r="R46" s="29"/>
      <c r="S46" s="29"/>
      <c r="T46" s="29"/>
      <c r="U46" s="29"/>
      <c r="V46" s="29"/>
      <c r="W46" s="29"/>
      <c r="X46" s="29"/>
      <c r="Y46" s="29"/>
      <c r="Z46" s="29"/>
    </row>
    <row r="47" spans="1:26" ht="15">
      <c r="A47" s="29"/>
      <c r="B47" s="41"/>
      <c r="C47" s="41" t="s">
        <v>101</v>
      </c>
      <c r="D47" s="53">
        <v>0</v>
      </c>
      <c r="E47" s="518"/>
      <c r="F47" s="53">
        <v>0</v>
      </c>
      <c r="G47" s="55"/>
      <c r="I47" s="29"/>
      <c r="J47" s="29"/>
      <c r="K47" s="29"/>
      <c r="L47" s="29"/>
      <c r="M47" s="29"/>
      <c r="N47" s="29"/>
      <c r="O47" s="29"/>
      <c r="P47" s="29"/>
      <c r="Q47" s="29"/>
      <c r="R47" s="29"/>
      <c r="S47" s="29"/>
      <c r="T47" s="29"/>
      <c r="U47" s="29"/>
      <c r="V47" s="29"/>
      <c r="W47" s="29"/>
      <c r="X47" s="29"/>
      <c r="Y47" s="29"/>
      <c r="Z47" s="29"/>
    </row>
    <row r="48" spans="1:26" ht="15">
      <c r="A48" s="29"/>
      <c r="B48" s="42" t="s">
        <v>102</v>
      </c>
      <c r="C48" s="42" t="s">
        <v>103</v>
      </c>
      <c r="D48" s="53"/>
      <c r="E48" s="43">
        <f>IF('Consolidated Financials'!H260-'Consolidated Financials'!G260&gt;0,1,0)</f>
        <v>1</v>
      </c>
      <c r="F48" s="53"/>
      <c r="G48" s="43">
        <f>IF('Consolidated Financials'!I260-'Consolidated Financials'!H260&gt;0,1,0)</f>
        <v>0</v>
      </c>
      <c r="I48" s="29"/>
      <c r="J48" s="29"/>
      <c r="K48" s="29"/>
      <c r="L48" s="29"/>
      <c r="M48" s="29"/>
      <c r="N48" s="29"/>
      <c r="O48" s="29"/>
      <c r="P48" s="29"/>
      <c r="Q48" s="29"/>
      <c r="R48" s="29"/>
      <c r="S48" s="29"/>
      <c r="T48" s="29"/>
      <c r="U48" s="29"/>
      <c r="V48" s="29"/>
      <c r="W48" s="29"/>
      <c r="X48" s="29"/>
      <c r="Y48" s="29"/>
      <c r="Z48" s="29"/>
    </row>
    <row r="49" spans="1:26" ht="15">
      <c r="A49" s="29"/>
      <c r="B49" s="41"/>
      <c r="C49" s="41" t="s">
        <v>104</v>
      </c>
      <c r="D49" s="53">
        <v>1</v>
      </c>
      <c r="E49" s="516"/>
      <c r="F49" s="53">
        <v>1</v>
      </c>
      <c r="G49" s="54"/>
      <c r="I49" s="29"/>
      <c r="J49" s="29"/>
      <c r="K49" s="29"/>
      <c r="L49" s="29"/>
      <c r="M49" s="29"/>
      <c r="N49" s="29"/>
      <c r="O49" s="29"/>
      <c r="P49" s="29"/>
      <c r="Q49" s="29"/>
      <c r="R49" s="29"/>
      <c r="S49" s="29"/>
      <c r="T49" s="29"/>
      <c r="U49" s="29"/>
      <c r="V49" s="29"/>
      <c r="W49" s="29"/>
      <c r="X49" s="29"/>
      <c r="Y49" s="29"/>
      <c r="Z49" s="29"/>
    </row>
    <row r="50" spans="1:26" ht="15">
      <c r="A50" s="29"/>
      <c r="B50" s="41"/>
      <c r="C50" s="41" t="s">
        <v>105</v>
      </c>
      <c r="D50" s="53">
        <v>0</v>
      </c>
      <c r="E50" s="518"/>
      <c r="F50" s="53">
        <v>0</v>
      </c>
      <c r="G50" s="55"/>
      <c r="I50" s="29"/>
      <c r="J50" s="29"/>
      <c r="K50" s="29"/>
      <c r="L50" s="29"/>
      <c r="M50" s="29"/>
      <c r="N50" s="29"/>
      <c r="O50" s="29"/>
      <c r="P50" s="29"/>
      <c r="Q50" s="29"/>
      <c r="R50" s="29"/>
      <c r="S50" s="29"/>
      <c r="T50" s="29"/>
      <c r="U50" s="29"/>
      <c r="V50" s="29"/>
      <c r="W50" s="29"/>
      <c r="X50" s="29"/>
      <c r="Y50" s="29"/>
      <c r="Z50" s="29"/>
    </row>
    <row r="51" spans="1:26" ht="15">
      <c r="A51" s="29"/>
      <c r="B51" s="42" t="s">
        <v>106</v>
      </c>
      <c r="C51" s="42" t="s">
        <v>107</v>
      </c>
      <c r="D51" s="53"/>
      <c r="E51" s="43">
        <f>IF('Consolidated Financials'!G263-'Consolidated Financials'!H263&gt;0,1,0)</f>
        <v>0</v>
      </c>
      <c r="F51" s="53"/>
      <c r="G51" s="43">
        <f>IF('Consolidated Financials'!H263-'Consolidated Financials'!I263&gt;0,1,0)</f>
        <v>0</v>
      </c>
      <c r="I51" s="29"/>
      <c r="J51" s="29"/>
      <c r="K51" s="29"/>
      <c r="L51" s="29"/>
      <c r="M51" s="29"/>
      <c r="N51" s="29"/>
      <c r="O51" s="29"/>
      <c r="P51" s="29"/>
      <c r="Q51" s="29"/>
      <c r="R51" s="29"/>
      <c r="S51" s="29"/>
      <c r="T51" s="29"/>
      <c r="U51" s="29"/>
      <c r="V51" s="29"/>
      <c r="W51" s="29"/>
      <c r="X51" s="29"/>
      <c r="Y51" s="29"/>
      <c r="Z51" s="29"/>
    </row>
    <row r="52" spans="1:26" ht="15">
      <c r="A52" s="29"/>
      <c r="B52" s="41"/>
      <c r="C52" s="41" t="s">
        <v>108</v>
      </c>
      <c r="D52" s="53">
        <v>1</v>
      </c>
      <c r="E52" s="53"/>
      <c r="F52" s="53">
        <v>1</v>
      </c>
      <c r="G52" s="53"/>
      <c r="I52" s="29"/>
      <c r="J52" s="29"/>
      <c r="K52" s="29"/>
      <c r="L52" s="29"/>
      <c r="M52" s="29"/>
      <c r="N52" s="29"/>
      <c r="O52" s="29"/>
      <c r="P52" s="29"/>
      <c r="Q52" s="29"/>
      <c r="R52" s="29"/>
      <c r="S52" s="29"/>
      <c r="T52" s="29"/>
      <c r="U52" s="29"/>
      <c r="V52" s="29"/>
      <c r="W52" s="29"/>
      <c r="X52" s="29"/>
      <c r="Y52" s="29"/>
      <c r="Z52" s="29"/>
    </row>
    <row r="53" spans="1:26" ht="15">
      <c r="A53" s="29"/>
      <c r="B53" s="41"/>
      <c r="C53" s="41" t="s">
        <v>109</v>
      </c>
      <c r="D53" s="53">
        <v>0</v>
      </c>
      <c r="E53" s="53"/>
      <c r="F53" s="53">
        <v>0</v>
      </c>
      <c r="G53" s="53"/>
      <c r="I53" s="29"/>
      <c r="J53" s="29"/>
      <c r="K53" s="29"/>
      <c r="L53" s="29"/>
      <c r="M53" s="29"/>
      <c r="N53" s="29"/>
      <c r="O53" s="29"/>
      <c r="P53" s="29"/>
      <c r="Q53" s="29"/>
      <c r="R53" s="29"/>
      <c r="S53" s="29"/>
      <c r="T53" s="29"/>
      <c r="U53" s="29"/>
      <c r="V53" s="29"/>
      <c r="W53" s="29"/>
      <c r="X53" s="29"/>
      <c r="Y53" s="29"/>
      <c r="Z53" s="29"/>
    </row>
    <row r="54" spans="1:26" ht="15">
      <c r="A54" s="29"/>
      <c r="B54" s="42" t="s">
        <v>110</v>
      </c>
      <c r="C54" s="42" t="s">
        <v>111</v>
      </c>
      <c r="D54" s="53"/>
      <c r="E54" s="43">
        <f>IF('Consolidated Financials'!H235-'Consolidated Financials'!G235&gt;0,1,0)</f>
        <v>1</v>
      </c>
      <c r="F54" s="53"/>
      <c r="G54" s="43">
        <f>IF('Consolidated Financials'!I235-'Consolidated Financials'!H235&gt;0,1,0)</f>
        <v>1</v>
      </c>
      <c r="I54" s="29"/>
      <c r="J54" s="29"/>
      <c r="K54" s="29"/>
      <c r="L54" s="29"/>
      <c r="M54" s="29"/>
      <c r="N54" s="29"/>
      <c r="O54" s="29"/>
      <c r="P54" s="29"/>
      <c r="Q54" s="29"/>
      <c r="R54" s="29"/>
      <c r="S54" s="29"/>
      <c r="T54" s="29"/>
      <c r="U54" s="29"/>
      <c r="V54" s="29"/>
      <c r="W54" s="29"/>
      <c r="X54" s="29"/>
      <c r="Y54" s="29"/>
      <c r="Z54" s="29"/>
    </row>
    <row r="55" spans="1:26" ht="15">
      <c r="A55" s="29"/>
      <c r="B55" s="41"/>
      <c r="C55" s="41" t="s">
        <v>112</v>
      </c>
      <c r="D55" s="53">
        <v>1</v>
      </c>
      <c r="E55" s="516"/>
      <c r="F55" s="53">
        <v>1</v>
      </c>
      <c r="G55" s="54"/>
      <c r="I55" s="29"/>
      <c r="J55" s="29"/>
      <c r="K55" s="29"/>
      <c r="L55" s="29"/>
      <c r="M55" s="29"/>
      <c r="N55" s="29"/>
      <c r="O55" s="29"/>
      <c r="P55" s="29"/>
      <c r="Q55" s="29"/>
      <c r="R55" s="29"/>
      <c r="S55" s="29"/>
      <c r="T55" s="29"/>
      <c r="U55" s="29"/>
      <c r="V55" s="29"/>
      <c r="W55" s="29"/>
      <c r="X55" s="29"/>
      <c r="Y55" s="29"/>
      <c r="Z55" s="29"/>
    </row>
    <row r="56" spans="1:26" ht="15">
      <c r="A56" s="29"/>
      <c r="B56" s="41"/>
      <c r="C56" s="41" t="s">
        <v>113</v>
      </c>
      <c r="D56" s="53">
        <v>0</v>
      </c>
      <c r="E56" s="518"/>
      <c r="F56" s="53">
        <v>0</v>
      </c>
      <c r="G56" s="55"/>
      <c r="I56" s="29"/>
      <c r="J56" s="29"/>
      <c r="K56" s="29"/>
      <c r="L56" s="29"/>
      <c r="M56" s="29"/>
      <c r="N56" s="29"/>
      <c r="O56" s="29"/>
      <c r="P56" s="29"/>
      <c r="Q56" s="29"/>
      <c r="R56" s="29"/>
      <c r="S56" s="29"/>
      <c r="T56" s="29"/>
      <c r="U56" s="29"/>
      <c r="V56" s="29"/>
      <c r="W56" s="29"/>
      <c r="X56" s="29"/>
      <c r="Y56" s="29"/>
      <c r="Z56" s="29"/>
    </row>
    <row r="57" spans="1:26" ht="15">
      <c r="A57" s="29"/>
      <c r="B57" s="42" t="s">
        <v>114</v>
      </c>
      <c r="C57" s="42" t="s">
        <v>115</v>
      </c>
      <c r="D57" s="53"/>
      <c r="E57" s="43">
        <f>IF('Consolidated Financials'!H239-'Consolidated Financials'!G239&gt;0,1,0)</f>
        <v>1</v>
      </c>
      <c r="F57" s="53"/>
      <c r="G57" s="43">
        <f>IF('Consolidated Financials'!I239-'Consolidated Financials'!H239&gt;0,1,0)</f>
        <v>0</v>
      </c>
      <c r="I57" s="29"/>
      <c r="J57" s="29"/>
      <c r="K57" s="29"/>
      <c r="L57" s="29"/>
      <c r="M57" s="29"/>
      <c r="N57" s="29"/>
      <c r="O57" s="29"/>
      <c r="P57" s="29"/>
      <c r="Q57" s="29"/>
      <c r="R57" s="29"/>
      <c r="S57" s="29"/>
      <c r="T57" s="29"/>
      <c r="U57" s="29"/>
      <c r="V57" s="29"/>
      <c r="W57" s="29"/>
      <c r="X57" s="29"/>
      <c r="Y57" s="29"/>
      <c r="Z57" s="29"/>
    </row>
    <row r="58" spans="1:26" ht="15">
      <c r="A58" s="29"/>
      <c r="B58" s="41"/>
      <c r="C58" s="41" t="s">
        <v>116</v>
      </c>
      <c r="D58" s="53">
        <v>1</v>
      </c>
      <c r="E58" s="516"/>
      <c r="F58" s="53">
        <v>1</v>
      </c>
      <c r="G58" s="54"/>
      <c r="I58" s="29"/>
      <c r="J58" s="29"/>
      <c r="K58" s="29"/>
      <c r="L58" s="29"/>
      <c r="M58" s="29"/>
      <c r="N58" s="29"/>
      <c r="O58" s="29"/>
      <c r="P58" s="29"/>
      <c r="Q58" s="29"/>
      <c r="R58" s="29"/>
      <c r="S58" s="29"/>
      <c r="T58" s="29"/>
      <c r="U58" s="29"/>
      <c r="V58" s="29"/>
      <c r="W58" s="29"/>
      <c r="X58" s="29"/>
      <c r="Y58" s="29"/>
      <c r="Z58" s="29"/>
    </row>
    <row r="59" spans="1:26" ht="15">
      <c r="A59" s="29"/>
      <c r="B59" s="41"/>
      <c r="C59" s="41" t="s">
        <v>117</v>
      </c>
      <c r="D59" s="53">
        <v>0</v>
      </c>
      <c r="E59" s="518"/>
      <c r="F59" s="53">
        <v>0</v>
      </c>
      <c r="G59" s="55"/>
      <c r="I59" s="29"/>
      <c r="J59" s="29"/>
      <c r="K59" s="29"/>
      <c r="L59" s="29"/>
      <c r="M59" s="29"/>
      <c r="N59" s="29"/>
      <c r="O59" s="29"/>
      <c r="P59" s="29"/>
      <c r="Q59" s="29"/>
      <c r="R59" s="29"/>
      <c r="S59" s="29"/>
      <c r="T59" s="29"/>
      <c r="U59" s="29"/>
      <c r="V59" s="29"/>
      <c r="W59" s="29"/>
      <c r="X59" s="29"/>
      <c r="Y59" s="29"/>
      <c r="Z59" s="29"/>
    </row>
    <row r="60" spans="1:26" ht="26.25">
      <c r="A60" s="29"/>
      <c r="B60" s="42" t="s">
        <v>118</v>
      </c>
      <c r="C60" s="56" t="s">
        <v>119</v>
      </c>
      <c r="D60" s="53"/>
      <c r="E60" s="43">
        <f>IF('Consolidated Financials'!G254-'Consolidated Financials'!H254&gt;0,1,0)</f>
        <v>1</v>
      </c>
      <c r="F60" s="53"/>
      <c r="G60" s="43">
        <f>IF('Consolidated Financials'!H254-'Consolidated Financials'!I254&gt;0,1,0)</f>
        <v>0</v>
      </c>
      <c r="I60" s="29"/>
      <c r="J60" s="29"/>
      <c r="K60" s="29"/>
      <c r="L60" s="29"/>
      <c r="M60" s="29"/>
      <c r="N60" s="29"/>
      <c r="O60" s="29"/>
      <c r="P60" s="29"/>
      <c r="Q60" s="29"/>
      <c r="R60" s="29"/>
      <c r="S60" s="29"/>
      <c r="T60" s="29"/>
      <c r="U60" s="29"/>
      <c r="V60" s="29"/>
      <c r="W60" s="29"/>
      <c r="X60" s="29"/>
      <c r="Y60" s="29"/>
      <c r="Z60" s="29"/>
    </row>
    <row r="61" spans="1:26" ht="15">
      <c r="A61" s="29"/>
      <c r="B61" s="41"/>
      <c r="C61" s="41" t="s">
        <v>120</v>
      </c>
      <c r="D61" s="53">
        <v>1</v>
      </c>
      <c r="E61" s="516"/>
      <c r="F61" s="53">
        <v>1</v>
      </c>
      <c r="G61" s="54"/>
      <c r="I61" s="29"/>
      <c r="J61" s="29"/>
      <c r="K61" s="29"/>
      <c r="L61" s="29"/>
      <c r="M61" s="29"/>
      <c r="N61" s="29"/>
      <c r="O61" s="29"/>
      <c r="P61" s="29"/>
      <c r="Q61" s="29"/>
      <c r="R61" s="29"/>
      <c r="S61" s="29"/>
      <c r="T61" s="29"/>
      <c r="U61" s="29"/>
      <c r="V61" s="29"/>
      <c r="W61" s="29"/>
      <c r="X61" s="29"/>
      <c r="Y61" s="29"/>
      <c r="Z61" s="29"/>
    </row>
    <row r="62" spans="1:26" ht="15">
      <c r="A62" s="29"/>
      <c r="B62" s="41"/>
      <c r="C62" s="41" t="s">
        <v>121</v>
      </c>
      <c r="D62" s="53">
        <v>0</v>
      </c>
      <c r="E62" s="518"/>
      <c r="F62" s="53">
        <v>0</v>
      </c>
      <c r="G62" s="55"/>
      <c r="I62" s="29"/>
      <c r="J62" s="29"/>
      <c r="K62" s="29"/>
      <c r="L62" s="29"/>
      <c r="M62" s="29"/>
      <c r="N62" s="29"/>
      <c r="O62" s="29"/>
      <c r="P62" s="29"/>
      <c r="Q62" s="29"/>
      <c r="R62" s="29"/>
      <c r="S62" s="29"/>
      <c r="T62" s="29"/>
      <c r="U62" s="29"/>
      <c r="V62" s="29"/>
      <c r="W62" s="29"/>
      <c r="X62" s="29"/>
      <c r="Y62" s="29"/>
      <c r="Z62" s="29"/>
    </row>
    <row r="63" spans="1:26" ht="15">
      <c r="A63" s="29"/>
      <c r="B63" s="42" t="s">
        <v>122</v>
      </c>
      <c r="C63" s="49" t="s">
        <v>123</v>
      </c>
      <c r="D63" s="50"/>
      <c r="E63" s="51">
        <f>SUM(E64,E68,E72,E76,E80,E84,E88)*40/21</f>
        <v>32.38095238095238</v>
      </c>
      <c r="F63" s="52"/>
      <c r="G63" s="51">
        <f>SUM(G64,G68,G72,G76,G80,G84,G88)*40/21</f>
        <v>26.666666666666668</v>
      </c>
      <c r="H63" s="520">
        <f>G63-E63</f>
        <v>-5.7142857142857117</v>
      </c>
      <c r="I63" s="521"/>
      <c r="J63" s="29"/>
      <c r="K63" s="29"/>
      <c r="L63" s="29"/>
      <c r="M63" s="29"/>
      <c r="N63" s="29"/>
      <c r="O63" s="29"/>
      <c r="P63" s="29"/>
      <c r="Q63" s="29"/>
      <c r="R63" s="29"/>
      <c r="S63" s="29"/>
      <c r="T63" s="29"/>
      <c r="U63" s="29"/>
      <c r="V63" s="29"/>
      <c r="W63" s="29"/>
      <c r="X63" s="29"/>
      <c r="Y63" s="29"/>
      <c r="Z63" s="29"/>
    </row>
    <row r="64" spans="1:26" ht="15">
      <c r="A64" s="29"/>
      <c r="B64" s="42" t="s">
        <v>124</v>
      </c>
      <c r="C64" s="42" t="s">
        <v>125</v>
      </c>
      <c r="D64" s="53"/>
      <c r="E64" s="43">
        <f>IF('Consolidated Financials'!H242&lt;1.8,1,IF('Consolidated Financials'!H242&lt;3.5,2,3))</f>
        <v>1</v>
      </c>
      <c r="F64" s="53"/>
      <c r="G64" s="43">
        <f>IF('Consolidated Financials'!I242&lt;1.8,1,IF('Consolidated Financials'!I242&lt;3.5,2,3))</f>
        <v>1</v>
      </c>
      <c r="I64" s="29"/>
      <c r="J64" s="29"/>
      <c r="K64" s="29"/>
      <c r="L64" s="29"/>
      <c r="M64" s="29"/>
      <c r="N64" s="29"/>
      <c r="O64" s="29"/>
      <c r="P64" s="29"/>
      <c r="Q64" s="29"/>
      <c r="R64" s="29"/>
      <c r="S64" s="29"/>
      <c r="T64" s="29"/>
      <c r="U64" s="29"/>
      <c r="V64" s="29"/>
      <c r="W64" s="29"/>
      <c r="X64" s="29"/>
      <c r="Y64" s="29"/>
      <c r="Z64" s="29"/>
    </row>
    <row r="65" spans="1:26" ht="15">
      <c r="A65" s="29"/>
      <c r="B65" s="41"/>
      <c r="C65" s="41" t="s">
        <v>126</v>
      </c>
      <c r="D65" s="53">
        <v>3</v>
      </c>
      <c r="E65" s="516"/>
      <c r="F65" s="53">
        <v>3</v>
      </c>
      <c r="G65" s="54"/>
      <c r="I65" s="29"/>
      <c r="J65" s="29"/>
      <c r="K65" s="29"/>
      <c r="L65" s="29"/>
      <c r="M65" s="29"/>
      <c r="N65" s="29"/>
      <c r="O65" s="29"/>
      <c r="P65" s="29"/>
      <c r="Q65" s="29"/>
      <c r="R65" s="29"/>
      <c r="S65" s="29"/>
      <c r="T65" s="29"/>
      <c r="U65" s="29"/>
      <c r="V65" s="29"/>
      <c r="W65" s="29"/>
      <c r="X65" s="29"/>
      <c r="Y65" s="29"/>
      <c r="Z65" s="29"/>
    </row>
    <row r="66" spans="1:26" ht="15">
      <c r="A66" s="29"/>
      <c r="B66" s="41"/>
      <c r="C66" s="41" t="s">
        <v>127</v>
      </c>
      <c r="D66" s="53">
        <v>2</v>
      </c>
      <c r="E66" s="517"/>
      <c r="F66" s="53">
        <v>2</v>
      </c>
      <c r="G66" s="57"/>
      <c r="I66" s="29"/>
      <c r="J66" s="29"/>
      <c r="K66" s="29"/>
      <c r="L66" s="29"/>
      <c r="M66" s="29"/>
      <c r="N66" s="29"/>
      <c r="O66" s="29"/>
      <c r="P66" s="29"/>
      <c r="Q66" s="29"/>
      <c r="R66" s="29"/>
      <c r="S66" s="29"/>
      <c r="T66" s="29"/>
      <c r="U66" s="29"/>
      <c r="V66" s="29"/>
      <c r="W66" s="29"/>
      <c r="X66" s="29"/>
      <c r="Y66" s="29"/>
      <c r="Z66" s="29"/>
    </row>
    <row r="67" spans="1:26" ht="15">
      <c r="A67" s="29"/>
      <c r="B67" s="41"/>
      <c r="C67" s="41" t="s">
        <v>128</v>
      </c>
      <c r="D67" s="53">
        <v>1</v>
      </c>
      <c r="E67" s="518"/>
      <c r="F67" s="53">
        <v>1</v>
      </c>
      <c r="G67" s="55"/>
      <c r="I67" s="29"/>
      <c r="J67" s="29"/>
      <c r="K67" s="29"/>
      <c r="L67" s="29"/>
      <c r="M67" s="29"/>
      <c r="N67" s="29"/>
      <c r="O67" s="29"/>
      <c r="P67" s="29"/>
      <c r="Q67" s="29"/>
      <c r="R67" s="29"/>
      <c r="S67" s="29"/>
      <c r="T67" s="29"/>
      <c r="U67" s="29"/>
      <c r="V67" s="29"/>
      <c r="W67" s="29"/>
      <c r="X67" s="29"/>
      <c r="Y67" s="29"/>
      <c r="Z67" s="29"/>
    </row>
    <row r="68" spans="1:26" ht="15">
      <c r="A68" s="29"/>
      <c r="B68" s="42" t="s">
        <v>129</v>
      </c>
      <c r="C68" s="42" t="s">
        <v>130</v>
      </c>
      <c r="D68" s="53"/>
      <c r="E68" s="43">
        <f>IF('Consolidated Financials'!H260&lt;1,1,IF('Consolidated Financials'!H260&lt;1.5,2,3))</f>
        <v>1</v>
      </c>
      <c r="F68" s="53"/>
      <c r="G68" s="43">
        <f>IF('Consolidated Financials'!I260&lt;1,1,IF('Consolidated Financials'!I260&lt;1.5,2,3))</f>
        <v>1</v>
      </c>
      <c r="I68" s="29"/>
      <c r="J68" s="29"/>
      <c r="K68" s="29"/>
      <c r="L68" s="29"/>
      <c r="M68" s="29"/>
      <c r="N68" s="29"/>
      <c r="O68" s="29"/>
      <c r="P68" s="29"/>
      <c r="Q68" s="29"/>
      <c r="R68" s="29"/>
      <c r="S68" s="29"/>
      <c r="T68" s="29"/>
      <c r="U68" s="29"/>
      <c r="V68" s="29"/>
      <c r="W68" s="29"/>
      <c r="X68" s="29"/>
      <c r="Y68" s="29"/>
      <c r="Z68" s="29"/>
    </row>
    <row r="69" spans="1:26" ht="15">
      <c r="A69" s="29"/>
      <c r="B69" s="41"/>
      <c r="C69" s="41" t="s">
        <v>131</v>
      </c>
      <c r="D69" s="53">
        <v>3</v>
      </c>
      <c r="E69" s="516"/>
      <c r="F69" s="53">
        <v>3</v>
      </c>
      <c r="G69" s="54"/>
      <c r="I69" s="29"/>
      <c r="J69" s="29"/>
      <c r="K69" s="29"/>
      <c r="L69" s="29"/>
      <c r="M69" s="29"/>
      <c r="N69" s="29"/>
      <c r="O69" s="29"/>
      <c r="P69" s="29"/>
      <c r="Q69" s="29"/>
      <c r="R69" s="29"/>
      <c r="S69" s="29"/>
      <c r="T69" s="29"/>
      <c r="U69" s="29"/>
      <c r="V69" s="29"/>
      <c r="W69" s="29"/>
      <c r="X69" s="29"/>
      <c r="Y69" s="29"/>
      <c r="Z69" s="29"/>
    </row>
    <row r="70" spans="1:26" ht="15">
      <c r="A70" s="29"/>
      <c r="B70" s="41"/>
      <c r="C70" s="41" t="s">
        <v>132</v>
      </c>
      <c r="D70" s="53">
        <v>2</v>
      </c>
      <c r="E70" s="517"/>
      <c r="F70" s="53">
        <v>2</v>
      </c>
      <c r="G70" s="57"/>
      <c r="I70" s="29"/>
      <c r="J70" s="29"/>
      <c r="K70" s="29"/>
      <c r="L70" s="29"/>
      <c r="M70" s="29"/>
      <c r="N70" s="29"/>
      <c r="O70" s="29"/>
      <c r="P70" s="29"/>
      <c r="Q70" s="29"/>
      <c r="R70" s="29"/>
      <c r="S70" s="29"/>
      <c r="T70" s="29"/>
      <c r="U70" s="29"/>
      <c r="V70" s="29"/>
      <c r="W70" s="29"/>
      <c r="X70" s="29"/>
      <c r="Y70" s="29"/>
      <c r="Z70" s="29"/>
    </row>
    <row r="71" spans="1:26" ht="15">
      <c r="A71" s="29"/>
      <c r="B71" s="41"/>
      <c r="C71" s="41" t="s">
        <v>133</v>
      </c>
      <c r="D71" s="53">
        <v>1</v>
      </c>
      <c r="E71" s="518"/>
      <c r="F71" s="53">
        <v>1</v>
      </c>
      <c r="G71" s="55"/>
      <c r="I71" s="29"/>
      <c r="J71" s="29"/>
      <c r="K71" s="29"/>
      <c r="L71" s="29"/>
      <c r="M71" s="29"/>
      <c r="N71" s="29"/>
      <c r="O71" s="29"/>
      <c r="P71" s="29"/>
      <c r="Q71" s="29"/>
      <c r="R71" s="29"/>
      <c r="S71" s="29"/>
      <c r="T71" s="29"/>
      <c r="U71" s="29"/>
      <c r="V71" s="29"/>
      <c r="W71" s="29"/>
      <c r="X71" s="29"/>
      <c r="Y71" s="29"/>
      <c r="Z71" s="29"/>
    </row>
    <row r="72" spans="1:26" ht="15">
      <c r="A72" s="29"/>
      <c r="B72" s="42" t="s">
        <v>134</v>
      </c>
      <c r="C72" s="42" t="s">
        <v>135</v>
      </c>
      <c r="D72" s="53"/>
      <c r="E72" s="43">
        <f>IF('Consolidated Financials'!H263&gt;=2,1,IF('Consolidated Financials'!H263&gt;=1,2,3))</f>
        <v>3</v>
      </c>
      <c r="F72" s="53"/>
      <c r="G72" s="43">
        <f>IF('Consolidated Financials'!I263&gt;=2,1,IF('Consolidated Financials'!I263&gt;=1,2,3))</f>
        <v>2</v>
      </c>
      <c r="I72" s="29"/>
      <c r="J72" s="29"/>
      <c r="K72" s="29"/>
      <c r="L72" s="29"/>
      <c r="M72" s="29"/>
      <c r="N72" s="29"/>
      <c r="O72" s="29"/>
      <c r="P72" s="29"/>
      <c r="Q72" s="29"/>
      <c r="R72" s="29"/>
      <c r="S72" s="29"/>
      <c r="T72" s="29"/>
      <c r="U72" s="29"/>
      <c r="V72" s="29"/>
      <c r="W72" s="29"/>
      <c r="X72" s="29"/>
      <c r="Y72" s="29"/>
      <c r="Z72" s="29"/>
    </row>
    <row r="73" spans="1:26" ht="15">
      <c r="A73" s="29"/>
      <c r="B73" s="41"/>
      <c r="C73" s="41" t="s">
        <v>136</v>
      </c>
      <c r="D73" s="53">
        <v>3</v>
      </c>
      <c r="E73" s="516"/>
      <c r="F73" s="53">
        <v>3</v>
      </c>
      <c r="G73" s="54"/>
      <c r="I73" s="29"/>
      <c r="J73" s="29"/>
      <c r="K73" s="29"/>
      <c r="L73" s="29"/>
      <c r="M73" s="29"/>
      <c r="N73" s="29"/>
      <c r="O73" s="29"/>
      <c r="P73" s="29"/>
      <c r="Q73" s="29"/>
      <c r="R73" s="29"/>
      <c r="S73" s="29"/>
      <c r="T73" s="29"/>
      <c r="U73" s="29"/>
      <c r="V73" s="29"/>
      <c r="W73" s="29"/>
      <c r="X73" s="29"/>
      <c r="Y73" s="29"/>
      <c r="Z73" s="29"/>
    </row>
    <row r="74" spans="1:26" ht="15">
      <c r="A74" s="29"/>
      <c r="B74" s="41"/>
      <c r="C74" s="41" t="s">
        <v>137</v>
      </c>
      <c r="D74" s="53">
        <v>2</v>
      </c>
      <c r="E74" s="517"/>
      <c r="F74" s="53">
        <v>2</v>
      </c>
      <c r="G74" s="57"/>
      <c r="I74" s="29"/>
      <c r="J74" s="29"/>
      <c r="K74" s="29"/>
      <c r="L74" s="29"/>
      <c r="M74" s="29"/>
      <c r="N74" s="29"/>
      <c r="O74" s="29"/>
      <c r="P74" s="29"/>
      <c r="Q74" s="29"/>
      <c r="R74" s="29"/>
      <c r="S74" s="29"/>
      <c r="T74" s="29"/>
      <c r="U74" s="29"/>
      <c r="V74" s="29"/>
      <c r="W74" s="29"/>
      <c r="X74" s="29"/>
      <c r="Y74" s="29"/>
      <c r="Z74" s="29"/>
    </row>
    <row r="75" spans="1:26" ht="15">
      <c r="A75" s="29"/>
      <c r="B75" s="41"/>
      <c r="C75" s="41" t="s">
        <v>138</v>
      </c>
      <c r="D75" s="53">
        <v>1</v>
      </c>
      <c r="E75" s="518"/>
      <c r="F75" s="53">
        <v>1</v>
      </c>
      <c r="G75" s="55"/>
      <c r="I75" s="29"/>
      <c r="J75" s="29"/>
      <c r="K75" s="29"/>
      <c r="L75" s="29"/>
      <c r="M75" s="29"/>
      <c r="N75" s="29"/>
      <c r="O75" s="29"/>
      <c r="P75" s="29"/>
      <c r="Q75" s="29"/>
      <c r="R75" s="29"/>
      <c r="S75" s="29"/>
      <c r="T75" s="29"/>
      <c r="U75" s="29"/>
      <c r="V75" s="29"/>
      <c r="W75" s="29"/>
      <c r="X75" s="29"/>
      <c r="Y75" s="29"/>
      <c r="Z75" s="29"/>
    </row>
    <row r="76" spans="1:26" ht="15">
      <c r="A76" s="29"/>
      <c r="B76" s="42" t="s">
        <v>139</v>
      </c>
      <c r="C76" s="42" t="s">
        <v>140</v>
      </c>
      <c r="D76" s="53"/>
      <c r="E76" s="43">
        <f>IF('Consolidated Financials'!H235&lt;1.5%,1,IF('Consolidated Financials'!H235&lt;5%,2,3))</f>
        <v>3</v>
      </c>
      <c r="F76" s="53"/>
      <c r="G76" s="43">
        <f>IF('Consolidated Financials'!I235&lt;1.5%,1,IF('Consolidated Financials'!I235&lt;5%,2,3))</f>
        <v>3</v>
      </c>
      <c r="I76" s="29"/>
      <c r="J76" s="29"/>
      <c r="K76" s="29"/>
      <c r="L76" s="29"/>
      <c r="M76" s="29"/>
      <c r="N76" s="29"/>
      <c r="O76" s="29"/>
      <c r="P76" s="29"/>
      <c r="Q76" s="29"/>
      <c r="R76" s="29"/>
      <c r="S76" s="29"/>
      <c r="T76" s="29"/>
      <c r="U76" s="29"/>
      <c r="V76" s="29"/>
      <c r="W76" s="29"/>
      <c r="X76" s="29"/>
      <c r="Y76" s="29"/>
      <c r="Z76" s="29"/>
    </row>
    <row r="77" spans="1:26" ht="15">
      <c r="A77" s="29"/>
      <c r="B77" s="41"/>
      <c r="C77" s="41" t="s">
        <v>141</v>
      </c>
      <c r="D77" s="53">
        <v>3</v>
      </c>
      <c r="E77" s="516"/>
      <c r="F77" s="53">
        <v>3</v>
      </c>
      <c r="G77" s="54"/>
      <c r="I77" s="29"/>
      <c r="J77" s="29"/>
      <c r="K77" s="29"/>
      <c r="L77" s="29"/>
      <c r="M77" s="29"/>
      <c r="N77" s="29"/>
      <c r="O77" s="29"/>
      <c r="P77" s="29"/>
      <c r="Q77" s="29"/>
      <c r="R77" s="29"/>
      <c r="S77" s="29"/>
      <c r="T77" s="29"/>
      <c r="U77" s="29"/>
      <c r="V77" s="29"/>
      <c r="W77" s="29"/>
      <c r="X77" s="29"/>
      <c r="Y77" s="29"/>
      <c r="Z77" s="29"/>
    </row>
    <row r="78" spans="1:26" ht="15">
      <c r="A78" s="29"/>
      <c r="B78" s="41"/>
      <c r="C78" s="41" t="s">
        <v>142</v>
      </c>
      <c r="D78" s="53">
        <v>2</v>
      </c>
      <c r="E78" s="517"/>
      <c r="F78" s="53">
        <v>2</v>
      </c>
      <c r="G78" s="57"/>
      <c r="I78" s="29"/>
      <c r="J78" s="29"/>
      <c r="K78" s="29"/>
      <c r="L78" s="29"/>
      <c r="M78" s="29"/>
      <c r="N78" s="29"/>
      <c r="O78" s="29"/>
      <c r="P78" s="29"/>
      <c r="Q78" s="29"/>
      <c r="R78" s="29"/>
      <c r="S78" s="29"/>
      <c r="T78" s="29"/>
      <c r="U78" s="29"/>
      <c r="V78" s="29"/>
      <c r="W78" s="29"/>
      <c r="X78" s="29"/>
      <c r="Y78" s="29"/>
      <c r="Z78" s="29"/>
    </row>
    <row r="79" spans="1:26" ht="15">
      <c r="A79" s="29"/>
      <c r="B79" s="41"/>
      <c r="C79" s="41" t="s">
        <v>143</v>
      </c>
      <c r="D79" s="53">
        <v>1</v>
      </c>
      <c r="E79" s="518"/>
      <c r="F79" s="53">
        <v>1</v>
      </c>
      <c r="G79" s="55"/>
      <c r="I79" s="29"/>
      <c r="J79" s="29"/>
      <c r="K79" s="29"/>
      <c r="L79" s="29"/>
      <c r="M79" s="29"/>
      <c r="N79" s="29"/>
      <c r="O79" s="29"/>
      <c r="P79" s="29"/>
      <c r="Q79" s="29"/>
      <c r="R79" s="29"/>
      <c r="S79" s="29"/>
      <c r="T79" s="29"/>
      <c r="U79" s="29"/>
      <c r="V79" s="29"/>
      <c r="W79" s="29"/>
      <c r="X79" s="29"/>
      <c r="Y79" s="29"/>
      <c r="Z79" s="29"/>
    </row>
    <row r="80" spans="1:26" ht="15">
      <c r="A80" s="29"/>
      <c r="B80" s="42" t="s">
        <v>144</v>
      </c>
      <c r="C80" s="42" t="s">
        <v>145</v>
      </c>
      <c r="D80" s="53"/>
      <c r="E80" s="43">
        <f>IF('Consolidated Financials'!H239&lt;1.5%,1,IF('Consolidated Financials'!H239&lt;5%,2,3))</f>
        <v>3</v>
      </c>
      <c r="F80" s="53"/>
      <c r="G80" s="43">
        <f>IF('Consolidated Financials'!I239&lt;1.5%,1,IF('Consolidated Financials'!I239&lt;5%,2,3))</f>
        <v>3</v>
      </c>
      <c r="I80" s="29"/>
      <c r="J80" s="29"/>
      <c r="K80" s="29"/>
      <c r="L80" s="29"/>
      <c r="M80" s="29"/>
      <c r="N80" s="29"/>
      <c r="O80" s="29"/>
      <c r="P80" s="29"/>
      <c r="Q80" s="29"/>
      <c r="R80" s="29"/>
      <c r="S80" s="29"/>
      <c r="T80" s="29"/>
      <c r="U80" s="29"/>
      <c r="V80" s="29"/>
      <c r="W80" s="29"/>
      <c r="X80" s="29"/>
      <c r="Y80" s="29"/>
      <c r="Z80" s="29"/>
    </row>
    <row r="81" spans="1:26" ht="15">
      <c r="A81" s="29"/>
      <c r="B81" s="41"/>
      <c r="C81" s="41" t="s">
        <v>146</v>
      </c>
      <c r="D81" s="53">
        <v>3</v>
      </c>
      <c r="E81" s="516"/>
      <c r="F81" s="53">
        <v>3</v>
      </c>
      <c r="G81" s="54"/>
      <c r="I81" s="29"/>
      <c r="J81" s="29"/>
      <c r="K81" s="29"/>
      <c r="L81" s="29"/>
      <c r="M81" s="29"/>
      <c r="N81" s="29"/>
      <c r="O81" s="29"/>
      <c r="P81" s="29"/>
      <c r="Q81" s="29"/>
      <c r="R81" s="29"/>
      <c r="S81" s="29"/>
      <c r="T81" s="29"/>
      <c r="U81" s="29"/>
      <c r="V81" s="29"/>
      <c r="W81" s="29"/>
      <c r="X81" s="29"/>
      <c r="Y81" s="29"/>
      <c r="Z81" s="29"/>
    </row>
    <row r="82" spans="1:26" ht="15">
      <c r="A82" s="29"/>
      <c r="B82" s="41"/>
      <c r="C82" s="41" t="s">
        <v>147</v>
      </c>
      <c r="D82" s="53">
        <v>2</v>
      </c>
      <c r="E82" s="517"/>
      <c r="F82" s="53">
        <v>2</v>
      </c>
      <c r="G82" s="57"/>
      <c r="I82" s="29"/>
      <c r="J82" s="29"/>
      <c r="K82" s="29"/>
      <c r="L82" s="29"/>
      <c r="M82" s="29"/>
      <c r="N82" s="29"/>
      <c r="O82" s="29"/>
      <c r="P82" s="29"/>
      <c r="Q82" s="29"/>
      <c r="R82" s="29"/>
      <c r="S82" s="29"/>
      <c r="T82" s="29"/>
      <c r="U82" s="29"/>
      <c r="V82" s="29"/>
      <c r="W82" s="29"/>
      <c r="X82" s="29"/>
      <c r="Y82" s="29"/>
      <c r="Z82" s="29"/>
    </row>
    <row r="83" spans="1:26" ht="15">
      <c r="A83" s="29"/>
      <c r="B83" s="41"/>
      <c r="C83" s="41" t="s">
        <v>148</v>
      </c>
      <c r="D83" s="53">
        <v>1</v>
      </c>
      <c r="E83" s="518"/>
      <c r="F83" s="53">
        <v>1</v>
      </c>
      <c r="G83" s="55"/>
      <c r="I83" s="29"/>
      <c r="J83" s="29"/>
      <c r="K83" s="29"/>
      <c r="L83" s="29"/>
      <c r="M83" s="29"/>
      <c r="N83" s="29"/>
      <c r="O83" s="29"/>
      <c r="P83" s="29"/>
      <c r="Q83" s="29"/>
      <c r="R83" s="29"/>
      <c r="S83" s="29"/>
      <c r="T83" s="29"/>
      <c r="U83" s="29"/>
      <c r="V83" s="29"/>
      <c r="W83" s="29"/>
      <c r="X83" s="29"/>
      <c r="Y83" s="29"/>
      <c r="Z83" s="29"/>
    </row>
    <row r="84" spans="1:26" ht="15">
      <c r="A84" s="29"/>
      <c r="B84" s="42" t="s">
        <v>149</v>
      </c>
      <c r="C84" s="42" t="s">
        <v>150</v>
      </c>
      <c r="D84" s="53"/>
      <c r="E84" s="43">
        <f>IF('Consolidated Financials'!H23&lt;0.5,1,IF('Consolidated Financials'!H23&lt;1.5,2,3))</f>
        <v>3</v>
      </c>
      <c r="F84" s="53"/>
      <c r="G84" s="43">
        <f>IF('Consolidated Financials'!I23&lt;0.5,1,IF('Consolidated Financials'!I23&lt;1.5,2,3))</f>
        <v>3</v>
      </c>
      <c r="I84" s="29"/>
      <c r="J84" s="29"/>
      <c r="K84" s="29"/>
      <c r="L84" s="29"/>
      <c r="M84" s="29"/>
      <c r="N84" s="29"/>
      <c r="O84" s="29"/>
      <c r="P84" s="29"/>
      <c r="Q84" s="29"/>
      <c r="R84" s="29"/>
      <c r="S84" s="29"/>
      <c r="T84" s="29"/>
      <c r="U84" s="29"/>
      <c r="V84" s="29"/>
      <c r="W84" s="29"/>
      <c r="X84" s="29"/>
      <c r="Y84" s="29"/>
      <c r="Z84" s="29"/>
    </row>
    <row r="85" spans="1:26" ht="15">
      <c r="A85" s="29"/>
      <c r="B85" s="41"/>
      <c r="C85" s="41" t="s">
        <v>151</v>
      </c>
      <c r="D85" s="53">
        <v>3</v>
      </c>
      <c r="E85" s="516"/>
      <c r="F85" s="53">
        <v>3</v>
      </c>
      <c r="G85" s="54"/>
      <c r="I85" s="29"/>
      <c r="J85" s="29"/>
      <c r="K85" s="29"/>
      <c r="L85" s="29"/>
      <c r="M85" s="29"/>
      <c r="N85" s="29"/>
      <c r="O85" s="29"/>
      <c r="P85" s="29"/>
      <c r="Q85" s="29"/>
      <c r="R85" s="29"/>
      <c r="S85" s="29"/>
      <c r="T85" s="29"/>
      <c r="U85" s="29"/>
      <c r="V85" s="29"/>
      <c r="W85" s="29"/>
      <c r="X85" s="29"/>
      <c r="Y85" s="29"/>
      <c r="Z85" s="29"/>
    </row>
    <row r="86" spans="1:26" ht="15">
      <c r="A86" s="29"/>
      <c r="B86" s="41"/>
      <c r="C86" s="41" t="s">
        <v>152</v>
      </c>
      <c r="D86" s="53">
        <v>2</v>
      </c>
      <c r="E86" s="517"/>
      <c r="F86" s="53">
        <v>2</v>
      </c>
      <c r="G86" s="57"/>
      <c r="I86" s="29"/>
      <c r="J86" s="29"/>
      <c r="K86" s="29"/>
      <c r="L86" s="29"/>
      <c r="M86" s="29"/>
      <c r="N86" s="29"/>
      <c r="O86" s="29"/>
      <c r="P86" s="29"/>
      <c r="Q86" s="29"/>
      <c r="R86" s="29"/>
      <c r="S86" s="29"/>
      <c r="T86" s="29"/>
      <c r="U86" s="29"/>
      <c r="V86" s="29"/>
      <c r="W86" s="29"/>
      <c r="X86" s="29"/>
      <c r="Y86" s="29"/>
      <c r="Z86" s="29"/>
    </row>
    <row r="87" spans="1:26" ht="15">
      <c r="A87" s="29"/>
      <c r="B87" s="41"/>
      <c r="C87" s="41" t="s">
        <v>153</v>
      </c>
      <c r="D87" s="53">
        <v>1</v>
      </c>
      <c r="E87" s="518"/>
      <c r="F87" s="53">
        <v>1</v>
      </c>
      <c r="G87" s="55"/>
      <c r="I87" s="29"/>
      <c r="J87" s="29"/>
      <c r="K87" s="29"/>
      <c r="L87" s="29"/>
      <c r="M87" s="29"/>
      <c r="N87" s="29"/>
      <c r="O87" s="29"/>
      <c r="P87" s="29"/>
      <c r="Q87" s="29"/>
      <c r="R87" s="29"/>
      <c r="S87" s="29"/>
      <c r="T87" s="29"/>
      <c r="U87" s="29"/>
      <c r="V87" s="29"/>
      <c r="W87" s="29"/>
      <c r="X87" s="29"/>
      <c r="Y87" s="29"/>
      <c r="Z87" s="29"/>
    </row>
    <row r="88" spans="1:26" ht="26.25">
      <c r="A88" s="29"/>
      <c r="B88" s="42" t="s">
        <v>154</v>
      </c>
      <c r="C88" s="56" t="s">
        <v>155</v>
      </c>
      <c r="D88" s="53"/>
      <c r="E88" s="43">
        <f>IF('Consolidated Financials'!H254&gt;=1.8,1,IF('Consolidated Financials'!H254&gt;=0.3,2,3))</f>
        <v>3</v>
      </c>
      <c r="F88" s="53"/>
      <c r="G88" s="43">
        <f>IF('Consolidated Financials'!I254&gt;=1.8,1,IF('Consolidated Financials'!I254&gt;=0.3,2,3))</f>
        <v>1</v>
      </c>
      <c r="I88" s="29"/>
      <c r="J88" s="29"/>
      <c r="K88" s="29"/>
      <c r="L88" s="29"/>
      <c r="M88" s="29"/>
      <c r="N88" s="29"/>
      <c r="O88" s="29"/>
      <c r="P88" s="29"/>
      <c r="Q88" s="29"/>
      <c r="R88" s="29"/>
      <c r="S88" s="29"/>
      <c r="T88" s="29"/>
      <c r="U88" s="29"/>
      <c r="V88" s="29"/>
      <c r="W88" s="29"/>
      <c r="X88" s="29"/>
      <c r="Y88" s="29"/>
      <c r="Z88" s="29"/>
    </row>
    <row r="89" spans="1:26" ht="15">
      <c r="A89" s="29"/>
      <c r="B89" s="41"/>
      <c r="C89" s="41" t="s">
        <v>156</v>
      </c>
      <c r="D89" s="53">
        <v>3</v>
      </c>
      <c r="E89" s="516"/>
      <c r="F89" s="53">
        <v>3</v>
      </c>
      <c r="G89" s="54"/>
      <c r="I89" s="29"/>
      <c r="J89" s="29"/>
      <c r="K89" s="29"/>
      <c r="L89" s="29"/>
      <c r="M89" s="29"/>
      <c r="N89" s="29"/>
      <c r="O89" s="29"/>
      <c r="P89" s="29"/>
      <c r="Q89" s="29"/>
      <c r="R89" s="29"/>
      <c r="S89" s="29"/>
      <c r="T89" s="29"/>
      <c r="U89" s="29"/>
      <c r="V89" s="29"/>
      <c r="W89" s="29"/>
      <c r="X89" s="29"/>
      <c r="Y89" s="29"/>
      <c r="Z89" s="29"/>
    </row>
    <row r="90" spans="1:26" ht="15">
      <c r="A90" s="29"/>
      <c r="B90" s="41"/>
      <c r="C90" s="41" t="s">
        <v>157</v>
      </c>
      <c r="D90" s="53">
        <v>2</v>
      </c>
      <c r="E90" s="517"/>
      <c r="F90" s="53">
        <v>2</v>
      </c>
      <c r="G90" s="57"/>
      <c r="I90" s="29"/>
      <c r="J90" s="29"/>
      <c r="K90" s="29"/>
      <c r="L90" s="29"/>
      <c r="M90" s="29"/>
      <c r="N90" s="29"/>
      <c r="O90" s="29"/>
      <c r="P90" s="29"/>
      <c r="Q90" s="29"/>
      <c r="R90" s="29"/>
      <c r="S90" s="29"/>
      <c r="T90" s="29"/>
      <c r="U90" s="29"/>
      <c r="V90" s="29"/>
      <c r="W90" s="29"/>
      <c r="X90" s="29"/>
      <c r="Y90" s="29"/>
      <c r="Z90" s="29"/>
    </row>
    <row r="91" spans="1:26" ht="15">
      <c r="A91" s="29"/>
      <c r="B91" s="41"/>
      <c r="C91" s="41" t="s">
        <v>158</v>
      </c>
      <c r="D91" s="53">
        <v>1</v>
      </c>
      <c r="E91" s="518"/>
      <c r="F91" s="53">
        <v>1</v>
      </c>
      <c r="G91" s="55"/>
      <c r="I91" s="29"/>
      <c r="J91" s="29"/>
      <c r="K91" s="29"/>
      <c r="L91" s="29"/>
      <c r="M91" s="29"/>
      <c r="N91" s="29"/>
      <c r="O91" s="29"/>
      <c r="P91" s="29"/>
      <c r="Q91" s="29"/>
      <c r="R91" s="29"/>
      <c r="S91" s="29"/>
      <c r="T91" s="29"/>
      <c r="U91" s="29"/>
      <c r="V91" s="29"/>
      <c r="W91" s="29"/>
      <c r="X91" s="29"/>
      <c r="Y91" s="29"/>
      <c r="Z91" s="29"/>
    </row>
    <row r="92" spans="1:26" ht="15">
      <c r="A92" s="29"/>
      <c r="B92" s="29"/>
      <c r="C92" s="29"/>
      <c r="D92" s="33"/>
      <c r="E92" s="33"/>
      <c r="F92" s="33"/>
      <c r="G92" s="33"/>
      <c r="I92" s="29"/>
      <c r="J92" s="29"/>
      <c r="K92" s="29"/>
      <c r="L92" s="29"/>
      <c r="M92" s="29"/>
      <c r="N92" s="29"/>
      <c r="O92" s="29"/>
      <c r="P92" s="29"/>
      <c r="Q92" s="29"/>
      <c r="R92" s="29"/>
      <c r="S92" s="29"/>
      <c r="T92" s="29"/>
      <c r="U92" s="29"/>
      <c r="V92" s="29"/>
      <c r="W92" s="29"/>
      <c r="X92" s="29"/>
      <c r="Y92" s="29"/>
      <c r="Z92" s="29"/>
    </row>
    <row r="93" spans="1:26" ht="15">
      <c r="A93" s="29"/>
      <c r="B93" s="29"/>
      <c r="C93" s="29"/>
      <c r="D93" s="33"/>
      <c r="E93" s="33"/>
      <c r="F93" s="33"/>
      <c r="G93" s="33"/>
      <c r="I93" s="29"/>
      <c r="J93" s="29"/>
      <c r="K93" s="29"/>
      <c r="L93" s="29"/>
      <c r="M93" s="29"/>
      <c r="N93" s="29"/>
      <c r="O93" s="29"/>
      <c r="P93" s="29"/>
      <c r="Q93" s="29"/>
      <c r="R93" s="29"/>
      <c r="S93" s="29"/>
      <c r="T93" s="29"/>
      <c r="U93" s="29"/>
      <c r="V93" s="29"/>
      <c r="W93" s="29"/>
      <c r="X93" s="29"/>
      <c r="Y93" s="29"/>
      <c r="Z93" s="29"/>
    </row>
    <row r="94" spans="1:26" ht="15">
      <c r="A94" s="29"/>
      <c r="B94" s="29"/>
      <c r="C94" s="29"/>
      <c r="D94" s="33"/>
      <c r="E94" s="33"/>
      <c r="F94" s="33"/>
      <c r="G94" s="33"/>
      <c r="I94" s="29"/>
      <c r="J94" s="29"/>
      <c r="K94" s="29"/>
      <c r="L94" s="29"/>
      <c r="M94" s="29"/>
      <c r="N94" s="29"/>
      <c r="O94" s="29"/>
      <c r="P94" s="29"/>
      <c r="Q94" s="29"/>
      <c r="R94" s="29"/>
      <c r="S94" s="29"/>
      <c r="T94" s="29"/>
      <c r="U94" s="29"/>
      <c r="V94" s="29"/>
      <c r="W94" s="29"/>
      <c r="X94" s="29"/>
      <c r="Y94" s="29"/>
      <c r="Z94" s="29"/>
    </row>
    <row r="95" spans="1:26" ht="15">
      <c r="A95" s="29"/>
      <c r="B95" s="29"/>
      <c r="C95" s="29"/>
      <c r="D95" s="33"/>
      <c r="E95" s="33"/>
      <c r="F95" s="33"/>
      <c r="G95" s="33"/>
      <c r="I95" s="29"/>
      <c r="J95" s="29"/>
      <c r="K95" s="29"/>
      <c r="L95" s="29"/>
      <c r="M95" s="29"/>
      <c r="N95" s="29"/>
      <c r="O95" s="29"/>
      <c r="P95" s="29"/>
      <c r="Q95" s="29"/>
      <c r="R95" s="29"/>
      <c r="S95" s="29"/>
      <c r="T95" s="29"/>
      <c r="U95" s="29"/>
      <c r="V95" s="29"/>
      <c r="W95" s="29"/>
      <c r="X95" s="29"/>
      <c r="Y95" s="29"/>
      <c r="Z95" s="29"/>
    </row>
    <row r="96" spans="1:26" ht="15">
      <c r="A96" s="29"/>
      <c r="B96" s="29"/>
      <c r="C96" s="29"/>
      <c r="D96" s="33"/>
      <c r="E96" s="33"/>
      <c r="F96" s="33"/>
      <c r="G96" s="33"/>
      <c r="I96" s="29"/>
      <c r="J96" s="29"/>
      <c r="K96" s="29"/>
      <c r="L96" s="29"/>
      <c r="M96" s="29"/>
      <c r="N96" s="29"/>
      <c r="O96" s="29"/>
      <c r="P96" s="29"/>
      <c r="Q96" s="29"/>
      <c r="R96" s="29"/>
      <c r="S96" s="29"/>
      <c r="T96" s="29"/>
      <c r="U96" s="29"/>
      <c r="V96" s="29"/>
      <c r="W96" s="29"/>
      <c r="X96" s="29"/>
      <c r="Y96" s="29"/>
      <c r="Z96" s="29"/>
    </row>
    <row r="97" spans="1:26" ht="15">
      <c r="A97" s="29"/>
      <c r="B97" s="29"/>
      <c r="C97" s="29"/>
      <c r="D97" s="33"/>
      <c r="E97" s="33"/>
      <c r="F97" s="33"/>
      <c r="G97" s="33"/>
      <c r="I97" s="29"/>
      <c r="J97" s="29"/>
      <c r="K97" s="29"/>
      <c r="L97" s="29"/>
      <c r="M97" s="29"/>
      <c r="N97" s="29"/>
      <c r="O97" s="29"/>
      <c r="P97" s="29"/>
      <c r="Q97" s="29"/>
      <c r="R97" s="29"/>
      <c r="S97" s="29"/>
      <c r="T97" s="29"/>
      <c r="U97" s="29"/>
      <c r="V97" s="29"/>
      <c r="W97" s="29"/>
      <c r="X97" s="29"/>
      <c r="Y97" s="29"/>
      <c r="Z97" s="29"/>
    </row>
    <row r="98" spans="1:26" ht="15">
      <c r="A98" s="29"/>
      <c r="B98" s="29"/>
      <c r="C98" s="29"/>
      <c r="D98" s="33"/>
      <c r="E98" s="33"/>
      <c r="F98" s="33"/>
      <c r="G98" s="33"/>
      <c r="I98" s="29"/>
      <c r="J98" s="29"/>
      <c r="K98" s="29"/>
      <c r="L98" s="29"/>
      <c r="M98" s="29"/>
      <c r="N98" s="29"/>
      <c r="O98" s="29"/>
      <c r="P98" s="29"/>
      <c r="Q98" s="29"/>
      <c r="R98" s="29"/>
      <c r="S98" s="29"/>
      <c r="T98" s="29"/>
      <c r="U98" s="29"/>
      <c r="V98" s="29"/>
      <c r="W98" s="29"/>
      <c r="X98" s="29"/>
      <c r="Y98" s="29"/>
      <c r="Z98" s="29"/>
    </row>
    <row r="99" spans="1:26" ht="15">
      <c r="A99" s="29"/>
      <c r="B99" s="29"/>
      <c r="C99" s="29"/>
      <c r="D99" s="33"/>
      <c r="E99" s="33"/>
      <c r="F99" s="33"/>
      <c r="G99" s="33"/>
      <c r="I99" s="29"/>
      <c r="J99" s="29"/>
      <c r="K99" s="29"/>
      <c r="L99" s="29"/>
      <c r="M99" s="29"/>
      <c r="N99" s="29"/>
      <c r="O99" s="29"/>
      <c r="P99" s="29"/>
      <c r="Q99" s="29"/>
      <c r="R99" s="29"/>
      <c r="S99" s="29"/>
      <c r="T99" s="29"/>
      <c r="U99" s="29"/>
      <c r="V99" s="29"/>
      <c r="W99" s="29"/>
      <c r="X99" s="29"/>
      <c r="Y99" s="29"/>
      <c r="Z99" s="29"/>
    </row>
    <row r="100" spans="1:26" ht="15">
      <c r="A100" s="29"/>
      <c r="B100" s="29"/>
      <c r="C100" s="29"/>
      <c r="D100" s="33"/>
      <c r="E100" s="33"/>
      <c r="F100" s="33"/>
      <c r="G100" s="33"/>
      <c r="I100" s="29"/>
      <c r="J100" s="29"/>
      <c r="K100" s="29"/>
      <c r="L100" s="29"/>
      <c r="M100" s="29"/>
      <c r="N100" s="29"/>
      <c r="O100" s="29"/>
      <c r="P100" s="29"/>
      <c r="Q100" s="29"/>
      <c r="R100" s="29"/>
      <c r="S100" s="29"/>
      <c r="T100" s="29"/>
      <c r="U100" s="29"/>
      <c r="V100" s="29"/>
      <c r="W100" s="29"/>
      <c r="X100" s="29"/>
      <c r="Y100" s="29"/>
      <c r="Z100" s="29"/>
    </row>
    <row r="101" spans="1:26" ht="15">
      <c r="A101" s="29"/>
      <c r="B101" s="29"/>
      <c r="C101" s="29"/>
      <c r="D101" s="33"/>
      <c r="E101" s="33"/>
      <c r="F101" s="33"/>
      <c r="G101" s="33"/>
      <c r="I101" s="29"/>
      <c r="J101" s="29"/>
      <c r="K101" s="29"/>
      <c r="L101" s="29"/>
      <c r="M101" s="29"/>
      <c r="N101" s="29"/>
      <c r="O101" s="29"/>
      <c r="P101" s="29"/>
      <c r="Q101" s="29"/>
      <c r="R101" s="29"/>
      <c r="S101" s="29"/>
      <c r="T101" s="29"/>
      <c r="U101" s="29"/>
      <c r="V101" s="29"/>
      <c r="W101" s="29"/>
      <c r="X101" s="29"/>
      <c r="Y101" s="29"/>
      <c r="Z101" s="29"/>
    </row>
    <row r="102" spans="1:26" ht="15">
      <c r="A102" s="29"/>
      <c r="B102" s="29"/>
      <c r="C102" s="29"/>
      <c r="D102" s="33"/>
      <c r="E102" s="33"/>
      <c r="F102" s="33"/>
      <c r="G102" s="33"/>
      <c r="I102" s="29"/>
      <c r="J102" s="29"/>
      <c r="K102" s="29"/>
      <c r="L102" s="29"/>
      <c r="M102" s="29"/>
      <c r="N102" s="29"/>
      <c r="O102" s="29"/>
      <c r="P102" s="29"/>
      <c r="Q102" s="29"/>
      <c r="R102" s="29"/>
      <c r="S102" s="29"/>
      <c r="T102" s="29"/>
      <c r="U102" s="29"/>
      <c r="V102" s="29"/>
      <c r="W102" s="29"/>
      <c r="X102" s="29"/>
      <c r="Y102" s="29"/>
      <c r="Z102" s="29"/>
    </row>
    <row r="103" spans="1:26" ht="15">
      <c r="A103" s="29"/>
      <c r="B103" s="29"/>
      <c r="C103" s="29"/>
      <c r="D103" s="33"/>
      <c r="E103" s="33"/>
      <c r="F103" s="33"/>
      <c r="G103" s="33"/>
      <c r="I103" s="29"/>
      <c r="J103" s="29"/>
      <c r="K103" s="29"/>
      <c r="L103" s="29"/>
      <c r="M103" s="29"/>
      <c r="N103" s="29"/>
      <c r="O103" s="29"/>
      <c r="P103" s="29"/>
      <c r="Q103" s="29"/>
      <c r="R103" s="29"/>
      <c r="S103" s="29"/>
      <c r="T103" s="29"/>
      <c r="U103" s="29"/>
      <c r="V103" s="29"/>
      <c r="W103" s="29"/>
      <c r="X103" s="29"/>
      <c r="Y103" s="29"/>
      <c r="Z103" s="29"/>
    </row>
    <row r="104" spans="1:26" ht="15">
      <c r="A104" s="29"/>
      <c r="B104" s="29"/>
      <c r="C104" s="29"/>
      <c r="D104" s="33"/>
      <c r="E104" s="33"/>
      <c r="F104" s="33"/>
      <c r="G104" s="33"/>
      <c r="I104" s="29"/>
      <c r="J104" s="29"/>
      <c r="K104" s="29"/>
      <c r="L104" s="29"/>
      <c r="M104" s="29"/>
      <c r="N104" s="29"/>
      <c r="O104" s="29"/>
      <c r="P104" s="29"/>
      <c r="Q104" s="29"/>
      <c r="R104" s="29"/>
      <c r="S104" s="29"/>
      <c r="T104" s="29"/>
      <c r="U104" s="29"/>
      <c r="V104" s="29"/>
      <c r="W104" s="29"/>
      <c r="X104" s="29"/>
      <c r="Y104" s="29"/>
      <c r="Z104" s="29"/>
    </row>
    <row r="105" spans="1:26" ht="15">
      <c r="A105" s="29"/>
      <c r="B105" s="29"/>
      <c r="C105" s="29"/>
      <c r="D105" s="33"/>
      <c r="E105" s="33"/>
      <c r="F105" s="33"/>
      <c r="G105" s="33"/>
      <c r="I105" s="29"/>
      <c r="J105" s="29"/>
      <c r="K105" s="29"/>
      <c r="L105" s="29"/>
      <c r="M105" s="29"/>
      <c r="N105" s="29"/>
      <c r="O105" s="29"/>
      <c r="P105" s="29"/>
      <c r="Q105" s="29"/>
      <c r="R105" s="29"/>
      <c r="S105" s="29"/>
      <c r="T105" s="29"/>
      <c r="U105" s="29"/>
      <c r="V105" s="29"/>
      <c r="W105" s="29"/>
      <c r="X105" s="29"/>
      <c r="Y105" s="29"/>
      <c r="Z105" s="29"/>
    </row>
    <row r="106" spans="1:26" ht="15">
      <c r="A106" s="29"/>
      <c r="B106" s="29"/>
      <c r="C106" s="29"/>
      <c r="D106" s="33"/>
      <c r="E106" s="33"/>
      <c r="F106" s="33"/>
      <c r="G106" s="33"/>
      <c r="I106" s="29"/>
      <c r="J106" s="29"/>
      <c r="K106" s="29"/>
      <c r="L106" s="29"/>
      <c r="M106" s="29"/>
      <c r="N106" s="29"/>
      <c r="O106" s="29"/>
      <c r="P106" s="29"/>
      <c r="Q106" s="29"/>
      <c r="R106" s="29"/>
      <c r="S106" s="29"/>
      <c r="T106" s="29"/>
      <c r="U106" s="29"/>
      <c r="V106" s="29"/>
      <c r="W106" s="29"/>
      <c r="X106" s="29"/>
      <c r="Y106" s="29"/>
      <c r="Z106" s="29"/>
    </row>
    <row r="107" spans="1:26" ht="15">
      <c r="A107" s="29"/>
      <c r="B107" s="29"/>
      <c r="C107" s="29"/>
      <c r="D107" s="33"/>
      <c r="E107" s="33"/>
      <c r="F107" s="33"/>
      <c r="G107" s="33"/>
      <c r="I107" s="29"/>
      <c r="J107" s="29"/>
      <c r="K107" s="29"/>
      <c r="L107" s="29"/>
      <c r="M107" s="29"/>
      <c r="N107" s="29"/>
      <c r="O107" s="29"/>
      <c r="P107" s="29"/>
      <c r="Q107" s="29"/>
      <c r="R107" s="29"/>
      <c r="S107" s="29"/>
      <c r="T107" s="29"/>
      <c r="U107" s="29"/>
      <c r="V107" s="29"/>
      <c r="W107" s="29"/>
      <c r="X107" s="29"/>
      <c r="Y107" s="29"/>
      <c r="Z107" s="29"/>
    </row>
    <row r="108" spans="1:26" ht="15">
      <c r="A108" s="29"/>
      <c r="B108" s="29"/>
      <c r="C108" s="29"/>
      <c r="D108" s="33"/>
      <c r="E108" s="33"/>
      <c r="F108" s="33"/>
      <c r="G108" s="33"/>
      <c r="I108" s="29"/>
      <c r="J108" s="29"/>
      <c r="K108" s="29"/>
      <c r="L108" s="29"/>
      <c r="M108" s="29"/>
      <c r="N108" s="29"/>
      <c r="O108" s="29"/>
      <c r="P108" s="29"/>
      <c r="Q108" s="29"/>
      <c r="R108" s="29"/>
      <c r="S108" s="29"/>
      <c r="T108" s="29"/>
      <c r="U108" s="29"/>
      <c r="V108" s="29"/>
      <c r="W108" s="29"/>
      <c r="X108" s="29"/>
      <c r="Y108" s="29"/>
      <c r="Z108" s="29"/>
    </row>
    <row r="109" spans="1:26" ht="15">
      <c r="A109" s="29"/>
      <c r="B109" s="29"/>
      <c r="C109" s="29"/>
      <c r="D109" s="33"/>
      <c r="E109" s="33"/>
      <c r="F109" s="33"/>
      <c r="G109" s="33"/>
      <c r="I109" s="29"/>
      <c r="J109" s="29"/>
      <c r="K109" s="29"/>
      <c r="L109" s="29"/>
      <c r="M109" s="29"/>
      <c r="N109" s="29"/>
      <c r="O109" s="29"/>
      <c r="P109" s="29"/>
      <c r="Q109" s="29"/>
      <c r="R109" s="29"/>
      <c r="S109" s="29"/>
      <c r="T109" s="29"/>
      <c r="U109" s="29"/>
      <c r="V109" s="29"/>
      <c r="W109" s="29"/>
      <c r="X109" s="29"/>
      <c r="Y109" s="29"/>
      <c r="Z109" s="29"/>
    </row>
    <row r="110" spans="1:26" ht="15">
      <c r="A110" s="29"/>
      <c r="B110" s="29"/>
      <c r="C110" s="29"/>
      <c r="D110" s="33"/>
      <c r="E110" s="33"/>
      <c r="F110" s="33"/>
      <c r="G110" s="33"/>
      <c r="I110" s="29"/>
      <c r="J110" s="29"/>
      <c r="K110" s="29"/>
      <c r="L110" s="29"/>
      <c r="M110" s="29"/>
      <c r="N110" s="29"/>
      <c r="O110" s="29"/>
      <c r="P110" s="29"/>
      <c r="Q110" s="29"/>
      <c r="R110" s="29"/>
      <c r="S110" s="29"/>
      <c r="T110" s="29"/>
      <c r="U110" s="29"/>
      <c r="V110" s="29"/>
      <c r="W110" s="29"/>
      <c r="X110" s="29"/>
      <c r="Y110" s="29"/>
      <c r="Z110" s="29"/>
    </row>
    <row r="111" spans="1:26" ht="15">
      <c r="A111" s="29"/>
      <c r="B111" s="29"/>
      <c r="C111" s="29"/>
      <c r="D111" s="33"/>
      <c r="E111" s="33"/>
      <c r="F111" s="33"/>
      <c r="G111" s="33"/>
      <c r="I111" s="29"/>
      <c r="J111" s="29"/>
      <c r="K111" s="29"/>
      <c r="L111" s="29"/>
      <c r="M111" s="29"/>
      <c r="N111" s="29"/>
      <c r="O111" s="29"/>
      <c r="P111" s="29"/>
      <c r="Q111" s="29"/>
      <c r="R111" s="29"/>
      <c r="S111" s="29"/>
      <c r="T111" s="29"/>
      <c r="U111" s="29"/>
      <c r="V111" s="29"/>
      <c r="W111" s="29"/>
      <c r="X111" s="29"/>
      <c r="Y111" s="29"/>
      <c r="Z111" s="29"/>
    </row>
    <row r="112" spans="1:26" ht="15">
      <c r="A112" s="29"/>
      <c r="B112" s="29"/>
      <c r="C112" s="29"/>
      <c r="D112" s="33"/>
      <c r="E112" s="33"/>
      <c r="F112" s="33"/>
      <c r="G112" s="33"/>
      <c r="I112" s="29"/>
      <c r="J112" s="29"/>
      <c r="K112" s="29"/>
      <c r="L112" s="29"/>
      <c r="M112" s="29"/>
      <c r="N112" s="29"/>
      <c r="O112" s="29"/>
      <c r="P112" s="29"/>
      <c r="Q112" s="29"/>
      <c r="R112" s="29"/>
      <c r="S112" s="29"/>
      <c r="T112" s="29"/>
      <c r="U112" s="29"/>
      <c r="V112" s="29"/>
      <c r="W112" s="29"/>
      <c r="X112" s="29"/>
      <c r="Y112" s="29"/>
      <c r="Z112" s="29"/>
    </row>
    <row r="113" spans="1:26" ht="15">
      <c r="A113" s="29"/>
      <c r="B113" s="29"/>
      <c r="C113" s="29"/>
      <c r="D113" s="33"/>
      <c r="E113" s="33"/>
      <c r="F113" s="33"/>
      <c r="G113" s="33"/>
      <c r="I113" s="29"/>
      <c r="J113" s="29"/>
      <c r="K113" s="29"/>
      <c r="L113" s="29"/>
      <c r="M113" s="29"/>
      <c r="N113" s="29"/>
      <c r="O113" s="29"/>
      <c r="P113" s="29"/>
      <c r="Q113" s="29"/>
      <c r="R113" s="29"/>
      <c r="S113" s="29"/>
      <c r="T113" s="29"/>
      <c r="U113" s="29"/>
      <c r="V113" s="29"/>
      <c r="W113" s="29"/>
      <c r="X113" s="29"/>
      <c r="Y113" s="29"/>
      <c r="Z113" s="29"/>
    </row>
    <row r="114" spans="1:26" ht="15">
      <c r="A114" s="29"/>
      <c r="B114" s="29"/>
      <c r="C114" s="29"/>
      <c r="D114" s="33"/>
      <c r="E114" s="33"/>
      <c r="F114" s="33"/>
      <c r="G114" s="33"/>
      <c r="I114" s="29"/>
      <c r="J114" s="29"/>
      <c r="K114" s="29"/>
      <c r="L114" s="29"/>
      <c r="M114" s="29"/>
      <c r="N114" s="29"/>
      <c r="O114" s="29"/>
      <c r="P114" s="29"/>
      <c r="Q114" s="29"/>
      <c r="R114" s="29"/>
      <c r="S114" s="29"/>
      <c r="T114" s="29"/>
      <c r="U114" s="29"/>
      <c r="V114" s="29"/>
      <c r="W114" s="29"/>
      <c r="X114" s="29"/>
      <c r="Y114" s="29"/>
      <c r="Z114" s="29"/>
    </row>
    <row r="115" spans="1:26" ht="15">
      <c r="A115" s="29"/>
      <c r="B115" s="29"/>
      <c r="C115" s="29"/>
      <c r="D115" s="33"/>
      <c r="E115" s="33"/>
      <c r="F115" s="33"/>
      <c r="G115" s="33"/>
      <c r="I115" s="29"/>
      <c r="J115" s="29"/>
      <c r="K115" s="29"/>
      <c r="L115" s="29"/>
      <c r="M115" s="29"/>
      <c r="N115" s="29"/>
      <c r="O115" s="29"/>
      <c r="P115" s="29"/>
      <c r="Q115" s="29"/>
      <c r="R115" s="29"/>
      <c r="S115" s="29"/>
      <c r="T115" s="29"/>
      <c r="U115" s="29"/>
      <c r="V115" s="29"/>
      <c r="W115" s="29"/>
      <c r="X115" s="29"/>
      <c r="Y115" s="29"/>
      <c r="Z115" s="29"/>
    </row>
    <row r="116" spans="1:26" ht="15">
      <c r="A116" s="29"/>
      <c r="B116" s="29"/>
      <c r="C116" s="29"/>
      <c r="D116" s="33"/>
      <c r="E116" s="33"/>
      <c r="F116" s="33"/>
      <c r="G116" s="33"/>
      <c r="I116" s="29"/>
      <c r="J116" s="29"/>
      <c r="K116" s="29"/>
      <c r="L116" s="29"/>
      <c r="M116" s="29"/>
      <c r="N116" s="29"/>
      <c r="O116" s="29"/>
      <c r="P116" s="29"/>
      <c r="Q116" s="29"/>
      <c r="R116" s="29"/>
      <c r="S116" s="29"/>
      <c r="T116" s="29"/>
      <c r="U116" s="29"/>
      <c r="V116" s="29"/>
      <c r="W116" s="29"/>
      <c r="X116" s="29"/>
      <c r="Y116" s="29"/>
      <c r="Z116" s="29"/>
    </row>
    <row r="117" spans="1:26" ht="15">
      <c r="A117" s="29"/>
      <c r="B117" s="29"/>
      <c r="C117" s="29"/>
      <c r="D117" s="33"/>
      <c r="E117" s="33"/>
      <c r="F117" s="33"/>
      <c r="G117" s="33"/>
      <c r="I117" s="29"/>
      <c r="J117" s="29"/>
      <c r="K117" s="29"/>
      <c r="L117" s="29"/>
      <c r="M117" s="29"/>
      <c r="N117" s="29"/>
      <c r="O117" s="29"/>
      <c r="P117" s="29"/>
      <c r="Q117" s="29"/>
      <c r="R117" s="29"/>
      <c r="S117" s="29"/>
      <c r="T117" s="29"/>
      <c r="U117" s="29"/>
      <c r="V117" s="29"/>
      <c r="W117" s="29"/>
      <c r="X117" s="29"/>
      <c r="Y117" s="29"/>
      <c r="Z117" s="29"/>
    </row>
    <row r="118" spans="1:26" ht="15">
      <c r="A118" s="29"/>
      <c r="B118" s="29"/>
      <c r="C118" s="29"/>
      <c r="D118" s="33"/>
      <c r="E118" s="33"/>
      <c r="F118" s="33"/>
      <c r="G118" s="33"/>
      <c r="I118" s="29"/>
      <c r="J118" s="29"/>
      <c r="K118" s="29"/>
      <c r="L118" s="29"/>
      <c r="M118" s="29"/>
      <c r="N118" s="29"/>
      <c r="O118" s="29"/>
      <c r="P118" s="29"/>
      <c r="Q118" s="29"/>
      <c r="R118" s="29"/>
      <c r="S118" s="29"/>
      <c r="T118" s="29"/>
      <c r="U118" s="29"/>
      <c r="V118" s="29"/>
      <c r="W118" s="29"/>
      <c r="X118" s="29"/>
      <c r="Y118" s="29"/>
      <c r="Z118" s="29"/>
    </row>
    <row r="119" spans="1:26" ht="15">
      <c r="A119" s="29"/>
      <c r="B119" s="29"/>
      <c r="C119" s="29"/>
      <c r="D119" s="33"/>
      <c r="E119" s="33"/>
      <c r="F119" s="33"/>
      <c r="G119" s="33"/>
      <c r="I119" s="29"/>
      <c r="J119" s="29"/>
      <c r="K119" s="29"/>
      <c r="L119" s="29"/>
      <c r="M119" s="29"/>
      <c r="N119" s="29"/>
      <c r="O119" s="29"/>
      <c r="P119" s="29"/>
      <c r="Q119" s="29"/>
      <c r="R119" s="29"/>
      <c r="S119" s="29"/>
      <c r="T119" s="29"/>
      <c r="U119" s="29"/>
      <c r="V119" s="29"/>
      <c r="W119" s="29"/>
      <c r="X119" s="29"/>
      <c r="Y119" s="29"/>
      <c r="Z119" s="29"/>
    </row>
    <row r="120" spans="1:26" ht="15">
      <c r="A120" s="29"/>
      <c r="B120" s="29"/>
      <c r="C120" s="29"/>
      <c r="D120" s="33"/>
      <c r="E120" s="33"/>
      <c r="F120" s="33"/>
      <c r="G120" s="33"/>
      <c r="I120" s="29"/>
      <c r="J120" s="29"/>
      <c r="K120" s="29"/>
      <c r="L120" s="29"/>
      <c r="M120" s="29"/>
      <c r="N120" s="29"/>
      <c r="O120" s="29"/>
      <c r="P120" s="29"/>
      <c r="Q120" s="29"/>
      <c r="R120" s="29"/>
      <c r="S120" s="29"/>
      <c r="T120" s="29"/>
      <c r="U120" s="29"/>
      <c r="V120" s="29"/>
      <c r="W120" s="29"/>
      <c r="X120" s="29"/>
      <c r="Y120" s="29"/>
      <c r="Z120" s="29"/>
    </row>
    <row r="121" spans="1:26" ht="15">
      <c r="A121" s="29"/>
      <c r="B121" s="29"/>
      <c r="C121" s="29"/>
      <c r="D121" s="33"/>
      <c r="E121" s="33"/>
      <c r="F121" s="33"/>
      <c r="G121" s="33"/>
      <c r="I121" s="29"/>
      <c r="J121" s="29"/>
      <c r="K121" s="29"/>
      <c r="L121" s="29"/>
      <c r="M121" s="29"/>
      <c r="N121" s="29"/>
      <c r="O121" s="29"/>
      <c r="P121" s="29"/>
      <c r="Q121" s="29"/>
      <c r="R121" s="29"/>
      <c r="S121" s="29"/>
      <c r="T121" s="29"/>
      <c r="U121" s="29"/>
      <c r="V121" s="29"/>
      <c r="W121" s="29"/>
      <c r="X121" s="29"/>
      <c r="Y121" s="29"/>
      <c r="Z121" s="29"/>
    </row>
    <row r="122" spans="1:26" ht="15">
      <c r="A122" s="29"/>
      <c r="B122" s="29"/>
      <c r="C122" s="29"/>
      <c r="D122" s="33"/>
      <c r="E122" s="33"/>
      <c r="F122" s="33"/>
      <c r="G122" s="33"/>
      <c r="I122" s="29"/>
      <c r="J122" s="29"/>
      <c r="K122" s="29"/>
      <c r="L122" s="29"/>
      <c r="M122" s="29"/>
      <c r="N122" s="29"/>
      <c r="O122" s="29"/>
      <c r="P122" s="29"/>
      <c r="Q122" s="29"/>
      <c r="R122" s="29"/>
      <c r="S122" s="29"/>
      <c r="T122" s="29"/>
      <c r="U122" s="29"/>
      <c r="V122" s="29"/>
      <c r="W122" s="29"/>
      <c r="X122" s="29"/>
      <c r="Y122" s="29"/>
      <c r="Z122" s="29"/>
    </row>
    <row r="123" spans="1:26" ht="15">
      <c r="A123" s="29"/>
      <c r="B123" s="29"/>
      <c r="C123" s="29"/>
      <c r="D123" s="33"/>
      <c r="E123" s="33"/>
      <c r="F123" s="33"/>
      <c r="G123" s="33"/>
      <c r="I123" s="29"/>
      <c r="J123" s="29"/>
      <c r="K123" s="29"/>
      <c r="L123" s="29"/>
      <c r="M123" s="29"/>
      <c r="N123" s="29"/>
      <c r="O123" s="29"/>
      <c r="P123" s="29"/>
      <c r="Q123" s="29"/>
      <c r="R123" s="29"/>
      <c r="S123" s="29"/>
      <c r="T123" s="29"/>
      <c r="U123" s="29"/>
      <c r="V123" s="29"/>
      <c r="W123" s="29"/>
      <c r="X123" s="29"/>
      <c r="Y123" s="29"/>
      <c r="Z123" s="29"/>
    </row>
    <row r="124" spans="1:26" ht="15">
      <c r="A124" s="29"/>
      <c r="B124" s="29"/>
      <c r="C124" s="29"/>
      <c r="D124" s="33"/>
      <c r="E124" s="33"/>
      <c r="F124" s="33"/>
      <c r="G124" s="33"/>
      <c r="I124" s="29"/>
      <c r="J124" s="29"/>
      <c r="K124" s="29"/>
      <c r="L124" s="29"/>
      <c r="M124" s="29"/>
      <c r="N124" s="29"/>
      <c r="O124" s="29"/>
      <c r="P124" s="29"/>
      <c r="Q124" s="29"/>
      <c r="R124" s="29"/>
      <c r="S124" s="29"/>
      <c r="T124" s="29"/>
      <c r="U124" s="29"/>
      <c r="V124" s="29"/>
      <c r="W124" s="29"/>
      <c r="X124" s="29"/>
      <c r="Y124" s="29"/>
      <c r="Z124" s="29"/>
    </row>
    <row r="125" spans="1:26" ht="15">
      <c r="A125" s="29"/>
      <c r="B125" s="29"/>
      <c r="C125" s="29"/>
      <c r="D125" s="33"/>
      <c r="E125" s="33"/>
      <c r="F125" s="33"/>
      <c r="G125" s="33"/>
      <c r="I125" s="29"/>
      <c r="J125" s="29"/>
      <c r="K125" s="29"/>
      <c r="L125" s="29"/>
      <c r="M125" s="29"/>
      <c r="N125" s="29"/>
      <c r="O125" s="29"/>
      <c r="P125" s="29"/>
      <c r="Q125" s="29"/>
      <c r="R125" s="29"/>
      <c r="S125" s="29"/>
      <c r="T125" s="29"/>
      <c r="U125" s="29"/>
      <c r="V125" s="29"/>
      <c r="W125" s="29"/>
      <c r="X125" s="29"/>
      <c r="Y125" s="29"/>
      <c r="Z125" s="29"/>
    </row>
    <row r="126" spans="1:26" ht="15">
      <c r="A126" s="29"/>
      <c r="B126" s="29"/>
      <c r="C126" s="29"/>
      <c r="D126" s="33"/>
      <c r="E126" s="33"/>
      <c r="F126" s="33"/>
      <c r="G126" s="33"/>
      <c r="I126" s="29"/>
      <c r="J126" s="29"/>
      <c r="K126" s="29"/>
      <c r="L126" s="29"/>
      <c r="M126" s="29"/>
      <c r="N126" s="29"/>
      <c r="O126" s="29"/>
      <c r="P126" s="29"/>
      <c r="Q126" s="29"/>
      <c r="R126" s="29"/>
      <c r="S126" s="29"/>
      <c r="T126" s="29"/>
      <c r="U126" s="29"/>
      <c r="V126" s="29"/>
      <c r="W126" s="29"/>
      <c r="X126" s="29"/>
      <c r="Y126" s="29"/>
      <c r="Z126" s="29"/>
    </row>
    <row r="127" spans="1:26" ht="15">
      <c r="A127" s="29"/>
      <c r="B127" s="29"/>
      <c r="C127" s="29"/>
      <c r="D127" s="33"/>
      <c r="E127" s="33"/>
      <c r="F127" s="33"/>
      <c r="G127" s="33"/>
      <c r="I127" s="29"/>
      <c r="J127" s="29"/>
      <c r="K127" s="29"/>
      <c r="L127" s="29"/>
      <c r="M127" s="29"/>
      <c r="N127" s="29"/>
      <c r="O127" s="29"/>
      <c r="P127" s="29"/>
      <c r="Q127" s="29"/>
      <c r="R127" s="29"/>
      <c r="S127" s="29"/>
      <c r="T127" s="29"/>
      <c r="U127" s="29"/>
      <c r="V127" s="29"/>
      <c r="W127" s="29"/>
      <c r="X127" s="29"/>
      <c r="Y127" s="29"/>
      <c r="Z127" s="29"/>
    </row>
    <row r="128" spans="1:26" ht="15">
      <c r="A128" s="29"/>
      <c r="B128" s="29"/>
      <c r="C128" s="29"/>
      <c r="D128" s="33"/>
      <c r="E128" s="33"/>
      <c r="F128" s="33"/>
      <c r="G128" s="33"/>
      <c r="I128" s="29"/>
      <c r="J128" s="29"/>
      <c r="K128" s="29"/>
      <c r="L128" s="29"/>
      <c r="M128" s="29"/>
      <c r="N128" s="29"/>
      <c r="O128" s="29"/>
      <c r="P128" s="29"/>
      <c r="Q128" s="29"/>
      <c r="R128" s="29"/>
      <c r="S128" s="29"/>
      <c r="T128" s="29"/>
      <c r="U128" s="29"/>
      <c r="V128" s="29"/>
      <c r="W128" s="29"/>
      <c r="X128" s="29"/>
      <c r="Y128" s="29"/>
      <c r="Z128" s="29"/>
    </row>
    <row r="129" spans="1:26" ht="15">
      <c r="A129" s="29"/>
      <c r="B129" s="29"/>
      <c r="C129" s="29"/>
      <c r="D129" s="33"/>
      <c r="E129" s="33"/>
      <c r="F129" s="33"/>
      <c r="G129" s="33"/>
      <c r="I129" s="29"/>
      <c r="J129" s="29"/>
      <c r="K129" s="29"/>
      <c r="L129" s="29"/>
      <c r="M129" s="29"/>
      <c r="N129" s="29"/>
      <c r="O129" s="29"/>
      <c r="P129" s="29"/>
      <c r="Q129" s="29"/>
      <c r="R129" s="29"/>
      <c r="S129" s="29"/>
      <c r="T129" s="29"/>
      <c r="U129" s="29"/>
      <c r="V129" s="29"/>
      <c r="W129" s="29"/>
      <c r="X129" s="29"/>
      <c r="Y129" s="29"/>
      <c r="Z129" s="29"/>
    </row>
    <row r="130" spans="1:26" ht="15">
      <c r="A130" s="29"/>
      <c r="B130" s="29"/>
      <c r="C130" s="29"/>
      <c r="D130" s="33"/>
      <c r="E130" s="33"/>
      <c r="F130" s="33"/>
      <c r="G130" s="33"/>
      <c r="I130" s="29"/>
      <c r="J130" s="29"/>
      <c r="K130" s="29"/>
      <c r="L130" s="29"/>
      <c r="M130" s="29"/>
      <c r="N130" s="29"/>
      <c r="O130" s="29"/>
      <c r="P130" s="29"/>
      <c r="Q130" s="29"/>
      <c r="R130" s="29"/>
      <c r="S130" s="29"/>
      <c r="T130" s="29"/>
      <c r="U130" s="29"/>
      <c r="V130" s="29"/>
      <c r="W130" s="29"/>
      <c r="X130" s="29"/>
      <c r="Y130" s="29"/>
      <c r="Z130" s="29"/>
    </row>
    <row r="131" spans="1:26" ht="15">
      <c r="A131" s="29"/>
      <c r="B131" s="29"/>
      <c r="C131" s="29"/>
      <c r="D131" s="33"/>
      <c r="E131" s="33"/>
      <c r="F131" s="33"/>
      <c r="G131" s="33"/>
      <c r="I131" s="29"/>
      <c r="J131" s="29"/>
      <c r="K131" s="29"/>
      <c r="L131" s="29"/>
      <c r="M131" s="29"/>
      <c r="N131" s="29"/>
      <c r="O131" s="29"/>
      <c r="P131" s="29"/>
      <c r="Q131" s="29"/>
      <c r="R131" s="29"/>
      <c r="S131" s="29"/>
      <c r="T131" s="29"/>
      <c r="U131" s="29"/>
      <c r="V131" s="29"/>
      <c r="W131" s="29"/>
      <c r="X131" s="29"/>
      <c r="Y131" s="29"/>
      <c r="Z131" s="29"/>
    </row>
    <row r="132" spans="1:26" ht="15">
      <c r="A132" s="29"/>
      <c r="B132" s="29"/>
      <c r="C132" s="29"/>
      <c r="D132" s="33"/>
      <c r="E132" s="33"/>
      <c r="F132" s="33"/>
      <c r="G132" s="33"/>
      <c r="I132" s="29"/>
      <c r="J132" s="29"/>
      <c r="K132" s="29"/>
      <c r="L132" s="29"/>
      <c r="M132" s="29"/>
      <c r="N132" s="29"/>
      <c r="O132" s="29"/>
      <c r="P132" s="29"/>
      <c r="Q132" s="29"/>
      <c r="R132" s="29"/>
      <c r="S132" s="29"/>
      <c r="T132" s="29"/>
      <c r="U132" s="29"/>
      <c r="V132" s="29"/>
      <c r="W132" s="29"/>
      <c r="X132" s="29"/>
      <c r="Y132" s="29"/>
      <c r="Z132" s="29"/>
    </row>
    <row r="133" spans="1:26" ht="15">
      <c r="A133" s="29"/>
      <c r="B133" s="29"/>
      <c r="C133" s="29"/>
      <c r="D133" s="33"/>
      <c r="E133" s="33"/>
      <c r="F133" s="33"/>
      <c r="G133" s="33"/>
      <c r="I133" s="29"/>
      <c r="J133" s="29"/>
      <c r="K133" s="29"/>
      <c r="L133" s="29"/>
      <c r="M133" s="29"/>
      <c r="N133" s="29"/>
      <c r="O133" s="29"/>
      <c r="P133" s="29"/>
      <c r="Q133" s="29"/>
      <c r="R133" s="29"/>
      <c r="S133" s="29"/>
      <c r="T133" s="29"/>
      <c r="U133" s="29"/>
      <c r="V133" s="29"/>
      <c r="W133" s="29"/>
      <c r="X133" s="29"/>
      <c r="Y133" s="29"/>
      <c r="Z133" s="29"/>
    </row>
    <row r="134" spans="1:26" ht="15">
      <c r="A134" s="29"/>
      <c r="B134" s="29"/>
      <c r="C134" s="29"/>
      <c r="D134" s="33"/>
      <c r="E134" s="33"/>
      <c r="F134" s="33"/>
      <c r="G134" s="33"/>
      <c r="I134" s="29"/>
      <c r="J134" s="29"/>
      <c r="K134" s="29"/>
      <c r="L134" s="29"/>
      <c r="M134" s="29"/>
      <c r="N134" s="29"/>
      <c r="O134" s="29"/>
      <c r="P134" s="29"/>
      <c r="Q134" s="29"/>
      <c r="R134" s="29"/>
      <c r="S134" s="29"/>
      <c r="T134" s="29"/>
      <c r="U134" s="29"/>
      <c r="V134" s="29"/>
      <c r="W134" s="29"/>
      <c r="X134" s="29"/>
      <c r="Y134" s="29"/>
      <c r="Z134" s="29"/>
    </row>
    <row r="135" spans="1:26" ht="15">
      <c r="A135" s="29"/>
      <c r="B135" s="29"/>
      <c r="C135" s="29"/>
      <c r="D135" s="33"/>
      <c r="E135" s="33"/>
      <c r="F135" s="33"/>
      <c r="G135" s="33"/>
      <c r="I135" s="29"/>
      <c r="J135" s="29"/>
      <c r="K135" s="29"/>
      <c r="L135" s="29"/>
      <c r="M135" s="29"/>
      <c r="N135" s="29"/>
      <c r="O135" s="29"/>
      <c r="P135" s="29"/>
      <c r="Q135" s="29"/>
      <c r="R135" s="29"/>
      <c r="S135" s="29"/>
      <c r="T135" s="29"/>
      <c r="U135" s="29"/>
      <c r="V135" s="29"/>
      <c r="W135" s="29"/>
      <c r="X135" s="29"/>
      <c r="Y135" s="29"/>
      <c r="Z135" s="29"/>
    </row>
    <row r="136" spans="1:26" ht="15">
      <c r="A136" s="29"/>
      <c r="B136" s="29"/>
      <c r="C136" s="29"/>
      <c r="D136" s="33"/>
      <c r="E136" s="33"/>
      <c r="F136" s="33"/>
      <c r="G136" s="33"/>
      <c r="I136" s="29"/>
      <c r="J136" s="29"/>
      <c r="K136" s="29"/>
      <c r="L136" s="29"/>
      <c r="M136" s="29"/>
      <c r="N136" s="29"/>
      <c r="O136" s="29"/>
      <c r="P136" s="29"/>
      <c r="Q136" s="29"/>
      <c r="R136" s="29"/>
      <c r="S136" s="29"/>
      <c r="T136" s="29"/>
      <c r="U136" s="29"/>
      <c r="V136" s="29"/>
      <c r="W136" s="29"/>
      <c r="X136" s="29"/>
      <c r="Y136" s="29"/>
      <c r="Z136" s="29"/>
    </row>
    <row r="137" spans="1:26" ht="15">
      <c r="A137" s="29"/>
      <c r="B137" s="29"/>
      <c r="C137" s="29"/>
      <c r="D137" s="33"/>
      <c r="E137" s="33"/>
      <c r="F137" s="33"/>
      <c r="G137" s="33"/>
      <c r="I137" s="29"/>
      <c r="J137" s="29"/>
      <c r="K137" s="29"/>
      <c r="L137" s="29"/>
      <c r="M137" s="29"/>
      <c r="N137" s="29"/>
      <c r="O137" s="29"/>
      <c r="P137" s="29"/>
      <c r="Q137" s="29"/>
      <c r="R137" s="29"/>
      <c r="S137" s="29"/>
      <c r="T137" s="29"/>
      <c r="U137" s="29"/>
      <c r="V137" s="29"/>
      <c r="W137" s="29"/>
      <c r="X137" s="29"/>
      <c r="Y137" s="29"/>
      <c r="Z137" s="29"/>
    </row>
    <row r="138" spans="1:26" ht="15">
      <c r="A138" s="29"/>
      <c r="B138" s="29"/>
      <c r="C138" s="29"/>
      <c r="D138" s="33"/>
      <c r="E138" s="33"/>
      <c r="F138" s="33"/>
      <c r="G138" s="33"/>
      <c r="I138" s="29"/>
      <c r="J138" s="29"/>
      <c r="K138" s="29"/>
      <c r="L138" s="29"/>
      <c r="M138" s="29"/>
      <c r="N138" s="29"/>
      <c r="O138" s="29"/>
      <c r="P138" s="29"/>
      <c r="Q138" s="29"/>
      <c r="R138" s="29"/>
      <c r="S138" s="29"/>
      <c r="T138" s="29"/>
      <c r="U138" s="29"/>
      <c r="V138" s="29"/>
      <c r="W138" s="29"/>
      <c r="X138" s="29"/>
      <c r="Y138" s="29"/>
      <c r="Z138" s="29"/>
    </row>
    <row r="139" spans="1:26" ht="15">
      <c r="A139" s="29"/>
      <c r="B139" s="29"/>
      <c r="C139" s="29"/>
      <c r="D139" s="33"/>
      <c r="E139" s="33"/>
      <c r="F139" s="33"/>
      <c r="G139" s="33"/>
      <c r="I139" s="29"/>
      <c r="J139" s="29"/>
      <c r="K139" s="29"/>
      <c r="L139" s="29"/>
      <c r="M139" s="29"/>
      <c r="N139" s="29"/>
      <c r="O139" s="29"/>
      <c r="P139" s="29"/>
      <c r="Q139" s="29"/>
      <c r="R139" s="29"/>
      <c r="S139" s="29"/>
      <c r="T139" s="29"/>
      <c r="U139" s="29"/>
      <c r="V139" s="29"/>
      <c r="W139" s="29"/>
      <c r="X139" s="29"/>
      <c r="Y139" s="29"/>
      <c r="Z139" s="29"/>
    </row>
    <row r="140" spans="1:26" ht="15">
      <c r="A140" s="29"/>
      <c r="B140" s="29"/>
      <c r="C140" s="29"/>
      <c r="D140" s="33"/>
      <c r="E140" s="33"/>
      <c r="F140" s="33"/>
      <c r="G140" s="33"/>
      <c r="I140" s="29"/>
      <c r="J140" s="29"/>
      <c r="K140" s="29"/>
      <c r="L140" s="29"/>
      <c r="M140" s="29"/>
      <c r="N140" s="29"/>
      <c r="O140" s="29"/>
      <c r="P140" s="29"/>
      <c r="Q140" s="29"/>
      <c r="R140" s="29"/>
      <c r="S140" s="29"/>
      <c r="T140" s="29"/>
      <c r="U140" s="29"/>
      <c r="V140" s="29"/>
      <c r="W140" s="29"/>
      <c r="X140" s="29"/>
      <c r="Y140" s="29"/>
      <c r="Z140" s="29"/>
    </row>
    <row r="141" spans="1:26" ht="15">
      <c r="A141" s="29"/>
      <c r="B141" s="29"/>
      <c r="C141" s="29"/>
      <c r="D141" s="33"/>
      <c r="E141" s="33"/>
      <c r="F141" s="33"/>
      <c r="G141" s="33"/>
      <c r="I141" s="29"/>
      <c r="J141" s="29"/>
      <c r="K141" s="29"/>
      <c r="L141" s="29"/>
      <c r="M141" s="29"/>
      <c r="N141" s="29"/>
      <c r="O141" s="29"/>
      <c r="P141" s="29"/>
      <c r="Q141" s="29"/>
      <c r="R141" s="29"/>
      <c r="S141" s="29"/>
      <c r="T141" s="29"/>
      <c r="U141" s="29"/>
      <c r="V141" s="29"/>
      <c r="W141" s="29"/>
      <c r="X141" s="29"/>
      <c r="Y141" s="29"/>
      <c r="Z141" s="29"/>
    </row>
    <row r="142" spans="1:26" ht="15">
      <c r="A142" s="29"/>
      <c r="B142" s="29"/>
      <c r="C142" s="29"/>
      <c r="D142" s="33"/>
      <c r="E142" s="33"/>
      <c r="F142" s="33"/>
      <c r="G142" s="33"/>
      <c r="I142" s="29"/>
      <c r="J142" s="29"/>
      <c r="K142" s="29"/>
      <c r="L142" s="29"/>
      <c r="M142" s="29"/>
      <c r="N142" s="29"/>
      <c r="O142" s="29"/>
      <c r="P142" s="29"/>
      <c r="Q142" s="29"/>
      <c r="R142" s="29"/>
      <c r="S142" s="29"/>
      <c r="T142" s="29"/>
      <c r="U142" s="29"/>
      <c r="V142" s="29"/>
      <c r="W142" s="29"/>
      <c r="X142" s="29"/>
      <c r="Y142" s="29"/>
      <c r="Z142" s="29"/>
    </row>
    <row r="143" spans="1:26" ht="15">
      <c r="A143" s="29"/>
      <c r="B143" s="29"/>
      <c r="C143" s="29"/>
      <c r="D143" s="33"/>
      <c r="E143" s="33"/>
      <c r="F143" s="33"/>
      <c r="G143" s="33"/>
      <c r="I143" s="29"/>
      <c r="J143" s="29"/>
      <c r="K143" s="29"/>
      <c r="L143" s="29"/>
      <c r="M143" s="29"/>
      <c r="N143" s="29"/>
      <c r="O143" s="29"/>
      <c r="P143" s="29"/>
      <c r="Q143" s="29"/>
      <c r="R143" s="29"/>
      <c r="S143" s="29"/>
      <c r="T143" s="29"/>
      <c r="U143" s="29"/>
      <c r="V143" s="29"/>
      <c r="W143" s="29"/>
      <c r="X143" s="29"/>
      <c r="Y143" s="29"/>
      <c r="Z143" s="29"/>
    </row>
    <row r="144" spans="1:26" ht="15">
      <c r="A144" s="29"/>
      <c r="B144" s="29"/>
      <c r="C144" s="29"/>
      <c r="D144" s="33"/>
      <c r="E144" s="33"/>
      <c r="F144" s="33"/>
      <c r="G144" s="33"/>
      <c r="I144" s="29"/>
      <c r="J144" s="29"/>
      <c r="K144" s="29"/>
      <c r="L144" s="29"/>
      <c r="M144" s="29"/>
      <c r="N144" s="29"/>
      <c r="O144" s="29"/>
      <c r="P144" s="29"/>
      <c r="Q144" s="29"/>
      <c r="R144" s="29"/>
      <c r="S144" s="29"/>
      <c r="T144" s="29"/>
      <c r="U144" s="29"/>
      <c r="V144" s="29"/>
      <c r="W144" s="29"/>
      <c r="X144" s="29"/>
      <c r="Y144" s="29"/>
      <c r="Z144" s="29"/>
    </row>
    <row r="145" spans="1:26" ht="15">
      <c r="A145" s="29"/>
      <c r="B145" s="29"/>
      <c r="C145" s="29"/>
      <c r="D145" s="33"/>
      <c r="E145" s="33"/>
      <c r="F145" s="33"/>
      <c r="G145" s="33"/>
      <c r="I145" s="29"/>
      <c r="J145" s="29"/>
      <c r="K145" s="29"/>
      <c r="L145" s="29"/>
      <c r="M145" s="29"/>
      <c r="N145" s="29"/>
      <c r="O145" s="29"/>
      <c r="P145" s="29"/>
      <c r="Q145" s="29"/>
      <c r="R145" s="29"/>
      <c r="S145" s="29"/>
      <c r="T145" s="29"/>
      <c r="U145" s="29"/>
      <c r="V145" s="29"/>
      <c r="W145" s="29"/>
      <c r="X145" s="29"/>
      <c r="Y145" s="29"/>
      <c r="Z145" s="29"/>
    </row>
    <row r="146" spans="1:26" ht="15">
      <c r="A146" s="29"/>
      <c r="B146" s="29"/>
      <c r="C146" s="29"/>
      <c r="D146" s="33"/>
      <c r="E146" s="33"/>
      <c r="F146" s="33"/>
      <c r="G146" s="33"/>
      <c r="I146" s="29"/>
      <c r="J146" s="29"/>
      <c r="K146" s="29"/>
      <c r="L146" s="29"/>
      <c r="M146" s="29"/>
      <c r="N146" s="29"/>
      <c r="O146" s="29"/>
      <c r="P146" s="29"/>
      <c r="Q146" s="29"/>
      <c r="R146" s="29"/>
      <c r="S146" s="29"/>
      <c r="T146" s="29"/>
      <c r="U146" s="29"/>
      <c r="V146" s="29"/>
      <c r="W146" s="29"/>
      <c r="X146" s="29"/>
      <c r="Y146" s="29"/>
      <c r="Z146" s="29"/>
    </row>
    <row r="147" spans="1:26" ht="15">
      <c r="A147" s="29"/>
      <c r="B147" s="29"/>
      <c r="C147" s="29"/>
      <c r="D147" s="33"/>
      <c r="E147" s="33"/>
      <c r="F147" s="33"/>
      <c r="G147" s="33"/>
      <c r="I147" s="29"/>
      <c r="J147" s="29"/>
      <c r="K147" s="29"/>
      <c r="L147" s="29"/>
      <c r="M147" s="29"/>
      <c r="N147" s="29"/>
      <c r="O147" s="29"/>
      <c r="P147" s="29"/>
      <c r="Q147" s="29"/>
      <c r="R147" s="29"/>
      <c r="S147" s="29"/>
      <c r="T147" s="29"/>
      <c r="U147" s="29"/>
      <c r="V147" s="29"/>
      <c r="W147" s="29"/>
      <c r="X147" s="29"/>
      <c r="Y147" s="29"/>
      <c r="Z147" s="29"/>
    </row>
    <row r="148" spans="1:26" ht="15">
      <c r="A148" s="29"/>
      <c r="B148" s="29"/>
      <c r="C148" s="29"/>
      <c r="D148" s="33"/>
      <c r="E148" s="33"/>
      <c r="F148" s="33"/>
      <c r="G148" s="33"/>
      <c r="I148" s="29"/>
      <c r="J148" s="29"/>
      <c r="K148" s="29"/>
      <c r="L148" s="29"/>
      <c r="M148" s="29"/>
      <c r="N148" s="29"/>
      <c r="O148" s="29"/>
      <c r="P148" s="29"/>
      <c r="Q148" s="29"/>
      <c r="R148" s="29"/>
      <c r="S148" s="29"/>
      <c r="T148" s="29"/>
      <c r="U148" s="29"/>
      <c r="V148" s="29"/>
      <c r="W148" s="29"/>
      <c r="X148" s="29"/>
      <c r="Y148" s="29"/>
      <c r="Z148" s="29"/>
    </row>
    <row r="149" spans="1:26" ht="15">
      <c r="A149" s="29"/>
      <c r="B149" s="29"/>
      <c r="C149" s="29"/>
      <c r="D149" s="33"/>
      <c r="E149" s="33"/>
      <c r="F149" s="33"/>
      <c r="G149" s="33"/>
      <c r="I149" s="29"/>
      <c r="J149" s="29"/>
      <c r="K149" s="29"/>
      <c r="L149" s="29"/>
      <c r="M149" s="29"/>
      <c r="N149" s="29"/>
      <c r="O149" s="29"/>
      <c r="P149" s="29"/>
      <c r="Q149" s="29"/>
      <c r="R149" s="29"/>
      <c r="S149" s="29"/>
      <c r="T149" s="29"/>
      <c r="U149" s="29"/>
      <c r="V149" s="29"/>
      <c r="W149" s="29"/>
      <c r="X149" s="29"/>
      <c r="Y149" s="29"/>
      <c r="Z149" s="29"/>
    </row>
    <row r="150" spans="1:26" ht="15">
      <c r="A150" s="29"/>
      <c r="B150" s="29"/>
      <c r="C150" s="29"/>
      <c r="D150" s="33"/>
      <c r="E150" s="33"/>
      <c r="F150" s="33"/>
      <c r="G150" s="33"/>
      <c r="I150" s="29"/>
      <c r="J150" s="29"/>
      <c r="K150" s="29"/>
      <c r="L150" s="29"/>
      <c r="M150" s="29"/>
      <c r="N150" s="29"/>
      <c r="O150" s="29"/>
      <c r="P150" s="29"/>
      <c r="Q150" s="29"/>
      <c r="R150" s="29"/>
      <c r="S150" s="29"/>
      <c r="T150" s="29"/>
      <c r="U150" s="29"/>
      <c r="V150" s="29"/>
      <c r="W150" s="29"/>
      <c r="X150" s="29"/>
      <c r="Y150" s="29"/>
      <c r="Z150" s="29"/>
    </row>
    <row r="151" spans="1:26" ht="15">
      <c r="A151" s="29"/>
      <c r="B151" s="29"/>
      <c r="C151" s="29"/>
      <c r="D151" s="33"/>
      <c r="E151" s="33"/>
      <c r="F151" s="33"/>
      <c r="G151" s="33"/>
      <c r="I151" s="29"/>
      <c r="J151" s="29"/>
      <c r="K151" s="29"/>
      <c r="L151" s="29"/>
      <c r="M151" s="29"/>
      <c r="N151" s="29"/>
      <c r="O151" s="29"/>
      <c r="P151" s="29"/>
      <c r="Q151" s="29"/>
      <c r="R151" s="29"/>
      <c r="S151" s="29"/>
      <c r="T151" s="29"/>
      <c r="U151" s="29"/>
      <c r="V151" s="29"/>
      <c r="W151" s="29"/>
      <c r="X151" s="29"/>
      <c r="Y151" s="29"/>
      <c r="Z151" s="29"/>
    </row>
    <row r="152" spans="1:26" ht="15">
      <c r="A152" s="29"/>
      <c r="B152" s="29"/>
      <c r="C152" s="29"/>
      <c r="D152" s="33"/>
      <c r="E152" s="33"/>
      <c r="F152" s="33"/>
      <c r="G152" s="33"/>
      <c r="I152" s="29"/>
      <c r="J152" s="29"/>
      <c r="K152" s="29"/>
      <c r="L152" s="29"/>
      <c r="M152" s="29"/>
      <c r="N152" s="29"/>
      <c r="O152" s="29"/>
      <c r="P152" s="29"/>
      <c r="Q152" s="29"/>
      <c r="R152" s="29"/>
      <c r="S152" s="29"/>
      <c r="T152" s="29"/>
      <c r="U152" s="29"/>
      <c r="V152" s="29"/>
      <c r="W152" s="29"/>
      <c r="X152" s="29"/>
      <c r="Y152" s="29"/>
      <c r="Z152" s="29"/>
    </row>
    <row r="153" spans="1:26" ht="15">
      <c r="A153" s="29"/>
      <c r="B153" s="29"/>
      <c r="C153" s="29"/>
      <c r="D153" s="33"/>
      <c r="E153" s="33"/>
      <c r="F153" s="33"/>
      <c r="G153" s="33"/>
      <c r="I153" s="29"/>
      <c r="J153" s="29"/>
      <c r="K153" s="29"/>
      <c r="L153" s="29"/>
      <c r="M153" s="29"/>
      <c r="N153" s="29"/>
      <c r="O153" s="29"/>
      <c r="P153" s="29"/>
      <c r="Q153" s="29"/>
      <c r="R153" s="29"/>
      <c r="S153" s="29"/>
      <c r="T153" s="29"/>
      <c r="U153" s="29"/>
      <c r="V153" s="29"/>
      <c r="W153" s="29"/>
      <c r="X153" s="29"/>
      <c r="Y153" s="29"/>
      <c r="Z153" s="29"/>
    </row>
    <row r="154" spans="1:26" ht="15">
      <c r="A154" s="29"/>
      <c r="B154" s="29"/>
      <c r="C154" s="29"/>
      <c r="D154" s="33"/>
      <c r="E154" s="33"/>
      <c r="F154" s="33"/>
      <c r="G154" s="33"/>
      <c r="I154" s="29"/>
      <c r="J154" s="29"/>
      <c r="K154" s="29"/>
      <c r="L154" s="29"/>
      <c r="M154" s="29"/>
      <c r="N154" s="29"/>
      <c r="O154" s="29"/>
      <c r="P154" s="29"/>
      <c r="Q154" s="29"/>
      <c r="R154" s="29"/>
      <c r="S154" s="29"/>
      <c r="T154" s="29"/>
      <c r="U154" s="29"/>
      <c r="V154" s="29"/>
      <c r="W154" s="29"/>
      <c r="X154" s="29"/>
      <c r="Y154" s="29"/>
      <c r="Z154" s="29"/>
    </row>
    <row r="155" spans="1:26" ht="15">
      <c r="A155" s="29"/>
      <c r="B155" s="29"/>
      <c r="C155" s="29"/>
      <c r="D155" s="33"/>
      <c r="E155" s="33"/>
      <c r="F155" s="33"/>
      <c r="G155" s="33"/>
      <c r="I155" s="29"/>
      <c r="J155" s="29"/>
      <c r="K155" s="29"/>
      <c r="L155" s="29"/>
      <c r="M155" s="29"/>
      <c r="N155" s="29"/>
      <c r="O155" s="29"/>
      <c r="P155" s="29"/>
      <c r="Q155" s="29"/>
      <c r="R155" s="29"/>
      <c r="S155" s="29"/>
      <c r="T155" s="29"/>
      <c r="U155" s="29"/>
      <c r="V155" s="29"/>
      <c r="W155" s="29"/>
      <c r="X155" s="29"/>
      <c r="Y155" s="29"/>
      <c r="Z155" s="29"/>
    </row>
    <row r="156" spans="1:26" ht="15">
      <c r="A156" s="29"/>
      <c r="B156" s="29"/>
      <c r="C156" s="29"/>
      <c r="D156" s="33"/>
      <c r="E156" s="33"/>
      <c r="F156" s="33"/>
      <c r="G156" s="33"/>
      <c r="I156" s="29"/>
      <c r="J156" s="29"/>
      <c r="K156" s="29"/>
      <c r="L156" s="29"/>
      <c r="M156" s="29"/>
      <c r="N156" s="29"/>
      <c r="O156" s="29"/>
      <c r="P156" s="29"/>
      <c r="Q156" s="29"/>
      <c r="R156" s="29"/>
      <c r="S156" s="29"/>
      <c r="T156" s="29"/>
      <c r="U156" s="29"/>
      <c r="V156" s="29"/>
      <c r="W156" s="29"/>
      <c r="X156" s="29"/>
      <c r="Y156" s="29"/>
      <c r="Z156" s="29"/>
    </row>
    <row r="157" spans="1:26" ht="15">
      <c r="A157" s="29"/>
      <c r="B157" s="29"/>
      <c r="C157" s="29"/>
      <c r="D157" s="33"/>
      <c r="E157" s="33"/>
      <c r="F157" s="33"/>
      <c r="G157" s="33"/>
      <c r="I157" s="29"/>
      <c r="J157" s="29"/>
      <c r="K157" s="29"/>
      <c r="L157" s="29"/>
      <c r="M157" s="29"/>
      <c r="N157" s="29"/>
      <c r="O157" s="29"/>
      <c r="P157" s="29"/>
      <c r="Q157" s="29"/>
      <c r="R157" s="29"/>
      <c r="S157" s="29"/>
      <c r="T157" s="29"/>
      <c r="U157" s="29"/>
      <c r="V157" s="29"/>
      <c r="W157" s="29"/>
      <c r="X157" s="29"/>
      <c r="Y157" s="29"/>
      <c r="Z157" s="29"/>
    </row>
    <row r="158" spans="1:26" ht="15">
      <c r="A158" s="29"/>
      <c r="B158" s="29"/>
      <c r="C158" s="29"/>
      <c r="D158" s="33"/>
      <c r="E158" s="33"/>
      <c r="F158" s="33"/>
      <c r="G158" s="33"/>
      <c r="I158" s="29"/>
      <c r="J158" s="29"/>
      <c r="K158" s="29"/>
      <c r="L158" s="29"/>
      <c r="M158" s="29"/>
      <c r="N158" s="29"/>
      <c r="O158" s="29"/>
      <c r="P158" s="29"/>
      <c r="Q158" s="29"/>
      <c r="R158" s="29"/>
      <c r="S158" s="29"/>
      <c r="T158" s="29"/>
      <c r="U158" s="29"/>
      <c r="V158" s="29"/>
      <c r="W158" s="29"/>
      <c r="X158" s="29"/>
      <c r="Y158" s="29"/>
      <c r="Z158" s="29"/>
    </row>
    <row r="159" spans="1:26" ht="15">
      <c r="A159" s="29"/>
      <c r="B159" s="29"/>
      <c r="C159" s="29"/>
      <c r="D159" s="33"/>
      <c r="E159" s="33"/>
      <c r="F159" s="33"/>
      <c r="G159" s="33"/>
      <c r="I159" s="29"/>
      <c r="J159" s="29"/>
      <c r="K159" s="29"/>
      <c r="L159" s="29"/>
      <c r="M159" s="29"/>
      <c r="N159" s="29"/>
      <c r="O159" s="29"/>
      <c r="P159" s="29"/>
      <c r="Q159" s="29"/>
      <c r="R159" s="29"/>
      <c r="S159" s="29"/>
      <c r="T159" s="29"/>
      <c r="U159" s="29"/>
      <c r="V159" s="29"/>
      <c r="W159" s="29"/>
      <c r="X159" s="29"/>
      <c r="Y159" s="29"/>
      <c r="Z159" s="29"/>
    </row>
    <row r="160" spans="1:26" ht="15">
      <c r="A160" s="29"/>
      <c r="B160" s="29"/>
      <c r="C160" s="29"/>
      <c r="D160" s="33"/>
      <c r="E160" s="33"/>
      <c r="F160" s="33"/>
      <c r="G160" s="33"/>
      <c r="I160" s="29"/>
      <c r="J160" s="29"/>
      <c r="K160" s="29"/>
      <c r="L160" s="29"/>
      <c r="M160" s="29"/>
      <c r="N160" s="29"/>
      <c r="O160" s="29"/>
      <c r="P160" s="29"/>
      <c r="Q160" s="29"/>
      <c r="R160" s="29"/>
      <c r="S160" s="29"/>
      <c r="T160" s="29"/>
      <c r="U160" s="29"/>
      <c r="V160" s="29"/>
      <c r="W160" s="29"/>
      <c r="X160" s="29"/>
      <c r="Y160" s="29"/>
      <c r="Z160" s="29"/>
    </row>
    <row r="161" spans="1:26" ht="15">
      <c r="A161" s="29"/>
      <c r="B161" s="29"/>
      <c r="C161" s="29"/>
      <c r="D161" s="33"/>
      <c r="E161" s="33"/>
      <c r="F161" s="33"/>
      <c r="G161" s="33"/>
      <c r="I161" s="29"/>
      <c r="J161" s="29"/>
      <c r="K161" s="29"/>
      <c r="L161" s="29"/>
      <c r="M161" s="29"/>
      <c r="N161" s="29"/>
      <c r="O161" s="29"/>
      <c r="P161" s="29"/>
      <c r="Q161" s="29"/>
      <c r="R161" s="29"/>
      <c r="S161" s="29"/>
      <c r="T161" s="29"/>
      <c r="U161" s="29"/>
      <c r="V161" s="29"/>
      <c r="W161" s="29"/>
      <c r="X161" s="29"/>
      <c r="Y161" s="29"/>
      <c r="Z161" s="29"/>
    </row>
    <row r="162" spans="1:26" ht="15">
      <c r="A162" s="29"/>
      <c r="B162" s="29"/>
      <c r="C162" s="29"/>
      <c r="D162" s="33"/>
      <c r="E162" s="33"/>
      <c r="F162" s="33"/>
      <c r="G162" s="33"/>
      <c r="I162" s="29"/>
      <c r="J162" s="29"/>
      <c r="K162" s="29"/>
      <c r="L162" s="29"/>
      <c r="M162" s="29"/>
      <c r="N162" s="29"/>
      <c r="O162" s="29"/>
      <c r="P162" s="29"/>
      <c r="Q162" s="29"/>
      <c r="R162" s="29"/>
      <c r="S162" s="29"/>
      <c r="T162" s="29"/>
      <c r="U162" s="29"/>
      <c r="V162" s="29"/>
      <c r="W162" s="29"/>
      <c r="X162" s="29"/>
      <c r="Y162" s="29"/>
      <c r="Z162" s="29"/>
    </row>
    <row r="163" spans="1:26" ht="15">
      <c r="A163" s="29"/>
      <c r="B163" s="29"/>
      <c r="C163" s="29"/>
      <c r="D163" s="33"/>
      <c r="E163" s="33"/>
      <c r="F163" s="33"/>
      <c r="G163" s="33"/>
      <c r="I163" s="29"/>
      <c r="J163" s="29"/>
      <c r="K163" s="29"/>
      <c r="L163" s="29"/>
      <c r="M163" s="29"/>
      <c r="N163" s="29"/>
      <c r="O163" s="29"/>
      <c r="P163" s="29"/>
      <c r="Q163" s="29"/>
      <c r="R163" s="29"/>
      <c r="S163" s="29"/>
      <c r="T163" s="29"/>
      <c r="U163" s="29"/>
      <c r="V163" s="29"/>
      <c r="W163" s="29"/>
      <c r="X163" s="29"/>
      <c r="Y163" s="29"/>
      <c r="Z163" s="29"/>
    </row>
    <row r="164" spans="1:26" ht="15">
      <c r="A164" s="29"/>
      <c r="B164" s="29"/>
      <c r="C164" s="29"/>
      <c r="D164" s="33"/>
      <c r="E164" s="33"/>
      <c r="F164" s="33"/>
      <c r="G164" s="33"/>
      <c r="I164" s="29"/>
      <c r="J164" s="29"/>
      <c r="K164" s="29"/>
      <c r="L164" s="29"/>
      <c r="M164" s="29"/>
      <c r="N164" s="29"/>
      <c r="O164" s="29"/>
      <c r="P164" s="29"/>
      <c r="Q164" s="29"/>
      <c r="R164" s="29"/>
      <c r="S164" s="29"/>
      <c r="T164" s="29"/>
      <c r="U164" s="29"/>
      <c r="V164" s="29"/>
      <c r="W164" s="29"/>
      <c r="X164" s="29"/>
      <c r="Y164" s="29"/>
      <c r="Z164" s="29"/>
    </row>
    <row r="165" spans="1:26" ht="15">
      <c r="A165" s="29"/>
      <c r="B165" s="29"/>
      <c r="C165" s="29"/>
      <c r="D165" s="33"/>
      <c r="E165" s="33"/>
      <c r="F165" s="33"/>
      <c r="G165" s="33"/>
      <c r="I165" s="29"/>
      <c r="J165" s="29"/>
      <c r="K165" s="29"/>
      <c r="L165" s="29"/>
      <c r="M165" s="29"/>
      <c r="N165" s="29"/>
      <c r="O165" s="29"/>
      <c r="P165" s="29"/>
      <c r="Q165" s="29"/>
      <c r="R165" s="29"/>
      <c r="S165" s="29"/>
      <c r="T165" s="29"/>
      <c r="U165" s="29"/>
      <c r="V165" s="29"/>
      <c r="W165" s="29"/>
      <c r="X165" s="29"/>
      <c r="Y165" s="29"/>
      <c r="Z165" s="29"/>
    </row>
    <row r="166" spans="1:26" ht="15">
      <c r="A166" s="29"/>
      <c r="B166" s="29"/>
      <c r="C166" s="29"/>
      <c r="D166" s="33"/>
      <c r="E166" s="33"/>
      <c r="F166" s="33"/>
      <c r="G166" s="33"/>
      <c r="I166" s="29"/>
      <c r="J166" s="29"/>
      <c r="K166" s="29"/>
      <c r="L166" s="29"/>
      <c r="M166" s="29"/>
      <c r="N166" s="29"/>
      <c r="O166" s="29"/>
      <c r="P166" s="29"/>
      <c r="Q166" s="29"/>
      <c r="R166" s="29"/>
      <c r="S166" s="29"/>
      <c r="T166" s="29"/>
      <c r="U166" s="29"/>
      <c r="V166" s="29"/>
      <c r="W166" s="29"/>
      <c r="X166" s="29"/>
      <c r="Y166" s="29"/>
      <c r="Z166" s="29"/>
    </row>
    <row r="167" spans="1:26" ht="15">
      <c r="A167" s="29"/>
      <c r="B167" s="29"/>
      <c r="C167" s="29"/>
      <c r="D167" s="33"/>
      <c r="E167" s="33"/>
      <c r="F167" s="33"/>
      <c r="G167" s="33"/>
      <c r="I167" s="29"/>
      <c r="J167" s="29"/>
      <c r="K167" s="29"/>
      <c r="L167" s="29"/>
      <c r="M167" s="29"/>
      <c r="N167" s="29"/>
      <c r="O167" s="29"/>
      <c r="P167" s="29"/>
      <c r="Q167" s="29"/>
      <c r="R167" s="29"/>
      <c r="S167" s="29"/>
      <c r="T167" s="29"/>
      <c r="U167" s="29"/>
      <c r="V167" s="29"/>
      <c r="W167" s="29"/>
      <c r="X167" s="29"/>
      <c r="Y167" s="29"/>
      <c r="Z167" s="29"/>
    </row>
    <row r="168" spans="1:26" ht="15">
      <c r="A168" s="29"/>
      <c r="B168" s="29"/>
      <c r="C168" s="29"/>
      <c r="D168" s="33"/>
      <c r="E168" s="33"/>
      <c r="F168" s="33"/>
      <c r="G168" s="33"/>
      <c r="I168" s="29"/>
      <c r="J168" s="29"/>
      <c r="K168" s="29"/>
      <c r="L168" s="29"/>
      <c r="M168" s="29"/>
      <c r="N168" s="29"/>
      <c r="O168" s="29"/>
      <c r="P168" s="29"/>
      <c r="Q168" s="29"/>
      <c r="R168" s="29"/>
      <c r="S168" s="29"/>
      <c r="T168" s="29"/>
      <c r="U168" s="29"/>
      <c r="V168" s="29"/>
      <c r="W168" s="29"/>
      <c r="X168" s="29"/>
      <c r="Y168" s="29"/>
      <c r="Z168" s="29"/>
    </row>
    <row r="169" spans="1:26" ht="15">
      <c r="A169" s="29"/>
      <c r="B169" s="29"/>
      <c r="C169" s="29"/>
      <c r="D169" s="33"/>
      <c r="E169" s="33"/>
      <c r="F169" s="33"/>
      <c r="G169" s="33"/>
      <c r="I169" s="29"/>
      <c r="J169" s="29"/>
      <c r="K169" s="29"/>
      <c r="L169" s="29"/>
      <c r="M169" s="29"/>
      <c r="N169" s="29"/>
      <c r="O169" s="29"/>
      <c r="P169" s="29"/>
      <c r="Q169" s="29"/>
      <c r="R169" s="29"/>
      <c r="S169" s="29"/>
      <c r="T169" s="29"/>
      <c r="U169" s="29"/>
      <c r="V169" s="29"/>
      <c r="W169" s="29"/>
      <c r="X169" s="29"/>
      <c r="Y169" s="29"/>
      <c r="Z169" s="29"/>
    </row>
    <row r="170" spans="1:26" ht="15">
      <c r="A170" s="29"/>
      <c r="B170" s="29"/>
      <c r="C170" s="29"/>
      <c r="D170" s="33"/>
      <c r="E170" s="33"/>
      <c r="F170" s="33"/>
      <c r="G170" s="33"/>
      <c r="I170" s="29"/>
      <c r="J170" s="29"/>
      <c r="K170" s="29"/>
      <c r="L170" s="29"/>
      <c r="M170" s="29"/>
      <c r="N170" s="29"/>
      <c r="O170" s="29"/>
      <c r="P170" s="29"/>
      <c r="Q170" s="29"/>
      <c r="R170" s="29"/>
      <c r="S170" s="29"/>
      <c r="T170" s="29"/>
      <c r="U170" s="29"/>
      <c r="V170" s="29"/>
      <c r="W170" s="29"/>
      <c r="X170" s="29"/>
      <c r="Y170" s="29"/>
      <c r="Z170" s="29"/>
    </row>
    <row r="171" spans="1:26" ht="15">
      <c r="A171" s="29"/>
      <c r="B171" s="29"/>
      <c r="C171" s="29"/>
      <c r="D171" s="33"/>
      <c r="E171" s="33"/>
      <c r="F171" s="33"/>
      <c r="G171" s="33"/>
      <c r="I171" s="29"/>
      <c r="J171" s="29"/>
      <c r="K171" s="29"/>
      <c r="L171" s="29"/>
      <c r="M171" s="29"/>
      <c r="N171" s="29"/>
      <c r="O171" s="29"/>
      <c r="P171" s="29"/>
      <c r="Q171" s="29"/>
      <c r="R171" s="29"/>
      <c r="S171" s="29"/>
      <c r="T171" s="29"/>
      <c r="U171" s="29"/>
      <c r="V171" s="29"/>
      <c r="W171" s="29"/>
      <c r="X171" s="29"/>
      <c r="Y171" s="29"/>
      <c r="Z171" s="29"/>
    </row>
    <row r="172" spans="1:26" ht="15">
      <c r="A172" s="29"/>
      <c r="B172" s="29"/>
      <c r="C172" s="29"/>
      <c r="D172" s="33"/>
      <c r="E172" s="33"/>
      <c r="F172" s="33"/>
      <c r="G172" s="33"/>
      <c r="I172" s="29"/>
      <c r="J172" s="29"/>
      <c r="K172" s="29"/>
      <c r="L172" s="29"/>
      <c r="M172" s="29"/>
      <c r="N172" s="29"/>
      <c r="O172" s="29"/>
      <c r="P172" s="29"/>
      <c r="Q172" s="29"/>
      <c r="R172" s="29"/>
      <c r="S172" s="29"/>
      <c r="T172" s="29"/>
      <c r="U172" s="29"/>
      <c r="V172" s="29"/>
      <c r="W172" s="29"/>
      <c r="X172" s="29"/>
      <c r="Y172" s="29"/>
      <c r="Z172" s="29"/>
    </row>
    <row r="173" spans="1:26" ht="15">
      <c r="A173" s="29"/>
      <c r="B173" s="29"/>
      <c r="C173" s="29"/>
      <c r="D173" s="33"/>
      <c r="E173" s="33"/>
      <c r="F173" s="33"/>
      <c r="G173" s="33"/>
      <c r="I173" s="29"/>
      <c r="J173" s="29"/>
      <c r="K173" s="29"/>
      <c r="L173" s="29"/>
      <c r="M173" s="29"/>
      <c r="N173" s="29"/>
      <c r="O173" s="29"/>
      <c r="P173" s="29"/>
      <c r="Q173" s="29"/>
      <c r="R173" s="29"/>
      <c r="S173" s="29"/>
      <c r="T173" s="29"/>
      <c r="U173" s="29"/>
      <c r="V173" s="29"/>
      <c r="W173" s="29"/>
      <c r="X173" s="29"/>
      <c r="Y173" s="29"/>
      <c r="Z173" s="29"/>
    </row>
    <row r="174" spans="1:26" ht="15">
      <c r="A174" s="29"/>
      <c r="B174" s="29"/>
      <c r="C174" s="29"/>
      <c r="D174" s="33"/>
      <c r="E174" s="33"/>
      <c r="F174" s="33"/>
      <c r="G174" s="33"/>
      <c r="I174" s="29"/>
      <c r="J174" s="29"/>
      <c r="K174" s="29"/>
      <c r="L174" s="29"/>
      <c r="M174" s="29"/>
      <c r="N174" s="29"/>
      <c r="O174" s="29"/>
      <c r="P174" s="29"/>
      <c r="Q174" s="29"/>
      <c r="R174" s="29"/>
      <c r="S174" s="29"/>
      <c r="T174" s="29"/>
      <c r="U174" s="29"/>
      <c r="V174" s="29"/>
      <c r="W174" s="29"/>
      <c r="X174" s="29"/>
      <c r="Y174" s="29"/>
      <c r="Z174" s="29"/>
    </row>
    <row r="175" spans="1:26" ht="15">
      <c r="A175" s="29"/>
      <c r="B175" s="29"/>
      <c r="C175" s="29"/>
      <c r="D175" s="33"/>
      <c r="E175" s="33"/>
      <c r="F175" s="33"/>
      <c r="G175" s="33"/>
      <c r="I175" s="29"/>
      <c r="J175" s="29"/>
      <c r="K175" s="29"/>
      <c r="L175" s="29"/>
      <c r="M175" s="29"/>
      <c r="N175" s="29"/>
      <c r="O175" s="29"/>
      <c r="P175" s="29"/>
      <c r="Q175" s="29"/>
      <c r="R175" s="29"/>
      <c r="S175" s="29"/>
      <c r="T175" s="29"/>
      <c r="U175" s="29"/>
      <c r="V175" s="29"/>
      <c r="W175" s="29"/>
      <c r="X175" s="29"/>
      <c r="Y175" s="29"/>
      <c r="Z175" s="29"/>
    </row>
    <row r="176" spans="1:26" ht="15">
      <c r="A176" s="29"/>
      <c r="B176" s="29"/>
      <c r="C176" s="29"/>
      <c r="D176" s="33"/>
      <c r="E176" s="33"/>
      <c r="F176" s="33"/>
      <c r="G176" s="33"/>
      <c r="I176" s="29"/>
      <c r="J176" s="29"/>
      <c r="K176" s="29"/>
      <c r="L176" s="29"/>
      <c r="M176" s="29"/>
      <c r="N176" s="29"/>
      <c r="O176" s="29"/>
      <c r="P176" s="29"/>
      <c r="Q176" s="29"/>
      <c r="R176" s="29"/>
      <c r="S176" s="29"/>
      <c r="T176" s="29"/>
      <c r="U176" s="29"/>
      <c r="V176" s="29"/>
      <c r="W176" s="29"/>
      <c r="X176" s="29"/>
      <c r="Y176" s="29"/>
      <c r="Z176" s="29"/>
    </row>
    <row r="177" spans="1:26" ht="15">
      <c r="A177" s="29"/>
      <c r="B177" s="29"/>
      <c r="C177" s="29"/>
      <c r="D177" s="33"/>
      <c r="E177" s="33"/>
      <c r="F177" s="33"/>
      <c r="G177" s="33"/>
      <c r="I177" s="29"/>
      <c r="J177" s="29"/>
      <c r="K177" s="29"/>
      <c r="L177" s="29"/>
      <c r="M177" s="29"/>
      <c r="N177" s="29"/>
      <c r="O177" s="29"/>
      <c r="P177" s="29"/>
      <c r="Q177" s="29"/>
      <c r="R177" s="29"/>
      <c r="S177" s="29"/>
      <c r="T177" s="29"/>
      <c r="U177" s="29"/>
      <c r="V177" s="29"/>
      <c r="W177" s="29"/>
      <c r="X177" s="29"/>
      <c r="Y177" s="29"/>
      <c r="Z177" s="29"/>
    </row>
    <row r="178" spans="1:26" ht="15">
      <c r="A178" s="29"/>
      <c r="B178" s="29"/>
      <c r="C178" s="29"/>
      <c r="D178" s="33"/>
      <c r="E178" s="33"/>
      <c r="F178" s="33"/>
      <c r="G178" s="33"/>
      <c r="I178" s="29"/>
      <c r="J178" s="29"/>
      <c r="K178" s="29"/>
      <c r="L178" s="29"/>
      <c r="M178" s="29"/>
      <c r="N178" s="29"/>
      <c r="O178" s="29"/>
      <c r="P178" s="29"/>
      <c r="Q178" s="29"/>
      <c r="R178" s="29"/>
      <c r="S178" s="29"/>
      <c r="T178" s="29"/>
      <c r="U178" s="29"/>
      <c r="V178" s="29"/>
      <c r="W178" s="29"/>
      <c r="X178" s="29"/>
      <c r="Y178" s="29"/>
      <c r="Z178" s="29"/>
    </row>
    <row r="179" spans="1:26" ht="15">
      <c r="A179" s="29"/>
      <c r="B179" s="29"/>
      <c r="C179" s="29"/>
      <c r="D179" s="33"/>
      <c r="E179" s="33"/>
      <c r="F179" s="33"/>
      <c r="G179" s="33"/>
      <c r="I179" s="29"/>
      <c r="J179" s="29"/>
      <c r="K179" s="29"/>
      <c r="L179" s="29"/>
      <c r="M179" s="29"/>
      <c r="N179" s="29"/>
      <c r="O179" s="29"/>
      <c r="P179" s="29"/>
      <c r="Q179" s="29"/>
      <c r="R179" s="29"/>
      <c r="S179" s="29"/>
      <c r="T179" s="29"/>
      <c r="U179" s="29"/>
      <c r="V179" s="29"/>
      <c r="W179" s="29"/>
      <c r="X179" s="29"/>
      <c r="Y179" s="29"/>
      <c r="Z179" s="29"/>
    </row>
    <row r="180" spans="1:26" ht="15">
      <c r="A180" s="29"/>
      <c r="B180" s="29"/>
      <c r="C180" s="29"/>
      <c r="D180" s="33"/>
      <c r="E180" s="33"/>
      <c r="F180" s="33"/>
      <c r="G180" s="33"/>
      <c r="I180" s="29"/>
      <c r="J180" s="29"/>
      <c r="K180" s="29"/>
      <c r="L180" s="29"/>
      <c r="M180" s="29"/>
      <c r="N180" s="29"/>
      <c r="O180" s="29"/>
      <c r="P180" s="29"/>
      <c r="Q180" s="29"/>
      <c r="R180" s="29"/>
      <c r="S180" s="29"/>
      <c r="T180" s="29"/>
      <c r="U180" s="29"/>
      <c r="V180" s="29"/>
      <c r="W180" s="29"/>
      <c r="X180" s="29"/>
      <c r="Y180" s="29"/>
      <c r="Z180" s="29"/>
    </row>
    <row r="181" spans="1:26" ht="15">
      <c r="A181" s="29"/>
      <c r="B181" s="29"/>
      <c r="C181" s="29"/>
      <c r="D181" s="33"/>
      <c r="E181" s="33"/>
      <c r="F181" s="33"/>
      <c r="G181" s="33"/>
      <c r="I181" s="29"/>
      <c r="J181" s="29"/>
      <c r="K181" s="29"/>
      <c r="L181" s="29"/>
      <c r="M181" s="29"/>
      <c r="N181" s="29"/>
      <c r="O181" s="29"/>
      <c r="P181" s="29"/>
      <c r="Q181" s="29"/>
      <c r="R181" s="29"/>
      <c r="S181" s="29"/>
      <c r="T181" s="29"/>
      <c r="U181" s="29"/>
      <c r="V181" s="29"/>
      <c r="W181" s="29"/>
      <c r="X181" s="29"/>
      <c r="Y181" s="29"/>
      <c r="Z181" s="29"/>
    </row>
    <row r="182" spans="1:26" ht="15">
      <c r="A182" s="29"/>
      <c r="B182" s="29"/>
      <c r="C182" s="29"/>
      <c r="D182" s="33"/>
      <c r="E182" s="33"/>
      <c r="F182" s="33"/>
      <c r="G182" s="33"/>
      <c r="I182" s="29"/>
      <c r="J182" s="29"/>
      <c r="K182" s="29"/>
      <c r="L182" s="29"/>
      <c r="M182" s="29"/>
      <c r="N182" s="29"/>
      <c r="O182" s="29"/>
      <c r="P182" s="29"/>
      <c r="Q182" s="29"/>
      <c r="R182" s="29"/>
      <c r="S182" s="29"/>
      <c r="T182" s="29"/>
      <c r="U182" s="29"/>
      <c r="V182" s="29"/>
      <c r="W182" s="29"/>
      <c r="X182" s="29"/>
      <c r="Y182" s="29"/>
      <c r="Z182" s="29"/>
    </row>
    <row r="183" spans="1:26" ht="15">
      <c r="A183" s="29"/>
      <c r="B183" s="29"/>
      <c r="C183" s="29"/>
      <c r="D183" s="33"/>
      <c r="E183" s="33"/>
      <c r="F183" s="33"/>
      <c r="G183" s="33"/>
      <c r="I183" s="29"/>
      <c r="J183" s="29"/>
      <c r="K183" s="29"/>
      <c r="L183" s="29"/>
      <c r="M183" s="29"/>
      <c r="N183" s="29"/>
      <c r="O183" s="29"/>
      <c r="P183" s="29"/>
      <c r="Q183" s="29"/>
      <c r="R183" s="29"/>
      <c r="S183" s="29"/>
      <c r="T183" s="29"/>
      <c r="U183" s="29"/>
      <c r="V183" s="29"/>
      <c r="W183" s="29"/>
      <c r="X183" s="29"/>
      <c r="Y183" s="29"/>
      <c r="Z183" s="29"/>
    </row>
    <row r="184" spans="1:26" ht="15">
      <c r="A184" s="29"/>
      <c r="B184" s="29"/>
      <c r="C184" s="29"/>
      <c r="D184" s="33"/>
      <c r="E184" s="33"/>
      <c r="F184" s="33"/>
      <c r="G184" s="33"/>
      <c r="I184" s="29"/>
      <c r="J184" s="29"/>
      <c r="K184" s="29"/>
      <c r="L184" s="29"/>
      <c r="M184" s="29"/>
      <c r="N184" s="29"/>
      <c r="O184" s="29"/>
      <c r="P184" s="29"/>
      <c r="Q184" s="29"/>
      <c r="R184" s="29"/>
      <c r="S184" s="29"/>
      <c r="T184" s="29"/>
      <c r="U184" s="29"/>
      <c r="V184" s="29"/>
      <c r="W184" s="29"/>
      <c r="X184" s="29"/>
      <c r="Y184" s="29"/>
      <c r="Z184" s="29"/>
    </row>
    <row r="185" spans="1:26" ht="15">
      <c r="A185" s="29"/>
      <c r="B185" s="29"/>
      <c r="C185" s="29"/>
      <c r="D185" s="33"/>
      <c r="E185" s="33"/>
      <c r="F185" s="33"/>
      <c r="G185" s="33"/>
      <c r="I185" s="29"/>
      <c r="J185" s="29"/>
      <c r="K185" s="29"/>
      <c r="L185" s="29"/>
      <c r="M185" s="29"/>
      <c r="N185" s="29"/>
      <c r="O185" s="29"/>
      <c r="P185" s="29"/>
      <c r="Q185" s="29"/>
      <c r="R185" s="29"/>
      <c r="S185" s="29"/>
      <c r="T185" s="29"/>
      <c r="U185" s="29"/>
      <c r="V185" s="29"/>
      <c r="W185" s="29"/>
      <c r="X185" s="29"/>
      <c r="Y185" s="29"/>
      <c r="Z185" s="29"/>
    </row>
    <row r="186" spans="1:26" ht="15">
      <c r="A186" s="29"/>
      <c r="B186" s="29"/>
      <c r="C186" s="29"/>
      <c r="D186" s="33"/>
      <c r="E186" s="33"/>
      <c r="F186" s="33"/>
      <c r="G186" s="33"/>
      <c r="I186" s="29"/>
      <c r="J186" s="29"/>
      <c r="K186" s="29"/>
      <c r="L186" s="29"/>
      <c r="M186" s="29"/>
      <c r="N186" s="29"/>
      <c r="O186" s="29"/>
      <c r="P186" s="29"/>
      <c r="Q186" s="29"/>
      <c r="R186" s="29"/>
      <c r="S186" s="29"/>
      <c r="T186" s="29"/>
      <c r="U186" s="29"/>
      <c r="V186" s="29"/>
      <c r="W186" s="29"/>
      <c r="X186" s="29"/>
      <c r="Y186" s="29"/>
      <c r="Z186" s="29"/>
    </row>
    <row r="187" spans="1:26" ht="15">
      <c r="A187" s="29"/>
      <c r="B187" s="29"/>
      <c r="C187" s="29"/>
      <c r="D187" s="33"/>
      <c r="E187" s="33"/>
      <c r="F187" s="33"/>
      <c r="G187" s="33"/>
      <c r="I187" s="29"/>
      <c r="J187" s="29"/>
      <c r="K187" s="29"/>
      <c r="L187" s="29"/>
      <c r="M187" s="29"/>
      <c r="N187" s="29"/>
      <c r="O187" s="29"/>
      <c r="P187" s="29"/>
      <c r="Q187" s="29"/>
      <c r="R187" s="29"/>
      <c r="S187" s="29"/>
      <c r="T187" s="29"/>
      <c r="U187" s="29"/>
      <c r="V187" s="29"/>
      <c r="W187" s="29"/>
      <c r="X187" s="29"/>
      <c r="Y187" s="29"/>
      <c r="Z187" s="29"/>
    </row>
    <row r="188" spans="1:26" ht="15">
      <c r="A188" s="29"/>
      <c r="B188" s="29"/>
      <c r="C188" s="29"/>
      <c r="D188" s="33"/>
      <c r="E188" s="33"/>
      <c r="F188" s="33"/>
      <c r="G188" s="33"/>
      <c r="I188" s="29"/>
      <c r="J188" s="29"/>
      <c r="K188" s="29"/>
      <c r="L188" s="29"/>
      <c r="M188" s="29"/>
      <c r="N188" s="29"/>
      <c r="O188" s="29"/>
      <c r="P188" s="29"/>
      <c r="Q188" s="29"/>
      <c r="R188" s="29"/>
      <c r="S188" s="29"/>
      <c r="T188" s="29"/>
      <c r="U188" s="29"/>
      <c r="V188" s="29"/>
      <c r="W188" s="29"/>
      <c r="X188" s="29"/>
      <c r="Y188" s="29"/>
      <c r="Z188" s="29"/>
    </row>
    <row r="189" spans="1:26" ht="15">
      <c r="A189" s="29"/>
      <c r="B189" s="29"/>
      <c r="C189" s="29"/>
      <c r="D189" s="33"/>
      <c r="E189" s="33"/>
      <c r="F189" s="33"/>
      <c r="G189" s="33"/>
      <c r="I189" s="29"/>
      <c r="J189" s="29"/>
      <c r="K189" s="29"/>
      <c r="L189" s="29"/>
      <c r="M189" s="29"/>
      <c r="N189" s="29"/>
      <c r="O189" s="29"/>
      <c r="P189" s="29"/>
      <c r="Q189" s="29"/>
      <c r="R189" s="29"/>
      <c r="S189" s="29"/>
      <c r="T189" s="29"/>
      <c r="U189" s="29"/>
      <c r="V189" s="29"/>
      <c r="W189" s="29"/>
      <c r="X189" s="29"/>
      <c r="Y189" s="29"/>
      <c r="Z189" s="29"/>
    </row>
    <row r="190" spans="1:26" ht="15">
      <c r="A190" s="29"/>
      <c r="B190" s="29"/>
      <c r="C190" s="29"/>
      <c r="D190" s="33"/>
      <c r="E190" s="33"/>
      <c r="F190" s="33"/>
      <c r="G190" s="33"/>
      <c r="I190" s="29"/>
      <c r="J190" s="29"/>
      <c r="K190" s="29"/>
      <c r="L190" s="29"/>
      <c r="M190" s="29"/>
      <c r="N190" s="29"/>
      <c r="O190" s="29"/>
      <c r="P190" s="29"/>
      <c r="Q190" s="29"/>
      <c r="R190" s="29"/>
      <c r="S190" s="29"/>
      <c r="T190" s="29"/>
      <c r="U190" s="29"/>
      <c r="V190" s="29"/>
      <c r="W190" s="29"/>
      <c r="X190" s="29"/>
      <c r="Y190" s="29"/>
      <c r="Z190" s="29"/>
    </row>
    <row r="191" spans="1:26" ht="15">
      <c r="A191" s="29"/>
      <c r="B191" s="29"/>
      <c r="C191" s="29"/>
      <c r="D191" s="33"/>
      <c r="E191" s="33"/>
      <c r="F191" s="33"/>
      <c r="G191" s="33"/>
      <c r="I191" s="29"/>
      <c r="J191" s="29"/>
      <c r="K191" s="29"/>
      <c r="L191" s="29"/>
      <c r="M191" s="29"/>
      <c r="N191" s="29"/>
      <c r="O191" s="29"/>
      <c r="P191" s="29"/>
      <c r="Q191" s="29"/>
      <c r="R191" s="29"/>
      <c r="S191" s="29"/>
      <c r="T191" s="29"/>
      <c r="U191" s="29"/>
      <c r="V191" s="29"/>
      <c r="W191" s="29"/>
      <c r="X191" s="29"/>
      <c r="Y191" s="29"/>
      <c r="Z191" s="29"/>
    </row>
    <row r="192" spans="1:26" ht="15">
      <c r="A192" s="29"/>
      <c r="B192" s="29"/>
      <c r="C192" s="29"/>
      <c r="D192" s="33"/>
      <c r="E192" s="33"/>
      <c r="F192" s="33"/>
      <c r="G192" s="33"/>
      <c r="I192" s="29"/>
      <c r="J192" s="29"/>
      <c r="K192" s="29"/>
      <c r="L192" s="29"/>
      <c r="M192" s="29"/>
      <c r="N192" s="29"/>
      <c r="O192" s="29"/>
      <c r="P192" s="29"/>
      <c r="Q192" s="29"/>
      <c r="R192" s="29"/>
      <c r="S192" s="29"/>
      <c r="T192" s="29"/>
      <c r="U192" s="29"/>
      <c r="V192" s="29"/>
      <c r="W192" s="29"/>
      <c r="X192" s="29"/>
      <c r="Y192" s="29"/>
      <c r="Z192" s="29"/>
    </row>
    <row r="193" spans="1:26" ht="15">
      <c r="A193" s="29"/>
      <c r="B193" s="29"/>
      <c r="C193" s="29"/>
      <c r="D193" s="33"/>
      <c r="E193" s="33"/>
      <c r="F193" s="33"/>
      <c r="G193" s="33"/>
      <c r="I193" s="29"/>
      <c r="J193" s="29"/>
      <c r="K193" s="29"/>
      <c r="L193" s="29"/>
      <c r="M193" s="29"/>
      <c r="N193" s="29"/>
      <c r="O193" s="29"/>
      <c r="P193" s="29"/>
      <c r="Q193" s="29"/>
      <c r="R193" s="29"/>
      <c r="S193" s="29"/>
      <c r="T193" s="29"/>
      <c r="U193" s="29"/>
      <c r="V193" s="29"/>
      <c r="W193" s="29"/>
      <c r="X193" s="29"/>
      <c r="Y193" s="29"/>
      <c r="Z193" s="29"/>
    </row>
    <row r="194" spans="1:26" ht="15">
      <c r="A194" s="29"/>
      <c r="B194" s="29"/>
      <c r="C194" s="29"/>
      <c r="D194" s="33"/>
      <c r="E194" s="33"/>
      <c r="F194" s="33"/>
      <c r="G194" s="33"/>
      <c r="I194" s="29"/>
      <c r="J194" s="29"/>
      <c r="K194" s="29"/>
      <c r="L194" s="29"/>
      <c r="M194" s="29"/>
      <c r="N194" s="29"/>
      <c r="O194" s="29"/>
      <c r="P194" s="29"/>
      <c r="Q194" s="29"/>
      <c r="R194" s="29"/>
      <c r="S194" s="29"/>
      <c r="T194" s="29"/>
      <c r="U194" s="29"/>
      <c r="V194" s="29"/>
      <c r="W194" s="29"/>
      <c r="X194" s="29"/>
      <c r="Y194" s="29"/>
      <c r="Z194" s="29"/>
    </row>
    <row r="195" spans="1:26" ht="15">
      <c r="A195" s="29"/>
      <c r="B195" s="29"/>
      <c r="C195" s="29"/>
      <c r="D195" s="33"/>
      <c r="E195" s="33"/>
      <c r="F195" s="33"/>
      <c r="G195" s="33"/>
      <c r="I195" s="29"/>
      <c r="J195" s="29"/>
      <c r="K195" s="29"/>
      <c r="L195" s="29"/>
      <c r="M195" s="29"/>
      <c r="N195" s="29"/>
      <c r="O195" s="29"/>
      <c r="P195" s="29"/>
      <c r="Q195" s="29"/>
      <c r="R195" s="29"/>
      <c r="S195" s="29"/>
      <c r="T195" s="29"/>
      <c r="U195" s="29"/>
      <c r="V195" s="29"/>
      <c r="W195" s="29"/>
      <c r="X195" s="29"/>
      <c r="Y195" s="29"/>
      <c r="Z195" s="29"/>
    </row>
    <row r="196" spans="1:26" ht="15">
      <c r="A196" s="29"/>
      <c r="B196" s="29"/>
      <c r="C196" s="29"/>
      <c r="D196" s="33"/>
      <c r="E196" s="33"/>
      <c r="F196" s="33"/>
      <c r="G196" s="33"/>
      <c r="I196" s="29"/>
      <c r="J196" s="29"/>
      <c r="K196" s="29"/>
      <c r="L196" s="29"/>
      <c r="M196" s="29"/>
      <c r="N196" s="29"/>
      <c r="O196" s="29"/>
      <c r="P196" s="29"/>
      <c r="Q196" s="29"/>
      <c r="R196" s="29"/>
      <c r="S196" s="29"/>
      <c r="T196" s="29"/>
      <c r="U196" s="29"/>
      <c r="V196" s="29"/>
      <c r="W196" s="29"/>
      <c r="X196" s="29"/>
      <c r="Y196" s="29"/>
      <c r="Z196" s="29"/>
    </row>
    <row r="197" spans="1:26" ht="15">
      <c r="A197" s="29"/>
      <c r="B197" s="29"/>
      <c r="C197" s="29"/>
      <c r="D197" s="33"/>
      <c r="E197" s="33"/>
      <c r="F197" s="33"/>
      <c r="G197" s="33"/>
      <c r="I197" s="29"/>
      <c r="J197" s="29"/>
      <c r="K197" s="29"/>
      <c r="L197" s="29"/>
      <c r="M197" s="29"/>
      <c r="N197" s="29"/>
      <c r="O197" s="29"/>
      <c r="P197" s="29"/>
      <c r="Q197" s="29"/>
      <c r="R197" s="29"/>
      <c r="S197" s="29"/>
      <c r="T197" s="29"/>
      <c r="U197" s="29"/>
      <c r="V197" s="29"/>
      <c r="W197" s="29"/>
      <c r="X197" s="29"/>
      <c r="Y197" s="29"/>
      <c r="Z197" s="29"/>
    </row>
    <row r="198" spans="1:26" ht="15">
      <c r="A198" s="29"/>
      <c r="B198" s="29"/>
      <c r="C198" s="29"/>
      <c r="D198" s="33"/>
      <c r="E198" s="33"/>
      <c r="F198" s="33"/>
      <c r="G198" s="33"/>
      <c r="I198" s="29"/>
      <c r="J198" s="29"/>
      <c r="K198" s="29"/>
      <c r="L198" s="29"/>
      <c r="M198" s="29"/>
      <c r="N198" s="29"/>
      <c r="O198" s="29"/>
      <c r="P198" s="29"/>
      <c r="Q198" s="29"/>
      <c r="R198" s="29"/>
      <c r="S198" s="29"/>
      <c r="T198" s="29"/>
      <c r="U198" s="29"/>
      <c r="V198" s="29"/>
      <c r="W198" s="29"/>
      <c r="X198" s="29"/>
      <c r="Y198" s="29"/>
      <c r="Z198" s="29"/>
    </row>
    <row r="199" spans="1:26" ht="15">
      <c r="A199" s="29"/>
      <c r="B199" s="29"/>
      <c r="C199" s="29"/>
      <c r="D199" s="33"/>
      <c r="E199" s="33"/>
      <c r="F199" s="33"/>
      <c r="G199" s="33"/>
      <c r="I199" s="29"/>
      <c r="J199" s="29"/>
      <c r="K199" s="29"/>
      <c r="L199" s="29"/>
      <c r="M199" s="29"/>
      <c r="N199" s="29"/>
      <c r="O199" s="29"/>
      <c r="P199" s="29"/>
      <c r="Q199" s="29"/>
      <c r="R199" s="29"/>
      <c r="S199" s="29"/>
      <c r="T199" s="29"/>
      <c r="U199" s="29"/>
      <c r="V199" s="29"/>
      <c r="W199" s="29"/>
      <c r="X199" s="29"/>
      <c r="Y199" s="29"/>
      <c r="Z199" s="29"/>
    </row>
    <row r="200" spans="1:26" ht="15">
      <c r="A200" s="29"/>
      <c r="B200" s="29"/>
      <c r="C200" s="29"/>
      <c r="D200" s="33"/>
      <c r="E200" s="33"/>
      <c r="F200" s="33"/>
      <c r="G200" s="33"/>
      <c r="I200" s="29"/>
      <c r="J200" s="29"/>
      <c r="K200" s="29"/>
      <c r="L200" s="29"/>
      <c r="M200" s="29"/>
      <c r="N200" s="29"/>
      <c r="O200" s="29"/>
      <c r="P200" s="29"/>
      <c r="Q200" s="29"/>
      <c r="R200" s="29"/>
      <c r="S200" s="29"/>
      <c r="T200" s="29"/>
      <c r="U200" s="29"/>
      <c r="V200" s="29"/>
      <c r="W200" s="29"/>
      <c r="X200" s="29"/>
      <c r="Y200" s="29"/>
      <c r="Z200" s="29"/>
    </row>
    <row r="201" spans="1:26" ht="15">
      <c r="A201" s="29"/>
      <c r="B201" s="29"/>
      <c r="C201" s="29"/>
      <c r="D201" s="33"/>
      <c r="E201" s="33"/>
      <c r="F201" s="33"/>
      <c r="G201" s="33"/>
      <c r="I201" s="29"/>
      <c r="J201" s="29"/>
      <c r="K201" s="29"/>
      <c r="L201" s="29"/>
      <c r="M201" s="29"/>
      <c r="N201" s="29"/>
      <c r="O201" s="29"/>
      <c r="P201" s="29"/>
      <c r="Q201" s="29"/>
      <c r="R201" s="29"/>
      <c r="S201" s="29"/>
      <c r="T201" s="29"/>
      <c r="U201" s="29"/>
      <c r="V201" s="29"/>
      <c r="W201" s="29"/>
      <c r="X201" s="29"/>
      <c r="Y201" s="29"/>
      <c r="Z201" s="29"/>
    </row>
    <row r="202" spans="1:26" ht="15">
      <c r="A202" s="29"/>
      <c r="B202" s="29"/>
      <c r="C202" s="29"/>
      <c r="D202" s="33"/>
      <c r="E202" s="33"/>
      <c r="F202" s="33"/>
      <c r="G202" s="33"/>
      <c r="I202" s="29"/>
      <c r="J202" s="29"/>
      <c r="K202" s="29"/>
      <c r="L202" s="29"/>
      <c r="M202" s="29"/>
      <c r="N202" s="29"/>
      <c r="O202" s="29"/>
      <c r="P202" s="29"/>
      <c r="Q202" s="29"/>
      <c r="R202" s="29"/>
      <c r="S202" s="29"/>
      <c r="T202" s="29"/>
      <c r="U202" s="29"/>
      <c r="V202" s="29"/>
      <c r="W202" s="29"/>
      <c r="X202" s="29"/>
      <c r="Y202" s="29"/>
      <c r="Z202" s="29"/>
    </row>
    <row r="203" spans="1:26" ht="15">
      <c r="A203" s="29"/>
      <c r="B203" s="29"/>
      <c r="C203" s="29"/>
      <c r="D203" s="33"/>
      <c r="E203" s="33"/>
      <c r="F203" s="33"/>
      <c r="G203" s="33"/>
      <c r="I203" s="29"/>
      <c r="J203" s="29"/>
      <c r="K203" s="29"/>
      <c r="L203" s="29"/>
      <c r="M203" s="29"/>
      <c r="N203" s="29"/>
      <c r="O203" s="29"/>
      <c r="P203" s="29"/>
      <c r="Q203" s="29"/>
      <c r="R203" s="29"/>
      <c r="S203" s="29"/>
      <c r="T203" s="29"/>
      <c r="U203" s="29"/>
      <c r="V203" s="29"/>
      <c r="W203" s="29"/>
      <c r="X203" s="29"/>
      <c r="Y203" s="29"/>
      <c r="Z203" s="29"/>
    </row>
    <row r="204" spans="1:26" ht="15">
      <c r="A204" s="29"/>
      <c r="B204" s="29"/>
      <c r="C204" s="29"/>
      <c r="D204" s="33"/>
      <c r="E204" s="33"/>
      <c r="F204" s="33"/>
      <c r="G204" s="33"/>
      <c r="I204" s="29"/>
      <c r="J204" s="29"/>
      <c r="K204" s="29"/>
      <c r="L204" s="29"/>
      <c r="M204" s="29"/>
      <c r="N204" s="29"/>
      <c r="O204" s="29"/>
      <c r="P204" s="29"/>
      <c r="Q204" s="29"/>
      <c r="R204" s="29"/>
      <c r="S204" s="29"/>
      <c r="T204" s="29"/>
      <c r="U204" s="29"/>
      <c r="V204" s="29"/>
      <c r="W204" s="29"/>
      <c r="X204" s="29"/>
      <c r="Y204" s="29"/>
      <c r="Z204" s="29"/>
    </row>
    <row r="205" spans="1:26" ht="15">
      <c r="A205" s="29"/>
      <c r="B205" s="29"/>
      <c r="C205" s="29"/>
      <c r="D205" s="33"/>
      <c r="E205" s="33"/>
      <c r="F205" s="33"/>
      <c r="G205" s="33"/>
      <c r="I205" s="29"/>
      <c r="J205" s="29"/>
      <c r="K205" s="29"/>
      <c r="L205" s="29"/>
      <c r="M205" s="29"/>
      <c r="N205" s="29"/>
      <c r="O205" s="29"/>
      <c r="P205" s="29"/>
      <c r="Q205" s="29"/>
      <c r="R205" s="29"/>
      <c r="S205" s="29"/>
      <c r="T205" s="29"/>
      <c r="U205" s="29"/>
      <c r="V205" s="29"/>
      <c r="W205" s="29"/>
      <c r="X205" s="29"/>
      <c r="Y205" s="29"/>
      <c r="Z205" s="29"/>
    </row>
    <row r="206" spans="1:26" ht="15">
      <c r="A206" s="29"/>
      <c r="B206" s="29"/>
      <c r="C206" s="29"/>
      <c r="D206" s="33"/>
      <c r="E206" s="33"/>
      <c r="F206" s="33"/>
      <c r="G206" s="33"/>
      <c r="I206" s="29"/>
      <c r="J206" s="29"/>
      <c r="K206" s="29"/>
      <c r="L206" s="29"/>
      <c r="M206" s="29"/>
      <c r="N206" s="29"/>
      <c r="O206" s="29"/>
      <c r="P206" s="29"/>
      <c r="Q206" s="29"/>
      <c r="R206" s="29"/>
      <c r="S206" s="29"/>
      <c r="T206" s="29"/>
      <c r="U206" s="29"/>
      <c r="V206" s="29"/>
      <c r="W206" s="29"/>
      <c r="X206" s="29"/>
      <c r="Y206" s="29"/>
      <c r="Z206" s="29"/>
    </row>
    <row r="207" spans="1:26" ht="15">
      <c r="A207" s="29"/>
      <c r="B207" s="29"/>
      <c r="C207" s="29"/>
      <c r="D207" s="33"/>
      <c r="E207" s="33"/>
      <c r="F207" s="33"/>
      <c r="G207" s="33"/>
      <c r="I207" s="29"/>
      <c r="J207" s="29"/>
      <c r="K207" s="29"/>
      <c r="L207" s="29"/>
      <c r="M207" s="29"/>
      <c r="N207" s="29"/>
      <c r="O207" s="29"/>
      <c r="P207" s="29"/>
      <c r="Q207" s="29"/>
      <c r="R207" s="29"/>
      <c r="S207" s="29"/>
      <c r="T207" s="29"/>
      <c r="U207" s="29"/>
      <c r="V207" s="29"/>
      <c r="W207" s="29"/>
      <c r="X207" s="29"/>
      <c r="Y207" s="29"/>
      <c r="Z207" s="29"/>
    </row>
    <row r="208" spans="1:26" ht="15">
      <c r="A208" s="29"/>
      <c r="B208" s="29"/>
      <c r="C208" s="29"/>
      <c r="D208" s="33"/>
      <c r="E208" s="33"/>
      <c r="F208" s="33"/>
      <c r="G208" s="33"/>
      <c r="I208" s="29"/>
      <c r="J208" s="29"/>
      <c r="K208" s="29"/>
      <c r="L208" s="29"/>
      <c r="M208" s="29"/>
      <c r="N208" s="29"/>
      <c r="O208" s="29"/>
      <c r="P208" s="29"/>
      <c r="Q208" s="29"/>
      <c r="R208" s="29"/>
      <c r="S208" s="29"/>
      <c r="T208" s="29"/>
      <c r="U208" s="29"/>
      <c r="V208" s="29"/>
      <c r="W208" s="29"/>
      <c r="X208" s="29"/>
      <c r="Y208" s="29"/>
      <c r="Z208" s="29"/>
    </row>
    <row r="209" spans="1:26" ht="15">
      <c r="A209" s="29"/>
      <c r="B209" s="29"/>
      <c r="C209" s="29"/>
      <c r="D209" s="33"/>
      <c r="E209" s="33"/>
      <c r="F209" s="33"/>
      <c r="G209" s="33"/>
      <c r="I209" s="29"/>
      <c r="J209" s="29"/>
      <c r="K209" s="29"/>
      <c r="L209" s="29"/>
      <c r="M209" s="29"/>
      <c r="N209" s="29"/>
      <c r="O209" s="29"/>
      <c r="P209" s="29"/>
      <c r="Q209" s="29"/>
      <c r="R209" s="29"/>
      <c r="S209" s="29"/>
      <c r="T209" s="29"/>
      <c r="U209" s="29"/>
      <c r="V209" s="29"/>
      <c r="W209" s="29"/>
      <c r="X209" s="29"/>
      <c r="Y209" s="29"/>
      <c r="Z209" s="29"/>
    </row>
    <row r="210" spans="1:26" ht="15">
      <c r="A210" s="29"/>
      <c r="B210" s="29"/>
      <c r="C210" s="29"/>
      <c r="D210" s="33"/>
      <c r="E210" s="33"/>
      <c r="F210" s="33"/>
      <c r="G210" s="33"/>
      <c r="I210" s="29"/>
      <c r="J210" s="29"/>
      <c r="K210" s="29"/>
      <c r="L210" s="29"/>
      <c r="M210" s="29"/>
      <c r="N210" s="29"/>
      <c r="O210" s="29"/>
      <c r="P210" s="29"/>
      <c r="Q210" s="29"/>
      <c r="R210" s="29"/>
      <c r="S210" s="29"/>
      <c r="T210" s="29"/>
      <c r="U210" s="29"/>
      <c r="V210" s="29"/>
      <c r="W210" s="29"/>
      <c r="X210" s="29"/>
      <c r="Y210" s="29"/>
      <c r="Z210" s="29"/>
    </row>
    <row r="211" spans="1:26" ht="15">
      <c r="A211" s="29"/>
      <c r="B211" s="29"/>
      <c r="C211" s="29"/>
      <c r="D211" s="33"/>
      <c r="E211" s="33"/>
      <c r="F211" s="33"/>
      <c r="G211" s="33"/>
      <c r="I211" s="29"/>
      <c r="J211" s="29"/>
      <c r="K211" s="29"/>
      <c r="L211" s="29"/>
      <c r="M211" s="29"/>
      <c r="N211" s="29"/>
      <c r="O211" s="29"/>
      <c r="P211" s="29"/>
      <c r="Q211" s="29"/>
      <c r="R211" s="29"/>
      <c r="S211" s="29"/>
      <c r="T211" s="29"/>
      <c r="U211" s="29"/>
      <c r="V211" s="29"/>
      <c r="W211" s="29"/>
      <c r="X211" s="29"/>
      <c r="Y211" s="29"/>
      <c r="Z211" s="29"/>
    </row>
    <row r="212" spans="1:26" ht="15">
      <c r="A212" s="29"/>
      <c r="B212" s="29"/>
      <c r="C212" s="29"/>
      <c r="D212" s="33"/>
      <c r="E212" s="33"/>
      <c r="F212" s="33"/>
      <c r="G212" s="33"/>
      <c r="I212" s="29"/>
      <c r="J212" s="29"/>
      <c r="K212" s="29"/>
      <c r="L212" s="29"/>
      <c r="M212" s="29"/>
      <c r="N212" s="29"/>
      <c r="O212" s="29"/>
      <c r="P212" s="29"/>
      <c r="Q212" s="29"/>
      <c r="R212" s="29"/>
      <c r="S212" s="29"/>
      <c r="T212" s="29"/>
      <c r="U212" s="29"/>
      <c r="V212" s="29"/>
      <c r="W212" s="29"/>
      <c r="X212" s="29"/>
      <c r="Y212" s="29"/>
      <c r="Z212" s="29"/>
    </row>
    <row r="213" spans="1:26" ht="15">
      <c r="A213" s="29"/>
      <c r="B213" s="29"/>
      <c r="C213" s="29"/>
      <c r="D213" s="33"/>
      <c r="E213" s="33"/>
      <c r="F213" s="33"/>
      <c r="G213" s="33"/>
      <c r="I213" s="29"/>
      <c r="J213" s="29"/>
      <c r="K213" s="29"/>
      <c r="L213" s="29"/>
      <c r="M213" s="29"/>
      <c r="N213" s="29"/>
      <c r="O213" s="29"/>
      <c r="P213" s="29"/>
      <c r="Q213" s="29"/>
      <c r="R213" s="29"/>
      <c r="S213" s="29"/>
      <c r="T213" s="29"/>
      <c r="U213" s="29"/>
      <c r="V213" s="29"/>
      <c r="W213" s="29"/>
      <c r="X213" s="29"/>
      <c r="Y213" s="29"/>
      <c r="Z213" s="29"/>
    </row>
    <row r="214" spans="1:26" ht="15">
      <c r="A214" s="29"/>
      <c r="B214" s="29"/>
      <c r="C214" s="29"/>
      <c r="D214" s="33"/>
      <c r="E214" s="33"/>
      <c r="F214" s="33"/>
      <c r="G214" s="33"/>
      <c r="I214" s="29"/>
      <c r="J214" s="29"/>
      <c r="K214" s="29"/>
      <c r="L214" s="29"/>
      <c r="M214" s="29"/>
      <c r="N214" s="29"/>
      <c r="O214" s="29"/>
      <c r="P214" s="29"/>
      <c r="Q214" s="29"/>
      <c r="R214" s="29"/>
      <c r="S214" s="29"/>
      <c r="T214" s="29"/>
      <c r="U214" s="29"/>
      <c r="V214" s="29"/>
      <c r="W214" s="29"/>
      <c r="X214" s="29"/>
      <c r="Y214" s="29"/>
      <c r="Z214" s="29"/>
    </row>
    <row r="215" spans="1:26" ht="15">
      <c r="A215" s="29"/>
      <c r="B215" s="29"/>
      <c r="C215" s="29"/>
      <c r="D215" s="33"/>
      <c r="E215" s="33"/>
      <c r="F215" s="33"/>
      <c r="G215" s="33"/>
      <c r="I215" s="29"/>
      <c r="J215" s="29"/>
      <c r="K215" s="29"/>
      <c r="L215" s="29"/>
      <c r="M215" s="29"/>
      <c r="N215" s="29"/>
      <c r="O215" s="29"/>
      <c r="P215" s="29"/>
      <c r="Q215" s="29"/>
      <c r="R215" s="29"/>
      <c r="S215" s="29"/>
      <c r="T215" s="29"/>
      <c r="U215" s="29"/>
      <c r="V215" s="29"/>
      <c r="W215" s="29"/>
      <c r="X215" s="29"/>
      <c r="Y215" s="29"/>
      <c r="Z215" s="29"/>
    </row>
    <row r="216" spans="1:26" ht="15">
      <c r="A216" s="29"/>
      <c r="B216" s="29"/>
      <c r="C216" s="29"/>
      <c r="D216" s="33"/>
      <c r="E216" s="33"/>
      <c r="F216" s="33"/>
      <c r="G216" s="33"/>
      <c r="I216" s="29"/>
      <c r="J216" s="29"/>
      <c r="K216" s="29"/>
      <c r="L216" s="29"/>
      <c r="M216" s="29"/>
      <c r="N216" s="29"/>
      <c r="O216" s="29"/>
      <c r="P216" s="29"/>
      <c r="Q216" s="29"/>
      <c r="R216" s="29"/>
      <c r="S216" s="29"/>
      <c r="T216" s="29"/>
      <c r="U216" s="29"/>
      <c r="V216" s="29"/>
      <c r="W216" s="29"/>
      <c r="X216" s="29"/>
      <c r="Y216" s="29"/>
      <c r="Z216" s="29"/>
    </row>
    <row r="217" spans="1:26" ht="15">
      <c r="A217" s="29"/>
      <c r="B217" s="29"/>
      <c r="C217" s="29"/>
      <c r="D217" s="33"/>
      <c r="E217" s="33"/>
      <c r="F217" s="33"/>
      <c r="G217" s="33"/>
      <c r="I217" s="29"/>
      <c r="J217" s="29"/>
      <c r="K217" s="29"/>
      <c r="L217" s="29"/>
      <c r="M217" s="29"/>
      <c r="N217" s="29"/>
      <c r="O217" s="29"/>
      <c r="P217" s="29"/>
      <c r="Q217" s="29"/>
      <c r="R217" s="29"/>
      <c r="S217" s="29"/>
      <c r="T217" s="29"/>
      <c r="U217" s="29"/>
      <c r="V217" s="29"/>
      <c r="W217" s="29"/>
      <c r="X217" s="29"/>
      <c r="Y217" s="29"/>
      <c r="Z217" s="29"/>
    </row>
    <row r="218" spans="1:26" ht="15">
      <c r="A218" s="29"/>
      <c r="B218" s="29"/>
      <c r="C218" s="29"/>
      <c r="D218" s="33"/>
      <c r="E218" s="33"/>
      <c r="F218" s="33"/>
      <c r="G218" s="33"/>
      <c r="I218" s="29"/>
      <c r="J218" s="29"/>
      <c r="K218" s="29"/>
      <c r="L218" s="29"/>
      <c r="M218" s="29"/>
      <c r="N218" s="29"/>
      <c r="O218" s="29"/>
      <c r="P218" s="29"/>
      <c r="Q218" s="29"/>
      <c r="R218" s="29"/>
      <c r="S218" s="29"/>
      <c r="T218" s="29"/>
      <c r="U218" s="29"/>
      <c r="V218" s="29"/>
      <c r="W218" s="29"/>
      <c r="X218" s="29"/>
      <c r="Y218" s="29"/>
      <c r="Z218" s="29"/>
    </row>
    <row r="219" spans="1:26" ht="15">
      <c r="A219" s="29"/>
      <c r="B219" s="29"/>
      <c r="C219" s="29"/>
      <c r="D219" s="33"/>
      <c r="E219" s="33"/>
      <c r="F219" s="33"/>
      <c r="G219" s="33"/>
      <c r="I219" s="29"/>
      <c r="J219" s="29"/>
      <c r="K219" s="29"/>
      <c r="L219" s="29"/>
      <c r="M219" s="29"/>
      <c r="N219" s="29"/>
      <c r="O219" s="29"/>
      <c r="P219" s="29"/>
      <c r="Q219" s="29"/>
      <c r="R219" s="29"/>
      <c r="S219" s="29"/>
      <c r="T219" s="29"/>
      <c r="U219" s="29"/>
      <c r="V219" s="29"/>
      <c r="W219" s="29"/>
      <c r="X219" s="29"/>
      <c r="Y219" s="29"/>
      <c r="Z219" s="29"/>
    </row>
    <row r="220" spans="1:26" ht="15">
      <c r="A220" s="29"/>
      <c r="B220" s="29"/>
      <c r="C220" s="29"/>
      <c r="D220" s="33"/>
      <c r="E220" s="33"/>
      <c r="F220" s="33"/>
      <c r="G220" s="33"/>
      <c r="I220" s="29"/>
      <c r="J220" s="29"/>
      <c r="K220" s="29"/>
      <c r="L220" s="29"/>
      <c r="M220" s="29"/>
      <c r="N220" s="29"/>
      <c r="O220" s="29"/>
      <c r="P220" s="29"/>
      <c r="Q220" s="29"/>
      <c r="R220" s="29"/>
      <c r="S220" s="29"/>
      <c r="T220" s="29"/>
      <c r="U220" s="29"/>
      <c r="V220" s="29"/>
      <c r="W220" s="29"/>
      <c r="X220" s="29"/>
      <c r="Y220" s="29"/>
      <c r="Z220" s="29"/>
    </row>
    <row r="221" spans="1:26" ht="15">
      <c r="A221" s="29"/>
      <c r="B221" s="29"/>
      <c r="C221" s="29"/>
      <c r="D221" s="33"/>
      <c r="E221" s="33"/>
      <c r="F221" s="33"/>
      <c r="G221" s="33"/>
      <c r="I221" s="29"/>
      <c r="J221" s="29"/>
      <c r="K221" s="29"/>
      <c r="L221" s="29"/>
      <c r="M221" s="29"/>
      <c r="N221" s="29"/>
      <c r="O221" s="29"/>
      <c r="P221" s="29"/>
      <c r="Q221" s="29"/>
      <c r="R221" s="29"/>
      <c r="S221" s="29"/>
      <c r="T221" s="29"/>
      <c r="U221" s="29"/>
      <c r="V221" s="29"/>
      <c r="W221" s="29"/>
      <c r="X221" s="29"/>
      <c r="Y221" s="29"/>
      <c r="Z221" s="29"/>
    </row>
    <row r="222" spans="1:26" ht="15">
      <c r="A222" s="29"/>
      <c r="B222" s="29"/>
      <c r="C222" s="29"/>
      <c r="D222" s="33"/>
      <c r="E222" s="33"/>
      <c r="F222" s="33"/>
      <c r="G222" s="33"/>
      <c r="I222" s="29"/>
      <c r="J222" s="29"/>
      <c r="K222" s="29"/>
      <c r="L222" s="29"/>
      <c r="M222" s="29"/>
      <c r="N222" s="29"/>
      <c r="O222" s="29"/>
      <c r="P222" s="29"/>
      <c r="Q222" s="29"/>
      <c r="R222" s="29"/>
      <c r="S222" s="29"/>
      <c r="T222" s="29"/>
      <c r="U222" s="29"/>
      <c r="V222" s="29"/>
      <c r="W222" s="29"/>
      <c r="X222" s="29"/>
      <c r="Y222" s="29"/>
      <c r="Z222" s="29"/>
    </row>
    <row r="223" spans="1:26" ht="15">
      <c r="A223" s="29"/>
      <c r="B223" s="29"/>
      <c r="C223" s="29"/>
      <c r="D223" s="33"/>
      <c r="E223" s="33"/>
      <c r="F223" s="33"/>
      <c r="G223" s="33"/>
      <c r="I223" s="29"/>
      <c r="J223" s="29"/>
      <c r="K223" s="29"/>
      <c r="L223" s="29"/>
      <c r="M223" s="29"/>
      <c r="N223" s="29"/>
      <c r="O223" s="29"/>
      <c r="P223" s="29"/>
      <c r="Q223" s="29"/>
      <c r="R223" s="29"/>
      <c r="S223" s="29"/>
      <c r="T223" s="29"/>
      <c r="U223" s="29"/>
      <c r="V223" s="29"/>
      <c r="W223" s="29"/>
      <c r="X223" s="29"/>
      <c r="Y223" s="29"/>
      <c r="Z223" s="29"/>
    </row>
    <row r="224" spans="1:26" ht="15">
      <c r="A224" s="29"/>
      <c r="B224" s="29"/>
      <c r="C224" s="29"/>
      <c r="D224" s="33"/>
      <c r="E224" s="33"/>
      <c r="F224" s="33"/>
      <c r="G224" s="33"/>
      <c r="I224" s="29"/>
      <c r="J224" s="29"/>
      <c r="K224" s="29"/>
      <c r="L224" s="29"/>
      <c r="M224" s="29"/>
      <c r="N224" s="29"/>
      <c r="O224" s="29"/>
      <c r="P224" s="29"/>
      <c r="Q224" s="29"/>
      <c r="R224" s="29"/>
      <c r="S224" s="29"/>
      <c r="T224" s="29"/>
      <c r="U224" s="29"/>
      <c r="V224" s="29"/>
      <c r="W224" s="29"/>
      <c r="X224" s="29"/>
      <c r="Y224" s="29"/>
      <c r="Z224" s="29"/>
    </row>
    <row r="225" spans="1:26" ht="15">
      <c r="A225" s="29"/>
      <c r="B225" s="29"/>
      <c r="C225" s="29"/>
      <c r="D225" s="33"/>
      <c r="E225" s="33"/>
      <c r="F225" s="33"/>
      <c r="G225" s="33"/>
      <c r="I225" s="29"/>
      <c r="J225" s="29"/>
      <c r="K225" s="29"/>
      <c r="L225" s="29"/>
      <c r="M225" s="29"/>
      <c r="N225" s="29"/>
      <c r="O225" s="29"/>
      <c r="P225" s="29"/>
      <c r="Q225" s="29"/>
      <c r="R225" s="29"/>
      <c r="S225" s="29"/>
      <c r="T225" s="29"/>
      <c r="U225" s="29"/>
      <c r="V225" s="29"/>
      <c r="W225" s="29"/>
      <c r="X225" s="29"/>
      <c r="Y225" s="29"/>
      <c r="Z225" s="29"/>
    </row>
    <row r="226" spans="1:26" ht="15">
      <c r="A226" s="29"/>
      <c r="B226" s="29"/>
      <c r="C226" s="29"/>
      <c r="D226" s="33"/>
      <c r="E226" s="33"/>
      <c r="F226" s="33"/>
      <c r="G226" s="33"/>
      <c r="I226" s="29"/>
      <c r="J226" s="29"/>
      <c r="K226" s="29"/>
      <c r="L226" s="29"/>
      <c r="M226" s="29"/>
      <c r="N226" s="29"/>
      <c r="O226" s="29"/>
      <c r="P226" s="29"/>
      <c r="Q226" s="29"/>
      <c r="R226" s="29"/>
      <c r="S226" s="29"/>
      <c r="T226" s="29"/>
      <c r="U226" s="29"/>
      <c r="V226" s="29"/>
      <c r="W226" s="29"/>
      <c r="X226" s="29"/>
      <c r="Y226" s="29"/>
      <c r="Z226" s="29"/>
    </row>
    <row r="227" spans="1:26" ht="15">
      <c r="A227" s="29"/>
      <c r="B227" s="29"/>
      <c r="C227" s="29"/>
      <c r="D227" s="33"/>
      <c r="E227" s="33"/>
      <c r="F227" s="33"/>
      <c r="G227" s="33"/>
      <c r="I227" s="29"/>
      <c r="J227" s="29"/>
      <c r="K227" s="29"/>
      <c r="L227" s="29"/>
      <c r="M227" s="29"/>
      <c r="N227" s="29"/>
      <c r="O227" s="29"/>
      <c r="P227" s="29"/>
      <c r="Q227" s="29"/>
      <c r="R227" s="29"/>
      <c r="S227" s="29"/>
      <c r="T227" s="29"/>
      <c r="U227" s="29"/>
      <c r="V227" s="29"/>
      <c r="W227" s="29"/>
      <c r="X227" s="29"/>
      <c r="Y227" s="29"/>
      <c r="Z227" s="29"/>
    </row>
    <row r="228" spans="1:26" ht="15">
      <c r="A228" s="29"/>
      <c r="B228" s="29"/>
      <c r="C228" s="29"/>
      <c r="D228" s="33"/>
      <c r="E228" s="33"/>
      <c r="F228" s="33"/>
      <c r="G228" s="33"/>
      <c r="I228" s="29"/>
      <c r="J228" s="29"/>
      <c r="K228" s="29"/>
      <c r="L228" s="29"/>
      <c r="M228" s="29"/>
      <c r="N228" s="29"/>
      <c r="O228" s="29"/>
      <c r="P228" s="29"/>
      <c r="Q228" s="29"/>
      <c r="R228" s="29"/>
      <c r="S228" s="29"/>
      <c r="T228" s="29"/>
      <c r="U228" s="29"/>
      <c r="V228" s="29"/>
      <c r="W228" s="29"/>
      <c r="X228" s="29"/>
      <c r="Y228" s="29"/>
      <c r="Z228" s="29"/>
    </row>
    <row r="229" spans="1:26" ht="15">
      <c r="A229" s="29"/>
      <c r="B229" s="29"/>
      <c r="C229" s="29"/>
      <c r="D229" s="33"/>
      <c r="E229" s="33"/>
      <c r="F229" s="33"/>
      <c r="G229" s="33"/>
      <c r="I229" s="29"/>
      <c r="J229" s="29"/>
      <c r="K229" s="29"/>
      <c r="L229" s="29"/>
      <c r="M229" s="29"/>
      <c r="N229" s="29"/>
      <c r="O229" s="29"/>
      <c r="P229" s="29"/>
      <c r="Q229" s="29"/>
      <c r="R229" s="29"/>
      <c r="S229" s="29"/>
      <c r="T229" s="29"/>
      <c r="U229" s="29"/>
      <c r="V229" s="29"/>
      <c r="W229" s="29"/>
      <c r="X229" s="29"/>
      <c r="Y229" s="29"/>
      <c r="Z229" s="29"/>
    </row>
    <row r="230" spans="1:26" ht="15">
      <c r="A230" s="29"/>
      <c r="B230" s="29"/>
      <c r="C230" s="29"/>
      <c r="D230" s="33"/>
      <c r="E230" s="33"/>
      <c r="F230" s="33"/>
      <c r="G230" s="33"/>
      <c r="I230" s="29"/>
      <c r="J230" s="29"/>
      <c r="K230" s="29"/>
      <c r="L230" s="29"/>
      <c r="M230" s="29"/>
      <c r="N230" s="29"/>
      <c r="O230" s="29"/>
      <c r="P230" s="29"/>
      <c r="Q230" s="29"/>
      <c r="R230" s="29"/>
      <c r="S230" s="29"/>
      <c r="T230" s="29"/>
      <c r="U230" s="29"/>
      <c r="V230" s="29"/>
      <c r="W230" s="29"/>
      <c r="X230" s="29"/>
      <c r="Y230" s="29"/>
      <c r="Z230" s="29"/>
    </row>
    <row r="231" spans="1:26" ht="15">
      <c r="A231" s="29"/>
      <c r="B231" s="29"/>
      <c r="C231" s="29"/>
      <c r="D231" s="33"/>
      <c r="E231" s="33"/>
      <c r="F231" s="33"/>
      <c r="G231" s="33"/>
      <c r="I231" s="29"/>
      <c r="J231" s="29"/>
      <c r="K231" s="29"/>
      <c r="L231" s="29"/>
      <c r="M231" s="29"/>
      <c r="N231" s="29"/>
      <c r="O231" s="29"/>
      <c r="P231" s="29"/>
      <c r="Q231" s="29"/>
      <c r="R231" s="29"/>
      <c r="S231" s="29"/>
      <c r="T231" s="29"/>
      <c r="U231" s="29"/>
      <c r="V231" s="29"/>
      <c r="W231" s="29"/>
      <c r="X231" s="29"/>
      <c r="Y231" s="29"/>
      <c r="Z231" s="29"/>
    </row>
    <row r="232" spans="1:26" ht="15">
      <c r="A232" s="29"/>
      <c r="B232" s="29"/>
      <c r="C232" s="29"/>
      <c r="D232" s="33"/>
      <c r="E232" s="33"/>
      <c r="F232" s="33"/>
      <c r="G232" s="33"/>
      <c r="I232" s="29"/>
      <c r="J232" s="29"/>
      <c r="K232" s="29"/>
      <c r="L232" s="29"/>
      <c r="M232" s="29"/>
      <c r="N232" s="29"/>
      <c r="O232" s="29"/>
      <c r="P232" s="29"/>
      <c r="Q232" s="29"/>
      <c r="R232" s="29"/>
      <c r="S232" s="29"/>
      <c r="T232" s="29"/>
      <c r="U232" s="29"/>
      <c r="V232" s="29"/>
      <c r="W232" s="29"/>
      <c r="X232" s="29"/>
      <c r="Y232" s="29"/>
      <c r="Z232" s="29"/>
    </row>
    <row r="233" spans="1:26" ht="15">
      <c r="A233" s="29"/>
      <c r="B233" s="29"/>
      <c r="C233" s="29"/>
      <c r="D233" s="33"/>
      <c r="E233" s="33"/>
      <c r="F233" s="33"/>
      <c r="G233" s="33"/>
      <c r="I233" s="29"/>
      <c r="J233" s="29"/>
      <c r="K233" s="29"/>
      <c r="L233" s="29"/>
      <c r="M233" s="29"/>
      <c r="N233" s="29"/>
      <c r="O233" s="29"/>
      <c r="P233" s="29"/>
      <c r="Q233" s="29"/>
      <c r="R233" s="29"/>
      <c r="S233" s="29"/>
      <c r="T233" s="29"/>
      <c r="U233" s="29"/>
      <c r="V233" s="29"/>
      <c r="W233" s="29"/>
      <c r="X233" s="29"/>
      <c r="Y233" s="29"/>
      <c r="Z233" s="29"/>
    </row>
    <row r="234" spans="1:26" ht="15">
      <c r="A234" s="29"/>
      <c r="B234" s="29"/>
      <c r="C234" s="29"/>
      <c r="D234" s="33"/>
      <c r="E234" s="33"/>
      <c r="F234" s="33"/>
      <c r="G234" s="33"/>
      <c r="I234" s="29"/>
      <c r="J234" s="29"/>
      <c r="K234" s="29"/>
      <c r="L234" s="29"/>
      <c r="M234" s="29"/>
      <c r="N234" s="29"/>
      <c r="O234" s="29"/>
      <c r="P234" s="29"/>
      <c r="Q234" s="29"/>
      <c r="R234" s="29"/>
      <c r="S234" s="29"/>
      <c r="T234" s="29"/>
      <c r="U234" s="29"/>
      <c r="V234" s="29"/>
      <c r="W234" s="29"/>
      <c r="X234" s="29"/>
      <c r="Y234" s="29"/>
      <c r="Z234" s="29"/>
    </row>
    <row r="235" spans="1:26" ht="15">
      <c r="A235" s="29"/>
      <c r="B235" s="29"/>
      <c r="C235" s="29"/>
      <c r="D235" s="33"/>
      <c r="E235" s="33"/>
      <c r="F235" s="33"/>
      <c r="G235" s="33"/>
      <c r="I235" s="29"/>
      <c r="J235" s="29"/>
      <c r="K235" s="29"/>
      <c r="L235" s="29"/>
      <c r="M235" s="29"/>
      <c r="N235" s="29"/>
      <c r="O235" s="29"/>
      <c r="P235" s="29"/>
      <c r="Q235" s="29"/>
      <c r="R235" s="29"/>
      <c r="S235" s="29"/>
      <c r="T235" s="29"/>
      <c r="U235" s="29"/>
      <c r="V235" s="29"/>
      <c r="W235" s="29"/>
      <c r="X235" s="29"/>
      <c r="Y235" s="29"/>
      <c r="Z235" s="29"/>
    </row>
    <row r="236" spans="1:26" ht="15">
      <c r="A236" s="29"/>
      <c r="B236" s="29"/>
      <c r="C236" s="29"/>
      <c r="D236" s="33"/>
      <c r="E236" s="33"/>
      <c r="F236" s="33"/>
      <c r="G236" s="33"/>
      <c r="I236" s="29"/>
      <c r="J236" s="29"/>
      <c r="K236" s="29"/>
      <c r="L236" s="29"/>
      <c r="M236" s="29"/>
      <c r="N236" s="29"/>
      <c r="O236" s="29"/>
      <c r="P236" s="29"/>
      <c r="Q236" s="29"/>
      <c r="R236" s="29"/>
      <c r="S236" s="29"/>
      <c r="T236" s="29"/>
      <c r="U236" s="29"/>
      <c r="V236" s="29"/>
      <c r="W236" s="29"/>
      <c r="X236" s="29"/>
      <c r="Y236" s="29"/>
      <c r="Z236" s="29"/>
    </row>
    <row r="237" spans="1:26" ht="15">
      <c r="A237" s="29"/>
      <c r="B237" s="29"/>
      <c r="C237" s="29"/>
      <c r="D237" s="33"/>
      <c r="E237" s="33"/>
      <c r="F237" s="33"/>
      <c r="G237" s="33"/>
      <c r="I237" s="29"/>
      <c r="J237" s="29"/>
      <c r="K237" s="29"/>
      <c r="L237" s="29"/>
      <c r="M237" s="29"/>
      <c r="N237" s="29"/>
      <c r="O237" s="29"/>
      <c r="P237" s="29"/>
      <c r="Q237" s="29"/>
      <c r="R237" s="29"/>
      <c r="S237" s="29"/>
      <c r="T237" s="29"/>
      <c r="U237" s="29"/>
      <c r="V237" s="29"/>
      <c r="W237" s="29"/>
      <c r="X237" s="29"/>
      <c r="Y237" s="29"/>
      <c r="Z237" s="29"/>
    </row>
    <row r="238" spans="1:26" ht="15">
      <c r="A238" s="29"/>
      <c r="B238" s="29"/>
      <c r="C238" s="29"/>
      <c r="D238" s="33"/>
      <c r="E238" s="33"/>
      <c r="F238" s="33"/>
      <c r="G238" s="33"/>
      <c r="I238" s="29"/>
      <c r="J238" s="29"/>
      <c r="K238" s="29"/>
      <c r="L238" s="29"/>
      <c r="M238" s="29"/>
      <c r="N238" s="29"/>
      <c r="O238" s="29"/>
      <c r="P238" s="29"/>
      <c r="Q238" s="29"/>
      <c r="R238" s="29"/>
      <c r="S238" s="29"/>
      <c r="T238" s="29"/>
      <c r="U238" s="29"/>
      <c r="V238" s="29"/>
      <c r="W238" s="29"/>
      <c r="X238" s="29"/>
      <c r="Y238" s="29"/>
      <c r="Z238" s="29"/>
    </row>
    <row r="239" spans="1:26" ht="15">
      <c r="A239" s="29"/>
      <c r="B239" s="29"/>
      <c r="C239" s="29"/>
      <c r="D239" s="33"/>
      <c r="E239" s="33"/>
      <c r="F239" s="33"/>
      <c r="G239" s="33"/>
      <c r="I239" s="29"/>
      <c r="J239" s="29"/>
      <c r="K239" s="29"/>
      <c r="L239" s="29"/>
      <c r="M239" s="29"/>
      <c r="N239" s="29"/>
      <c r="O239" s="29"/>
      <c r="P239" s="29"/>
      <c r="Q239" s="29"/>
      <c r="R239" s="29"/>
      <c r="S239" s="29"/>
      <c r="T239" s="29"/>
      <c r="U239" s="29"/>
      <c r="V239" s="29"/>
      <c r="W239" s="29"/>
      <c r="X239" s="29"/>
      <c r="Y239" s="29"/>
      <c r="Z239" s="29"/>
    </row>
    <row r="240" spans="1:26" ht="15">
      <c r="A240" s="29"/>
      <c r="B240" s="29"/>
      <c r="C240" s="29"/>
      <c r="D240" s="33"/>
      <c r="E240" s="33"/>
      <c r="F240" s="33"/>
      <c r="G240" s="33"/>
      <c r="I240" s="29"/>
      <c r="J240" s="29"/>
      <c r="K240" s="29"/>
      <c r="L240" s="29"/>
      <c r="M240" s="29"/>
      <c r="N240" s="29"/>
      <c r="O240" s="29"/>
      <c r="P240" s="29"/>
      <c r="Q240" s="29"/>
      <c r="R240" s="29"/>
      <c r="S240" s="29"/>
      <c r="T240" s="29"/>
      <c r="U240" s="29"/>
      <c r="V240" s="29"/>
      <c r="W240" s="29"/>
      <c r="X240" s="29"/>
      <c r="Y240" s="29"/>
      <c r="Z240" s="29"/>
    </row>
    <row r="241" spans="1:26" ht="15">
      <c r="A241" s="29"/>
      <c r="B241" s="29"/>
      <c r="C241" s="29"/>
      <c r="D241" s="33"/>
      <c r="E241" s="33"/>
      <c r="F241" s="33"/>
      <c r="G241" s="33"/>
      <c r="I241" s="29"/>
      <c r="J241" s="29"/>
      <c r="K241" s="29"/>
      <c r="L241" s="29"/>
      <c r="M241" s="29"/>
      <c r="N241" s="29"/>
      <c r="O241" s="29"/>
      <c r="P241" s="29"/>
      <c r="Q241" s="29"/>
      <c r="R241" s="29"/>
      <c r="S241" s="29"/>
      <c r="T241" s="29"/>
      <c r="U241" s="29"/>
      <c r="V241" s="29"/>
      <c r="W241" s="29"/>
      <c r="X241" s="29"/>
      <c r="Y241" s="29"/>
      <c r="Z241" s="29"/>
    </row>
    <row r="242" spans="1:26" ht="15">
      <c r="A242" s="29"/>
      <c r="B242" s="29"/>
      <c r="C242" s="29"/>
      <c r="D242" s="33"/>
      <c r="E242" s="33"/>
      <c r="F242" s="33"/>
      <c r="G242" s="33"/>
      <c r="I242" s="29"/>
      <c r="J242" s="29"/>
      <c r="K242" s="29"/>
      <c r="L242" s="29"/>
      <c r="M242" s="29"/>
      <c r="N242" s="29"/>
      <c r="O242" s="29"/>
      <c r="P242" s="29"/>
      <c r="Q242" s="29"/>
      <c r="R242" s="29"/>
      <c r="S242" s="29"/>
      <c r="T242" s="29"/>
      <c r="U242" s="29"/>
      <c r="V242" s="29"/>
      <c r="W242" s="29"/>
      <c r="X242" s="29"/>
      <c r="Y242" s="29"/>
      <c r="Z242" s="29"/>
    </row>
    <row r="243" spans="1:26" ht="15">
      <c r="A243" s="29"/>
      <c r="B243" s="29"/>
      <c r="C243" s="29"/>
      <c r="D243" s="33"/>
      <c r="E243" s="33"/>
      <c r="F243" s="33"/>
      <c r="G243" s="33"/>
      <c r="I243" s="29"/>
      <c r="J243" s="29"/>
      <c r="K243" s="29"/>
      <c r="L243" s="29"/>
      <c r="M243" s="29"/>
      <c r="N243" s="29"/>
      <c r="O243" s="29"/>
      <c r="P243" s="29"/>
      <c r="Q243" s="29"/>
      <c r="R243" s="29"/>
      <c r="S243" s="29"/>
      <c r="T243" s="29"/>
      <c r="U243" s="29"/>
      <c r="V243" s="29"/>
      <c r="W243" s="29"/>
      <c r="X243" s="29"/>
      <c r="Y243" s="29"/>
      <c r="Z243" s="29"/>
    </row>
    <row r="244" spans="1:26" ht="15">
      <c r="A244" s="29"/>
      <c r="B244" s="29"/>
      <c r="C244" s="29"/>
      <c r="D244" s="33"/>
      <c r="E244" s="33"/>
      <c r="F244" s="33"/>
      <c r="G244" s="33"/>
      <c r="I244" s="29"/>
      <c r="J244" s="29"/>
      <c r="K244" s="29"/>
      <c r="L244" s="29"/>
      <c r="M244" s="29"/>
      <c r="N244" s="29"/>
      <c r="O244" s="29"/>
      <c r="P244" s="29"/>
      <c r="Q244" s="29"/>
      <c r="R244" s="29"/>
      <c r="S244" s="29"/>
      <c r="T244" s="29"/>
      <c r="U244" s="29"/>
      <c r="V244" s="29"/>
      <c r="W244" s="29"/>
      <c r="X244" s="29"/>
      <c r="Y244" s="29"/>
      <c r="Z244" s="29"/>
    </row>
    <row r="245" spans="1:26" ht="15">
      <c r="A245" s="29"/>
      <c r="B245" s="29"/>
      <c r="C245" s="29"/>
      <c r="D245" s="33"/>
      <c r="E245" s="33"/>
      <c r="F245" s="33"/>
      <c r="G245" s="33"/>
      <c r="I245" s="29"/>
      <c r="J245" s="29"/>
      <c r="K245" s="29"/>
      <c r="L245" s="29"/>
      <c r="M245" s="29"/>
      <c r="N245" s="29"/>
      <c r="O245" s="29"/>
      <c r="P245" s="29"/>
      <c r="Q245" s="29"/>
      <c r="R245" s="29"/>
      <c r="S245" s="29"/>
      <c r="T245" s="29"/>
      <c r="U245" s="29"/>
      <c r="V245" s="29"/>
      <c r="W245" s="29"/>
      <c r="X245" s="29"/>
      <c r="Y245" s="29"/>
      <c r="Z245" s="29"/>
    </row>
    <row r="246" spans="1:26" ht="15">
      <c r="A246" s="29"/>
      <c r="B246" s="29"/>
      <c r="C246" s="29"/>
      <c r="D246" s="33"/>
      <c r="E246" s="33"/>
      <c r="F246" s="33"/>
      <c r="G246" s="33"/>
      <c r="I246" s="29"/>
      <c r="J246" s="29"/>
      <c r="K246" s="29"/>
      <c r="L246" s="29"/>
      <c r="M246" s="29"/>
      <c r="N246" s="29"/>
      <c r="O246" s="29"/>
      <c r="P246" s="29"/>
      <c r="Q246" s="29"/>
      <c r="R246" s="29"/>
      <c r="S246" s="29"/>
      <c r="T246" s="29"/>
      <c r="U246" s="29"/>
      <c r="V246" s="29"/>
      <c r="W246" s="29"/>
      <c r="X246" s="29"/>
      <c r="Y246" s="29"/>
      <c r="Z246" s="29"/>
    </row>
    <row r="247" spans="1:26" ht="15">
      <c r="A247" s="29"/>
      <c r="B247" s="29"/>
      <c r="C247" s="29"/>
      <c r="D247" s="33"/>
      <c r="E247" s="33"/>
      <c r="F247" s="33"/>
      <c r="G247" s="33"/>
      <c r="I247" s="29"/>
      <c r="J247" s="29"/>
      <c r="K247" s="29"/>
      <c r="L247" s="29"/>
      <c r="M247" s="29"/>
      <c r="N247" s="29"/>
      <c r="O247" s="29"/>
      <c r="P247" s="29"/>
      <c r="Q247" s="29"/>
      <c r="R247" s="29"/>
      <c r="S247" s="29"/>
      <c r="T247" s="29"/>
      <c r="U247" s="29"/>
      <c r="V247" s="29"/>
      <c r="W247" s="29"/>
      <c r="X247" s="29"/>
      <c r="Y247" s="29"/>
      <c r="Z247" s="29"/>
    </row>
    <row r="248" spans="1:26" ht="15">
      <c r="A248" s="29"/>
      <c r="B248" s="29"/>
      <c r="C248" s="29"/>
      <c r="D248" s="33"/>
      <c r="E248" s="33"/>
      <c r="F248" s="33"/>
      <c r="G248" s="33"/>
      <c r="I248" s="29"/>
      <c r="J248" s="29"/>
      <c r="K248" s="29"/>
      <c r="L248" s="29"/>
      <c r="M248" s="29"/>
      <c r="N248" s="29"/>
      <c r="O248" s="29"/>
      <c r="P248" s="29"/>
      <c r="Q248" s="29"/>
      <c r="R248" s="29"/>
      <c r="S248" s="29"/>
      <c r="T248" s="29"/>
      <c r="U248" s="29"/>
      <c r="V248" s="29"/>
      <c r="W248" s="29"/>
      <c r="X248" s="29"/>
      <c r="Y248" s="29"/>
      <c r="Z248" s="29"/>
    </row>
    <row r="249" spans="1:26" ht="15">
      <c r="A249" s="29"/>
      <c r="B249" s="29"/>
      <c r="C249" s="29"/>
      <c r="D249" s="33"/>
      <c r="E249" s="33"/>
      <c r="F249" s="33"/>
      <c r="G249" s="33"/>
      <c r="I249" s="29"/>
      <c r="J249" s="29"/>
      <c r="K249" s="29"/>
      <c r="L249" s="29"/>
      <c r="M249" s="29"/>
      <c r="N249" s="29"/>
      <c r="O249" s="29"/>
      <c r="P249" s="29"/>
      <c r="Q249" s="29"/>
      <c r="R249" s="29"/>
      <c r="S249" s="29"/>
      <c r="T249" s="29"/>
      <c r="U249" s="29"/>
      <c r="V249" s="29"/>
      <c r="W249" s="29"/>
      <c r="X249" s="29"/>
      <c r="Y249" s="29"/>
      <c r="Z249" s="29"/>
    </row>
    <row r="250" spans="1:26" ht="15">
      <c r="A250" s="29"/>
      <c r="B250" s="29"/>
      <c r="C250" s="29"/>
      <c r="D250" s="33"/>
      <c r="E250" s="33"/>
      <c r="F250" s="33"/>
      <c r="G250" s="33"/>
      <c r="I250" s="29"/>
      <c r="J250" s="29"/>
      <c r="K250" s="29"/>
      <c r="L250" s="29"/>
      <c r="M250" s="29"/>
      <c r="N250" s="29"/>
      <c r="O250" s="29"/>
      <c r="P250" s="29"/>
      <c r="Q250" s="29"/>
      <c r="R250" s="29"/>
      <c r="S250" s="29"/>
      <c r="T250" s="29"/>
      <c r="U250" s="29"/>
      <c r="V250" s="29"/>
      <c r="W250" s="29"/>
      <c r="X250" s="29"/>
      <c r="Y250" s="29"/>
      <c r="Z250" s="29"/>
    </row>
    <row r="251" spans="1:26" ht="15">
      <c r="A251" s="29"/>
      <c r="B251" s="29"/>
      <c r="C251" s="29"/>
      <c r="D251" s="33"/>
      <c r="E251" s="33"/>
      <c r="F251" s="33"/>
      <c r="G251" s="33"/>
      <c r="I251" s="29"/>
      <c r="J251" s="29"/>
      <c r="K251" s="29"/>
      <c r="L251" s="29"/>
      <c r="M251" s="29"/>
      <c r="N251" s="29"/>
      <c r="O251" s="29"/>
      <c r="P251" s="29"/>
      <c r="Q251" s="29"/>
      <c r="R251" s="29"/>
      <c r="S251" s="29"/>
      <c r="T251" s="29"/>
      <c r="U251" s="29"/>
      <c r="V251" s="29"/>
      <c r="W251" s="29"/>
      <c r="X251" s="29"/>
      <c r="Y251" s="29"/>
      <c r="Z251" s="29"/>
    </row>
    <row r="252" spans="1:26" ht="15">
      <c r="A252" s="29"/>
      <c r="B252" s="29"/>
      <c r="C252" s="29"/>
      <c r="D252" s="33"/>
      <c r="E252" s="33"/>
      <c r="F252" s="33"/>
      <c r="G252" s="33"/>
      <c r="I252" s="29"/>
      <c r="J252" s="29"/>
      <c r="K252" s="29"/>
      <c r="L252" s="29"/>
      <c r="M252" s="29"/>
      <c r="N252" s="29"/>
      <c r="O252" s="29"/>
      <c r="P252" s="29"/>
      <c r="Q252" s="29"/>
      <c r="R252" s="29"/>
      <c r="S252" s="29"/>
      <c r="T252" s="29"/>
      <c r="U252" s="29"/>
      <c r="V252" s="29"/>
      <c r="W252" s="29"/>
      <c r="X252" s="29"/>
      <c r="Y252" s="29"/>
      <c r="Z252" s="29"/>
    </row>
    <row r="253" spans="1:26" ht="15">
      <c r="A253" s="29"/>
      <c r="B253" s="29"/>
      <c r="C253" s="29"/>
      <c r="D253" s="33"/>
      <c r="E253" s="33"/>
      <c r="F253" s="33"/>
      <c r="G253" s="33"/>
      <c r="I253" s="29"/>
      <c r="J253" s="29"/>
      <c r="K253" s="29"/>
      <c r="L253" s="29"/>
      <c r="M253" s="29"/>
      <c r="N253" s="29"/>
      <c r="O253" s="29"/>
      <c r="P253" s="29"/>
      <c r="Q253" s="29"/>
      <c r="R253" s="29"/>
      <c r="S253" s="29"/>
      <c r="T253" s="29"/>
      <c r="U253" s="29"/>
      <c r="V253" s="29"/>
      <c r="W253" s="29"/>
      <c r="X253" s="29"/>
      <c r="Y253" s="29"/>
      <c r="Z253" s="29"/>
    </row>
    <row r="254" spans="1:26" ht="15">
      <c r="A254" s="29"/>
      <c r="B254" s="29"/>
      <c r="C254" s="29"/>
      <c r="D254" s="33"/>
      <c r="E254" s="33"/>
      <c r="F254" s="33"/>
      <c r="G254" s="33"/>
      <c r="I254" s="29"/>
      <c r="J254" s="29"/>
      <c r="K254" s="29"/>
      <c r="L254" s="29"/>
      <c r="M254" s="29"/>
      <c r="N254" s="29"/>
      <c r="O254" s="29"/>
      <c r="P254" s="29"/>
      <c r="Q254" s="29"/>
      <c r="R254" s="29"/>
      <c r="S254" s="29"/>
      <c r="T254" s="29"/>
      <c r="U254" s="29"/>
      <c r="V254" s="29"/>
      <c r="W254" s="29"/>
      <c r="X254" s="29"/>
      <c r="Y254" s="29"/>
      <c r="Z254" s="29"/>
    </row>
    <row r="255" spans="1:26" ht="15">
      <c r="A255" s="29"/>
      <c r="B255" s="29"/>
      <c r="C255" s="29"/>
      <c r="D255" s="33"/>
      <c r="E255" s="33"/>
      <c r="F255" s="33"/>
      <c r="G255" s="33"/>
      <c r="I255" s="29"/>
      <c r="J255" s="29"/>
      <c r="K255" s="29"/>
      <c r="L255" s="29"/>
      <c r="M255" s="29"/>
      <c r="N255" s="29"/>
      <c r="O255" s="29"/>
      <c r="P255" s="29"/>
      <c r="Q255" s="29"/>
      <c r="R255" s="29"/>
      <c r="S255" s="29"/>
      <c r="T255" s="29"/>
      <c r="U255" s="29"/>
      <c r="V255" s="29"/>
      <c r="W255" s="29"/>
      <c r="X255" s="29"/>
      <c r="Y255" s="29"/>
      <c r="Z255" s="29"/>
    </row>
    <row r="256" spans="1:26" ht="15">
      <c r="A256" s="29"/>
      <c r="B256" s="29"/>
      <c r="C256" s="29"/>
      <c r="D256" s="33"/>
      <c r="E256" s="33"/>
      <c r="F256" s="33"/>
      <c r="G256" s="33"/>
      <c r="I256" s="29"/>
      <c r="J256" s="29"/>
      <c r="K256" s="29"/>
      <c r="L256" s="29"/>
      <c r="M256" s="29"/>
      <c r="N256" s="29"/>
      <c r="O256" s="29"/>
      <c r="P256" s="29"/>
      <c r="Q256" s="29"/>
      <c r="R256" s="29"/>
      <c r="S256" s="29"/>
      <c r="T256" s="29"/>
      <c r="U256" s="29"/>
      <c r="V256" s="29"/>
      <c r="W256" s="29"/>
      <c r="X256" s="29"/>
      <c r="Y256" s="29"/>
      <c r="Z256" s="29"/>
    </row>
    <row r="257" spans="1:26" ht="15">
      <c r="A257" s="29"/>
      <c r="B257" s="29"/>
      <c r="C257" s="29"/>
      <c r="D257" s="33"/>
      <c r="E257" s="33"/>
      <c r="F257" s="33"/>
      <c r="G257" s="33"/>
      <c r="I257" s="29"/>
      <c r="J257" s="29"/>
      <c r="K257" s="29"/>
      <c r="L257" s="29"/>
      <c r="M257" s="29"/>
      <c r="N257" s="29"/>
      <c r="O257" s="29"/>
      <c r="P257" s="29"/>
      <c r="Q257" s="29"/>
      <c r="R257" s="29"/>
      <c r="S257" s="29"/>
      <c r="T257" s="29"/>
      <c r="U257" s="29"/>
      <c r="V257" s="29"/>
      <c r="W257" s="29"/>
      <c r="X257" s="29"/>
      <c r="Y257" s="29"/>
      <c r="Z257" s="29"/>
    </row>
    <row r="258" spans="1:26" ht="15">
      <c r="A258" s="29"/>
      <c r="B258" s="29"/>
      <c r="C258" s="29"/>
      <c r="D258" s="33"/>
      <c r="E258" s="33"/>
      <c r="F258" s="33"/>
      <c r="G258" s="33"/>
      <c r="I258" s="29"/>
      <c r="J258" s="29"/>
      <c r="K258" s="29"/>
      <c r="L258" s="29"/>
      <c r="M258" s="29"/>
      <c r="N258" s="29"/>
      <c r="O258" s="29"/>
      <c r="P258" s="29"/>
      <c r="Q258" s="29"/>
      <c r="R258" s="29"/>
      <c r="S258" s="29"/>
      <c r="T258" s="29"/>
      <c r="U258" s="29"/>
      <c r="V258" s="29"/>
      <c r="W258" s="29"/>
      <c r="X258" s="29"/>
      <c r="Y258" s="29"/>
      <c r="Z258" s="29"/>
    </row>
    <row r="259" spans="1:26" ht="15">
      <c r="A259" s="29"/>
      <c r="B259" s="29"/>
      <c r="C259" s="29"/>
      <c r="D259" s="33"/>
      <c r="E259" s="33"/>
      <c r="F259" s="33"/>
      <c r="G259" s="33"/>
      <c r="I259" s="29"/>
      <c r="J259" s="29"/>
      <c r="K259" s="29"/>
      <c r="L259" s="29"/>
      <c r="M259" s="29"/>
      <c r="N259" s="29"/>
      <c r="O259" s="29"/>
      <c r="P259" s="29"/>
      <c r="Q259" s="29"/>
      <c r="R259" s="29"/>
      <c r="S259" s="29"/>
      <c r="T259" s="29"/>
      <c r="U259" s="29"/>
      <c r="V259" s="29"/>
      <c r="W259" s="29"/>
      <c r="X259" s="29"/>
      <c r="Y259" s="29"/>
      <c r="Z259" s="29"/>
    </row>
    <row r="260" spans="1:26" ht="15">
      <c r="A260" s="29"/>
      <c r="B260" s="29"/>
      <c r="C260" s="29"/>
      <c r="D260" s="33"/>
      <c r="E260" s="33"/>
      <c r="F260" s="33"/>
      <c r="G260" s="33"/>
      <c r="I260" s="29"/>
      <c r="J260" s="29"/>
      <c r="K260" s="29"/>
      <c r="L260" s="29"/>
      <c r="M260" s="29"/>
      <c r="N260" s="29"/>
      <c r="O260" s="29"/>
      <c r="P260" s="29"/>
      <c r="Q260" s="29"/>
      <c r="R260" s="29"/>
      <c r="S260" s="29"/>
      <c r="T260" s="29"/>
      <c r="U260" s="29"/>
      <c r="V260" s="29"/>
      <c r="W260" s="29"/>
      <c r="X260" s="29"/>
      <c r="Y260" s="29"/>
      <c r="Z260" s="29"/>
    </row>
    <row r="261" spans="1:26" ht="15">
      <c r="A261" s="29"/>
      <c r="B261" s="29"/>
      <c r="C261" s="29"/>
      <c r="D261" s="33"/>
      <c r="E261" s="33"/>
      <c r="F261" s="33"/>
      <c r="G261" s="33"/>
      <c r="I261" s="29"/>
      <c r="J261" s="29"/>
      <c r="K261" s="29"/>
      <c r="L261" s="29"/>
      <c r="M261" s="29"/>
      <c r="N261" s="29"/>
      <c r="O261" s="29"/>
      <c r="P261" s="29"/>
      <c r="Q261" s="29"/>
      <c r="R261" s="29"/>
      <c r="S261" s="29"/>
      <c r="T261" s="29"/>
      <c r="U261" s="29"/>
      <c r="V261" s="29"/>
      <c r="W261" s="29"/>
      <c r="X261" s="29"/>
      <c r="Y261" s="29"/>
      <c r="Z261" s="29"/>
    </row>
    <row r="262" spans="1:26" ht="15">
      <c r="A262" s="29"/>
      <c r="B262" s="29"/>
      <c r="C262" s="29"/>
      <c r="D262" s="33"/>
      <c r="E262" s="33"/>
      <c r="F262" s="33"/>
      <c r="G262" s="33"/>
      <c r="I262" s="29"/>
      <c r="J262" s="29"/>
      <c r="K262" s="29"/>
      <c r="L262" s="29"/>
      <c r="M262" s="29"/>
      <c r="N262" s="29"/>
      <c r="O262" s="29"/>
      <c r="P262" s="29"/>
      <c r="Q262" s="29"/>
      <c r="R262" s="29"/>
      <c r="S262" s="29"/>
      <c r="T262" s="29"/>
      <c r="U262" s="29"/>
      <c r="V262" s="29"/>
      <c r="W262" s="29"/>
      <c r="X262" s="29"/>
      <c r="Y262" s="29"/>
      <c r="Z262" s="29"/>
    </row>
    <row r="263" spans="1:26" ht="15">
      <c r="A263" s="29"/>
      <c r="B263" s="29"/>
      <c r="C263" s="29"/>
      <c r="D263" s="33"/>
      <c r="E263" s="33"/>
      <c r="F263" s="33"/>
      <c r="G263" s="33"/>
      <c r="I263" s="29"/>
      <c r="J263" s="29"/>
      <c r="K263" s="29"/>
      <c r="L263" s="29"/>
      <c r="M263" s="29"/>
      <c r="N263" s="29"/>
      <c r="O263" s="29"/>
      <c r="P263" s="29"/>
      <c r="Q263" s="29"/>
      <c r="R263" s="29"/>
      <c r="S263" s="29"/>
      <c r="T263" s="29"/>
      <c r="U263" s="29"/>
      <c r="V263" s="29"/>
      <c r="W263" s="29"/>
      <c r="X263" s="29"/>
      <c r="Y263" s="29"/>
      <c r="Z263" s="29"/>
    </row>
    <row r="264" spans="1:26" ht="15">
      <c r="A264" s="29"/>
      <c r="B264" s="29"/>
      <c r="C264" s="29"/>
      <c r="D264" s="33"/>
      <c r="E264" s="33"/>
      <c r="F264" s="33"/>
      <c r="G264" s="33"/>
      <c r="I264" s="29"/>
      <c r="J264" s="29"/>
      <c r="K264" s="29"/>
      <c r="L264" s="29"/>
      <c r="M264" s="29"/>
      <c r="N264" s="29"/>
      <c r="O264" s="29"/>
      <c r="P264" s="29"/>
      <c r="Q264" s="29"/>
      <c r="R264" s="29"/>
      <c r="S264" s="29"/>
      <c r="T264" s="29"/>
      <c r="U264" s="29"/>
      <c r="V264" s="29"/>
      <c r="W264" s="29"/>
      <c r="X264" s="29"/>
      <c r="Y264" s="29"/>
      <c r="Z264" s="29"/>
    </row>
    <row r="265" spans="1:26" ht="15">
      <c r="A265" s="29"/>
      <c r="B265" s="29"/>
      <c r="C265" s="29"/>
      <c r="D265" s="33"/>
      <c r="E265" s="33"/>
      <c r="F265" s="33"/>
      <c r="G265" s="33"/>
      <c r="I265" s="29"/>
      <c r="J265" s="29"/>
      <c r="K265" s="29"/>
      <c r="L265" s="29"/>
      <c r="M265" s="29"/>
      <c r="N265" s="29"/>
      <c r="O265" s="29"/>
      <c r="P265" s="29"/>
      <c r="Q265" s="29"/>
      <c r="R265" s="29"/>
      <c r="S265" s="29"/>
      <c r="T265" s="29"/>
      <c r="U265" s="29"/>
      <c r="V265" s="29"/>
      <c r="W265" s="29"/>
      <c r="X265" s="29"/>
      <c r="Y265" s="29"/>
      <c r="Z265" s="29"/>
    </row>
    <row r="266" spans="1:26" ht="15">
      <c r="A266" s="29"/>
      <c r="B266" s="29"/>
      <c r="C266" s="29"/>
      <c r="D266" s="33"/>
      <c r="E266" s="33"/>
      <c r="F266" s="33"/>
      <c r="G266" s="33"/>
      <c r="I266" s="29"/>
      <c r="J266" s="29"/>
      <c r="K266" s="29"/>
      <c r="L266" s="29"/>
      <c r="M266" s="29"/>
      <c r="N266" s="29"/>
      <c r="O266" s="29"/>
      <c r="P266" s="29"/>
      <c r="Q266" s="29"/>
      <c r="R266" s="29"/>
      <c r="S266" s="29"/>
      <c r="T266" s="29"/>
      <c r="U266" s="29"/>
      <c r="V266" s="29"/>
      <c r="W266" s="29"/>
      <c r="X266" s="29"/>
      <c r="Y266" s="29"/>
      <c r="Z266" s="29"/>
    </row>
    <row r="267" spans="1:26" ht="15">
      <c r="A267" s="29"/>
      <c r="B267" s="29"/>
      <c r="C267" s="29"/>
      <c r="D267" s="33"/>
      <c r="E267" s="33"/>
      <c r="F267" s="33"/>
      <c r="G267" s="33"/>
      <c r="I267" s="29"/>
      <c r="J267" s="29"/>
      <c r="K267" s="29"/>
      <c r="L267" s="29"/>
      <c r="M267" s="29"/>
      <c r="N267" s="29"/>
      <c r="O267" s="29"/>
      <c r="P267" s="29"/>
      <c r="Q267" s="29"/>
      <c r="R267" s="29"/>
      <c r="S267" s="29"/>
      <c r="T267" s="29"/>
      <c r="U267" s="29"/>
      <c r="V267" s="29"/>
      <c r="W267" s="29"/>
      <c r="X267" s="29"/>
      <c r="Y267" s="29"/>
      <c r="Z267" s="29"/>
    </row>
    <row r="268" spans="1:26" ht="15">
      <c r="A268" s="29"/>
      <c r="B268" s="29"/>
      <c r="C268" s="29"/>
      <c r="D268" s="33"/>
      <c r="E268" s="33"/>
      <c r="F268" s="33"/>
      <c r="G268" s="33"/>
      <c r="I268" s="29"/>
      <c r="J268" s="29"/>
      <c r="K268" s="29"/>
      <c r="L268" s="29"/>
      <c r="M268" s="29"/>
      <c r="N268" s="29"/>
      <c r="O268" s="29"/>
      <c r="P268" s="29"/>
      <c r="Q268" s="29"/>
      <c r="R268" s="29"/>
      <c r="S268" s="29"/>
      <c r="T268" s="29"/>
      <c r="U268" s="29"/>
      <c r="V268" s="29"/>
      <c r="W268" s="29"/>
      <c r="X268" s="29"/>
      <c r="Y268" s="29"/>
      <c r="Z268" s="29"/>
    </row>
    <row r="269" spans="1:26" ht="15">
      <c r="A269" s="29"/>
      <c r="B269" s="29"/>
      <c r="C269" s="29"/>
      <c r="D269" s="33"/>
      <c r="E269" s="33"/>
      <c r="F269" s="33"/>
      <c r="G269" s="33"/>
      <c r="I269" s="29"/>
      <c r="J269" s="29"/>
      <c r="K269" s="29"/>
      <c r="L269" s="29"/>
      <c r="M269" s="29"/>
      <c r="N269" s="29"/>
      <c r="O269" s="29"/>
      <c r="P269" s="29"/>
      <c r="Q269" s="29"/>
      <c r="R269" s="29"/>
      <c r="S269" s="29"/>
      <c r="T269" s="29"/>
      <c r="U269" s="29"/>
      <c r="V269" s="29"/>
      <c r="W269" s="29"/>
      <c r="X269" s="29"/>
      <c r="Y269" s="29"/>
      <c r="Z269" s="29"/>
    </row>
    <row r="270" spans="1:26" ht="15">
      <c r="A270" s="29"/>
      <c r="B270" s="29"/>
      <c r="C270" s="29"/>
      <c r="D270" s="33"/>
      <c r="E270" s="33"/>
      <c r="F270" s="33"/>
      <c r="G270" s="33"/>
      <c r="I270" s="29"/>
      <c r="J270" s="29"/>
      <c r="K270" s="29"/>
      <c r="L270" s="29"/>
      <c r="M270" s="29"/>
      <c r="N270" s="29"/>
      <c r="O270" s="29"/>
      <c r="P270" s="29"/>
      <c r="Q270" s="29"/>
      <c r="R270" s="29"/>
      <c r="S270" s="29"/>
      <c r="T270" s="29"/>
      <c r="U270" s="29"/>
      <c r="V270" s="29"/>
      <c r="W270" s="29"/>
      <c r="X270" s="29"/>
      <c r="Y270" s="29"/>
      <c r="Z270" s="29"/>
    </row>
    <row r="271" spans="1:26" ht="15">
      <c r="A271" s="29"/>
      <c r="B271" s="29"/>
      <c r="C271" s="29"/>
      <c r="D271" s="33"/>
      <c r="E271" s="33"/>
      <c r="F271" s="33"/>
      <c r="G271" s="33"/>
      <c r="I271" s="29"/>
      <c r="J271" s="29"/>
      <c r="K271" s="29"/>
      <c r="L271" s="29"/>
      <c r="M271" s="29"/>
      <c r="N271" s="29"/>
      <c r="O271" s="29"/>
      <c r="P271" s="29"/>
      <c r="Q271" s="29"/>
      <c r="R271" s="29"/>
      <c r="S271" s="29"/>
      <c r="T271" s="29"/>
      <c r="U271" s="29"/>
      <c r="V271" s="29"/>
      <c r="W271" s="29"/>
      <c r="X271" s="29"/>
      <c r="Y271" s="29"/>
      <c r="Z271" s="29"/>
    </row>
    <row r="272" spans="1:26" ht="15">
      <c r="A272" s="29"/>
      <c r="B272" s="29"/>
      <c r="C272" s="29"/>
      <c r="D272" s="33"/>
      <c r="E272" s="33"/>
      <c r="F272" s="33"/>
      <c r="G272" s="33"/>
      <c r="I272" s="29"/>
      <c r="J272" s="29"/>
      <c r="K272" s="29"/>
      <c r="L272" s="29"/>
      <c r="M272" s="29"/>
      <c r="N272" s="29"/>
      <c r="O272" s="29"/>
      <c r="P272" s="29"/>
      <c r="Q272" s="29"/>
      <c r="R272" s="29"/>
      <c r="S272" s="29"/>
      <c r="T272" s="29"/>
      <c r="U272" s="29"/>
      <c r="V272" s="29"/>
      <c r="W272" s="29"/>
      <c r="X272" s="29"/>
      <c r="Y272" s="29"/>
      <c r="Z272" s="29"/>
    </row>
    <row r="273" spans="1:26" ht="15">
      <c r="A273" s="29"/>
      <c r="B273" s="29"/>
      <c r="C273" s="29"/>
      <c r="D273" s="33"/>
      <c r="E273" s="33"/>
      <c r="F273" s="33"/>
      <c r="G273" s="33"/>
      <c r="I273" s="29"/>
      <c r="J273" s="29"/>
      <c r="K273" s="29"/>
      <c r="L273" s="29"/>
      <c r="M273" s="29"/>
      <c r="N273" s="29"/>
      <c r="O273" s="29"/>
      <c r="P273" s="29"/>
      <c r="Q273" s="29"/>
      <c r="R273" s="29"/>
      <c r="S273" s="29"/>
      <c r="T273" s="29"/>
      <c r="U273" s="29"/>
      <c r="V273" s="29"/>
      <c r="W273" s="29"/>
      <c r="X273" s="29"/>
      <c r="Y273" s="29"/>
      <c r="Z273" s="29"/>
    </row>
    <row r="274" spans="1:26" ht="15">
      <c r="A274" s="29"/>
      <c r="B274" s="29"/>
      <c r="C274" s="29"/>
      <c r="D274" s="33"/>
      <c r="E274" s="33"/>
      <c r="F274" s="33"/>
      <c r="G274" s="33"/>
      <c r="I274" s="29"/>
      <c r="J274" s="29"/>
      <c r="K274" s="29"/>
      <c r="L274" s="29"/>
      <c r="M274" s="29"/>
      <c r="N274" s="29"/>
      <c r="O274" s="29"/>
      <c r="P274" s="29"/>
      <c r="Q274" s="29"/>
      <c r="R274" s="29"/>
      <c r="S274" s="29"/>
      <c r="T274" s="29"/>
      <c r="U274" s="29"/>
      <c r="V274" s="29"/>
      <c r="W274" s="29"/>
      <c r="X274" s="29"/>
      <c r="Y274" s="29"/>
      <c r="Z274" s="29"/>
    </row>
    <row r="275" spans="1:26" ht="15">
      <c r="A275" s="29"/>
      <c r="B275" s="29"/>
      <c r="C275" s="29"/>
      <c r="D275" s="33"/>
      <c r="E275" s="33"/>
      <c r="F275" s="33"/>
      <c r="G275" s="33"/>
      <c r="I275" s="29"/>
      <c r="J275" s="29"/>
      <c r="K275" s="29"/>
      <c r="L275" s="29"/>
      <c r="M275" s="29"/>
      <c r="N275" s="29"/>
      <c r="O275" s="29"/>
      <c r="P275" s="29"/>
      <c r="Q275" s="29"/>
      <c r="R275" s="29"/>
      <c r="S275" s="29"/>
      <c r="T275" s="29"/>
      <c r="U275" s="29"/>
      <c r="V275" s="29"/>
      <c r="W275" s="29"/>
      <c r="X275" s="29"/>
      <c r="Y275" s="29"/>
      <c r="Z275" s="29"/>
    </row>
    <row r="276" spans="1:26" ht="15">
      <c r="A276" s="29"/>
      <c r="B276" s="29"/>
      <c r="C276" s="29"/>
      <c r="D276" s="33"/>
      <c r="E276" s="33"/>
      <c r="F276" s="33"/>
      <c r="G276" s="33"/>
      <c r="I276" s="29"/>
      <c r="J276" s="29"/>
      <c r="K276" s="29"/>
      <c r="L276" s="29"/>
      <c r="M276" s="29"/>
      <c r="N276" s="29"/>
      <c r="O276" s="29"/>
      <c r="P276" s="29"/>
      <c r="Q276" s="29"/>
      <c r="R276" s="29"/>
      <c r="S276" s="29"/>
      <c r="T276" s="29"/>
      <c r="U276" s="29"/>
      <c r="V276" s="29"/>
      <c r="W276" s="29"/>
      <c r="X276" s="29"/>
      <c r="Y276" s="29"/>
      <c r="Z276" s="29"/>
    </row>
    <row r="277" spans="1:26" ht="15">
      <c r="A277" s="29"/>
      <c r="B277" s="29"/>
      <c r="C277" s="29"/>
      <c r="D277" s="33"/>
      <c r="E277" s="33"/>
      <c r="F277" s="33"/>
      <c r="G277" s="33"/>
      <c r="I277" s="29"/>
      <c r="J277" s="29"/>
      <c r="K277" s="29"/>
      <c r="L277" s="29"/>
      <c r="M277" s="29"/>
      <c r="N277" s="29"/>
      <c r="O277" s="29"/>
      <c r="P277" s="29"/>
      <c r="Q277" s="29"/>
      <c r="R277" s="29"/>
      <c r="S277" s="29"/>
      <c r="T277" s="29"/>
      <c r="U277" s="29"/>
      <c r="V277" s="29"/>
      <c r="W277" s="29"/>
      <c r="X277" s="29"/>
      <c r="Y277" s="29"/>
      <c r="Z277" s="29"/>
    </row>
    <row r="278" spans="1:26" ht="15">
      <c r="A278" s="29"/>
      <c r="B278" s="29"/>
      <c r="C278" s="29"/>
      <c r="D278" s="33"/>
      <c r="E278" s="33"/>
      <c r="F278" s="33"/>
      <c r="G278" s="33"/>
      <c r="I278" s="29"/>
      <c r="J278" s="29"/>
      <c r="K278" s="29"/>
      <c r="L278" s="29"/>
      <c r="M278" s="29"/>
      <c r="N278" s="29"/>
      <c r="O278" s="29"/>
      <c r="P278" s="29"/>
      <c r="Q278" s="29"/>
      <c r="R278" s="29"/>
      <c r="S278" s="29"/>
      <c r="T278" s="29"/>
      <c r="U278" s="29"/>
      <c r="V278" s="29"/>
      <c r="W278" s="29"/>
      <c r="X278" s="29"/>
      <c r="Y278" s="29"/>
      <c r="Z278" s="29"/>
    </row>
    <row r="279" spans="1:26" ht="15">
      <c r="A279" s="29"/>
      <c r="B279" s="29"/>
      <c r="C279" s="29"/>
      <c r="D279" s="33"/>
      <c r="E279" s="33"/>
      <c r="F279" s="33"/>
      <c r="G279" s="33"/>
      <c r="I279" s="29"/>
      <c r="J279" s="29"/>
      <c r="K279" s="29"/>
      <c r="L279" s="29"/>
      <c r="M279" s="29"/>
      <c r="N279" s="29"/>
      <c r="O279" s="29"/>
      <c r="P279" s="29"/>
      <c r="Q279" s="29"/>
      <c r="R279" s="29"/>
      <c r="S279" s="29"/>
      <c r="T279" s="29"/>
      <c r="U279" s="29"/>
      <c r="V279" s="29"/>
      <c r="W279" s="29"/>
      <c r="X279" s="29"/>
      <c r="Y279" s="29"/>
      <c r="Z279" s="29"/>
    </row>
    <row r="280" spans="1:26" ht="15">
      <c r="A280" s="29"/>
      <c r="B280" s="29"/>
      <c r="C280" s="29"/>
      <c r="D280" s="33"/>
      <c r="E280" s="33"/>
      <c r="F280" s="33"/>
      <c r="G280" s="33"/>
      <c r="I280" s="29"/>
      <c r="J280" s="29"/>
      <c r="K280" s="29"/>
      <c r="L280" s="29"/>
      <c r="M280" s="29"/>
      <c r="N280" s="29"/>
      <c r="O280" s="29"/>
      <c r="P280" s="29"/>
      <c r="Q280" s="29"/>
      <c r="R280" s="29"/>
      <c r="S280" s="29"/>
      <c r="T280" s="29"/>
      <c r="U280" s="29"/>
      <c r="V280" s="29"/>
      <c r="W280" s="29"/>
      <c r="X280" s="29"/>
      <c r="Y280" s="29"/>
      <c r="Z280" s="29"/>
    </row>
    <row r="281" spans="1:26" ht="15">
      <c r="A281" s="29"/>
      <c r="B281" s="29"/>
      <c r="C281" s="29"/>
      <c r="D281" s="33"/>
      <c r="E281" s="33"/>
      <c r="F281" s="33"/>
      <c r="G281" s="33"/>
      <c r="I281" s="29"/>
      <c r="J281" s="29"/>
      <c r="K281" s="29"/>
      <c r="L281" s="29"/>
      <c r="M281" s="29"/>
      <c r="N281" s="29"/>
      <c r="O281" s="29"/>
      <c r="P281" s="29"/>
      <c r="Q281" s="29"/>
      <c r="R281" s="29"/>
      <c r="S281" s="29"/>
      <c r="T281" s="29"/>
      <c r="U281" s="29"/>
      <c r="V281" s="29"/>
      <c r="W281" s="29"/>
      <c r="X281" s="29"/>
      <c r="Y281" s="29"/>
      <c r="Z281" s="29"/>
    </row>
    <row r="282" spans="1:26" ht="15">
      <c r="A282" s="29"/>
      <c r="B282" s="29"/>
      <c r="C282" s="29"/>
      <c r="D282" s="33"/>
      <c r="E282" s="33"/>
      <c r="F282" s="33"/>
      <c r="G282" s="33"/>
      <c r="I282" s="29"/>
      <c r="J282" s="29"/>
      <c r="K282" s="29"/>
      <c r="L282" s="29"/>
      <c r="M282" s="29"/>
      <c r="N282" s="29"/>
      <c r="O282" s="29"/>
      <c r="P282" s="29"/>
      <c r="Q282" s="29"/>
      <c r="R282" s="29"/>
      <c r="S282" s="29"/>
      <c r="T282" s="29"/>
      <c r="U282" s="29"/>
      <c r="V282" s="29"/>
      <c r="W282" s="29"/>
      <c r="X282" s="29"/>
      <c r="Y282" s="29"/>
      <c r="Z282" s="29"/>
    </row>
    <row r="283" spans="1:26" ht="15">
      <c r="A283" s="29"/>
      <c r="B283" s="29"/>
      <c r="C283" s="29"/>
      <c r="D283" s="33"/>
      <c r="E283" s="33"/>
      <c r="F283" s="33"/>
      <c r="G283" s="33"/>
      <c r="I283" s="29"/>
      <c r="J283" s="29"/>
      <c r="K283" s="29"/>
      <c r="L283" s="29"/>
      <c r="M283" s="29"/>
      <c r="N283" s="29"/>
      <c r="O283" s="29"/>
      <c r="P283" s="29"/>
      <c r="Q283" s="29"/>
      <c r="R283" s="29"/>
      <c r="S283" s="29"/>
      <c r="T283" s="29"/>
      <c r="U283" s="29"/>
      <c r="V283" s="29"/>
      <c r="W283" s="29"/>
      <c r="X283" s="29"/>
      <c r="Y283" s="29"/>
      <c r="Z283" s="29"/>
    </row>
    <row r="284" spans="1:26" ht="15">
      <c r="A284" s="29"/>
      <c r="B284" s="29"/>
      <c r="C284" s="29"/>
      <c r="D284" s="33"/>
      <c r="E284" s="33"/>
      <c r="F284" s="33"/>
      <c r="G284" s="33"/>
      <c r="I284" s="29"/>
      <c r="J284" s="29"/>
      <c r="K284" s="29"/>
      <c r="L284" s="29"/>
      <c r="M284" s="29"/>
      <c r="N284" s="29"/>
      <c r="O284" s="29"/>
      <c r="P284" s="29"/>
      <c r="Q284" s="29"/>
      <c r="R284" s="29"/>
      <c r="S284" s="29"/>
      <c r="T284" s="29"/>
      <c r="U284" s="29"/>
      <c r="V284" s="29"/>
      <c r="W284" s="29"/>
      <c r="X284" s="29"/>
      <c r="Y284" s="29"/>
      <c r="Z284" s="29"/>
    </row>
    <row r="285" spans="1:26" ht="15">
      <c r="A285" s="29"/>
      <c r="B285" s="29"/>
      <c r="C285" s="29"/>
      <c r="D285" s="33"/>
      <c r="E285" s="33"/>
      <c r="F285" s="33"/>
      <c r="G285" s="33"/>
      <c r="I285" s="29"/>
      <c r="J285" s="29"/>
      <c r="K285" s="29"/>
      <c r="L285" s="29"/>
      <c r="M285" s="29"/>
      <c r="N285" s="29"/>
      <c r="O285" s="29"/>
      <c r="P285" s="29"/>
      <c r="Q285" s="29"/>
      <c r="R285" s="29"/>
      <c r="S285" s="29"/>
      <c r="T285" s="29"/>
      <c r="U285" s="29"/>
      <c r="V285" s="29"/>
      <c r="W285" s="29"/>
      <c r="X285" s="29"/>
      <c r="Y285" s="29"/>
      <c r="Z285" s="29"/>
    </row>
    <row r="286" spans="1:26" ht="15">
      <c r="A286" s="29"/>
      <c r="B286" s="29"/>
      <c r="C286" s="29"/>
      <c r="D286" s="33"/>
      <c r="E286" s="33"/>
      <c r="F286" s="33"/>
      <c r="G286" s="33"/>
      <c r="I286" s="29"/>
      <c r="J286" s="29"/>
      <c r="K286" s="29"/>
      <c r="L286" s="29"/>
      <c r="M286" s="29"/>
      <c r="N286" s="29"/>
      <c r="O286" s="29"/>
      <c r="P286" s="29"/>
      <c r="Q286" s="29"/>
      <c r="R286" s="29"/>
      <c r="S286" s="29"/>
      <c r="T286" s="29"/>
      <c r="U286" s="29"/>
      <c r="V286" s="29"/>
      <c r="W286" s="29"/>
      <c r="X286" s="29"/>
      <c r="Y286" s="29"/>
      <c r="Z286" s="29"/>
    </row>
    <row r="287" spans="1:26" ht="15">
      <c r="A287" s="29"/>
      <c r="B287" s="29"/>
      <c r="C287" s="29"/>
      <c r="D287" s="33"/>
      <c r="E287" s="33"/>
      <c r="F287" s="33"/>
      <c r="G287" s="33"/>
      <c r="I287" s="29"/>
      <c r="J287" s="29"/>
      <c r="K287" s="29"/>
      <c r="L287" s="29"/>
      <c r="M287" s="29"/>
      <c r="N287" s="29"/>
      <c r="O287" s="29"/>
      <c r="P287" s="29"/>
      <c r="Q287" s="29"/>
      <c r="R287" s="29"/>
      <c r="S287" s="29"/>
      <c r="T287" s="29"/>
      <c r="U287" s="29"/>
      <c r="V287" s="29"/>
      <c r="W287" s="29"/>
      <c r="X287" s="29"/>
      <c r="Y287" s="29"/>
      <c r="Z287" s="29"/>
    </row>
    <row r="288" spans="1:26" ht="15">
      <c r="A288" s="29"/>
      <c r="B288" s="29"/>
      <c r="C288" s="29"/>
      <c r="D288" s="33"/>
      <c r="E288" s="33"/>
      <c r="F288" s="33"/>
      <c r="G288" s="33"/>
      <c r="I288" s="29"/>
      <c r="J288" s="29"/>
      <c r="K288" s="29"/>
      <c r="L288" s="29"/>
      <c r="M288" s="29"/>
      <c r="N288" s="29"/>
      <c r="O288" s="29"/>
      <c r="P288" s="29"/>
      <c r="Q288" s="29"/>
      <c r="R288" s="29"/>
      <c r="S288" s="29"/>
      <c r="T288" s="29"/>
      <c r="U288" s="29"/>
      <c r="V288" s="29"/>
      <c r="W288" s="29"/>
      <c r="X288" s="29"/>
      <c r="Y288" s="29"/>
      <c r="Z288" s="29"/>
    </row>
    <row r="289" spans="1:26" ht="15">
      <c r="A289" s="29"/>
      <c r="B289" s="29"/>
      <c r="C289" s="29"/>
      <c r="D289" s="33"/>
      <c r="E289" s="33"/>
      <c r="F289" s="33"/>
      <c r="G289" s="33"/>
      <c r="I289" s="29"/>
      <c r="J289" s="29"/>
      <c r="K289" s="29"/>
      <c r="L289" s="29"/>
      <c r="M289" s="29"/>
      <c r="N289" s="29"/>
      <c r="O289" s="29"/>
      <c r="P289" s="29"/>
      <c r="Q289" s="29"/>
      <c r="R289" s="29"/>
      <c r="S289" s="29"/>
      <c r="T289" s="29"/>
      <c r="U289" s="29"/>
      <c r="V289" s="29"/>
      <c r="W289" s="29"/>
      <c r="X289" s="29"/>
      <c r="Y289" s="29"/>
      <c r="Z289" s="29"/>
    </row>
    <row r="290" spans="1:26" ht="15">
      <c r="A290" s="29"/>
      <c r="B290" s="29"/>
      <c r="C290" s="29"/>
      <c r="D290" s="33"/>
      <c r="E290" s="33"/>
      <c r="F290" s="33"/>
      <c r="G290" s="33"/>
      <c r="I290" s="29"/>
      <c r="J290" s="29"/>
      <c r="K290" s="29"/>
      <c r="L290" s="29"/>
      <c r="M290" s="29"/>
      <c r="N290" s="29"/>
      <c r="O290" s="29"/>
      <c r="P290" s="29"/>
      <c r="Q290" s="29"/>
      <c r="R290" s="29"/>
      <c r="S290" s="29"/>
      <c r="T290" s="29"/>
      <c r="U290" s="29"/>
      <c r="V290" s="29"/>
      <c r="W290" s="29"/>
      <c r="X290" s="29"/>
      <c r="Y290" s="29"/>
      <c r="Z290" s="29"/>
    </row>
    <row r="291" spans="1:26" ht="15">
      <c r="A291" s="29"/>
      <c r="B291" s="29"/>
      <c r="C291" s="29"/>
      <c r="D291" s="33"/>
      <c r="E291" s="33"/>
      <c r="F291" s="33"/>
      <c r="G291" s="33"/>
      <c r="I291" s="29"/>
      <c r="J291" s="29"/>
      <c r="K291" s="29"/>
      <c r="L291" s="29"/>
      <c r="M291" s="29"/>
      <c r="N291" s="29"/>
      <c r="O291" s="29"/>
      <c r="P291" s="29"/>
      <c r="Q291" s="29"/>
      <c r="R291" s="29"/>
      <c r="S291" s="29"/>
      <c r="T291" s="29"/>
      <c r="U291" s="29"/>
      <c r="V291" s="29"/>
      <c r="W291" s="29"/>
      <c r="X291" s="29"/>
      <c r="Y291" s="29"/>
      <c r="Z291" s="29"/>
    </row>
    <row r="292" spans="1:26" ht="15">
      <c r="A292" s="29"/>
      <c r="B292" s="29"/>
      <c r="C292" s="29"/>
      <c r="D292" s="33"/>
      <c r="E292" s="33"/>
      <c r="F292" s="33"/>
      <c r="G292" s="33"/>
      <c r="I292" s="29"/>
      <c r="J292" s="29"/>
      <c r="K292" s="29"/>
      <c r="L292" s="29"/>
      <c r="M292" s="29"/>
      <c r="N292" s="29"/>
      <c r="O292" s="29"/>
      <c r="P292" s="29"/>
      <c r="Q292" s="29"/>
      <c r="R292" s="29"/>
      <c r="S292" s="29"/>
      <c r="T292" s="29"/>
      <c r="U292" s="29"/>
      <c r="V292" s="29"/>
      <c r="W292" s="29"/>
      <c r="X292" s="29"/>
      <c r="Y292" s="29"/>
      <c r="Z292" s="29"/>
    </row>
    <row r="293" spans="1:26" ht="15">
      <c r="A293" s="29"/>
      <c r="B293" s="29"/>
      <c r="C293" s="29"/>
      <c r="D293" s="33"/>
      <c r="E293" s="33"/>
      <c r="F293" s="33"/>
      <c r="G293" s="33"/>
      <c r="I293" s="29"/>
      <c r="J293" s="29"/>
      <c r="K293" s="29"/>
      <c r="L293" s="29"/>
      <c r="M293" s="29"/>
      <c r="N293" s="29"/>
      <c r="O293" s="29"/>
      <c r="P293" s="29"/>
      <c r="Q293" s="29"/>
      <c r="R293" s="29"/>
      <c r="S293" s="29"/>
      <c r="T293" s="29"/>
      <c r="U293" s="29"/>
      <c r="V293" s="29"/>
      <c r="W293" s="29"/>
      <c r="X293" s="29"/>
      <c r="Y293" s="29"/>
      <c r="Z293" s="29"/>
    </row>
    <row r="294" spans="1:26" ht="15">
      <c r="A294" s="29"/>
      <c r="B294" s="29"/>
      <c r="C294" s="29"/>
      <c r="D294" s="33"/>
      <c r="E294" s="33"/>
      <c r="F294" s="33"/>
      <c r="G294" s="33"/>
      <c r="I294" s="29"/>
      <c r="J294" s="29"/>
      <c r="K294" s="29"/>
      <c r="L294" s="29"/>
      <c r="M294" s="29"/>
      <c r="N294" s="29"/>
      <c r="O294" s="29"/>
      <c r="P294" s="29"/>
      <c r="Q294" s="29"/>
      <c r="R294" s="29"/>
      <c r="S294" s="29"/>
      <c r="T294" s="29"/>
      <c r="U294" s="29"/>
      <c r="V294" s="29"/>
      <c r="W294" s="29"/>
      <c r="X294" s="29"/>
      <c r="Y294" s="29"/>
      <c r="Z294" s="29"/>
    </row>
    <row r="295" spans="1:26" ht="15">
      <c r="A295" s="29"/>
      <c r="B295" s="29"/>
      <c r="C295" s="29"/>
      <c r="D295" s="33"/>
      <c r="E295" s="33"/>
      <c r="F295" s="33"/>
      <c r="G295" s="33"/>
      <c r="I295" s="29"/>
      <c r="J295" s="29"/>
      <c r="K295" s="29"/>
      <c r="L295" s="29"/>
      <c r="M295" s="29"/>
      <c r="N295" s="29"/>
      <c r="O295" s="29"/>
      <c r="P295" s="29"/>
      <c r="Q295" s="29"/>
      <c r="R295" s="29"/>
      <c r="S295" s="29"/>
      <c r="T295" s="29"/>
      <c r="U295" s="29"/>
      <c r="V295" s="29"/>
      <c r="W295" s="29"/>
      <c r="X295" s="29"/>
      <c r="Y295" s="29"/>
      <c r="Z295" s="29"/>
    </row>
    <row r="296" spans="1:26" ht="15">
      <c r="A296" s="29"/>
      <c r="B296" s="29"/>
      <c r="C296" s="29"/>
      <c r="D296" s="33"/>
      <c r="E296" s="33"/>
      <c r="F296" s="33"/>
      <c r="G296" s="33"/>
      <c r="I296" s="29"/>
      <c r="J296" s="29"/>
      <c r="K296" s="29"/>
      <c r="L296" s="29"/>
      <c r="M296" s="29"/>
      <c r="N296" s="29"/>
      <c r="O296" s="29"/>
      <c r="P296" s="29"/>
      <c r="Q296" s="29"/>
      <c r="R296" s="29"/>
      <c r="S296" s="29"/>
      <c r="T296" s="29"/>
      <c r="U296" s="29"/>
      <c r="V296" s="29"/>
      <c r="W296" s="29"/>
      <c r="X296" s="29"/>
      <c r="Y296" s="29"/>
      <c r="Z296" s="29"/>
    </row>
    <row r="297" spans="1:26" ht="15">
      <c r="A297" s="29"/>
      <c r="B297" s="29"/>
      <c r="C297" s="29"/>
      <c r="D297" s="33"/>
      <c r="E297" s="33"/>
      <c r="F297" s="33"/>
      <c r="G297" s="33"/>
      <c r="I297" s="29"/>
      <c r="J297" s="29"/>
      <c r="K297" s="29"/>
      <c r="L297" s="29"/>
      <c r="M297" s="29"/>
      <c r="N297" s="29"/>
      <c r="O297" s="29"/>
      <c r="P297" s="29"/>
      <c r="Q297" s="29"/>
      <c r="R297" s="29"/>
      <c r="S297" s="29"/>
      <c r="T297" s="29"/>
      <c r="U297" s="29"/>
      <c r="V297" s="29"/>
      <c r="W297" s="29"/>
      <c r="X297" s="29"/>
      <c r="Y297" s="29"/>
      <c r="Z297" s="29"/>
    </row>
    <row r="298" spans="1:26" ht="15">
      <c r="A298" s="29"/>
      <c r="B298" s="29"/>
      <c r="C298" s="29"/>
      <c r="D298" s="33"/>
      <c r="E298" s="33"/>
      <c r="F298" s="33"/>
      <c r="G298" s="33"/>
      <c r="I298" s="29"/>
      <c r="J298" s="29"/>
      <c r="K298" s="29"/>
      <c r="L298" s="29"/>
      <c r="M298" s="29"/>
      <c r="N298" s="29"/>
      <c r="O298" s="29"/>
      <c r="P298" s="29"/>
      <c r="Q298" s="29"/>
      <c r="R298" s="29"/>
      <c r="S298" s="29"/>
      <c r="T298" s="29"/>
      <c r="U298" s="29"/>
      <c r="V298" s="29"/>
      <c r="W298" s="29"/>
      <c r="X298" s="29"/>
      <c r="Y298" s="29"/>
      <c r="Z298" s="29"/>
    </row>
    <row r="299" spans="1:26" ht="15">
      <c r="A299" s="29"/>
      <c r="B299" s="29"/>
      <c r="C299" s="29"/>
      <c r="D299" s="33"/>
      <c r="E299" s="33"/>
      <c r="F299" s="33"/>
      <c r="G299" s="33"/>
      <c r="I299" s="29"/>
      <c r="J299" s="29"/>
      <c r="K299" s="29"/>
      <c r="L299" s="29"/>
      <c r="M299" s="29"/>
      <c r="N299" s="29"/>
      <c r="O299" s="29"/>
      <c r="P299" s="29"/>
      <c r="Q299" s="29"/>
      <c r="R299" s="29"/>
      <c r="S299" s="29"/>
      <c r="T299" s="29"/>
      <c r="U299" s="29"/>
      <c r="V299" s="29"/>
      <c r="W299" s="29"/>
      <c r="X299" s="29"/>
      <c r="Y299" s="29"/>
      <c r="Z299" s="29"/>
    </row>
    <row r="300" spans="1:26" ht="15">
      <c r="A300" s="29"/>
      <c r="B300" s="29"/>
      <c r="C300" s="29"/>
      <c r="D300" s="33"/>
      <c r="E300" s="33"/>
      <c r="F300" s="33"/>
      <c r="G300" s="33"/>
      <c r="I300" s="29"/>
      <c r="J300" s="29"/>
      <c r="K300" s="29"/>
      <c r="L300" s="29"/>
      <c r="M300" s="29"/>
      <c r="N300" s="29"/>
      <c r="O300" s="29"/>
      <c r="P300" s="29"/>
      <c r="Q300" s="29"/>
      <c r="R300" s="29"/>
      <c r="S300" s="29"/>
      <c r="T300" s="29"/>
      <c r="U300" s="29"/>
      <c r="V300" s="29"/>
      <c r="W300" s="29"/>
      <c r="X300" s="29"/>
      <c r="Y300" s="29"/>
      <c r="Z300" s="29"/>
    </row>
    <row r="301" spans="1:26" ht="15">
      <c r="A301" s="29"/>
      <c r="B301" s="29"/>
      <c r="C301" s="29"/>
      <c r="D301" s="33"/>
      <c r="E301" s="33"/>
      <c r="F301" s="33"/>
      <c r="G301" s="33"/>
      <c r="I301" s="29"/>
      <c r="J301" s="29"/>
      <c r="K301" s="29"/>
      <c r="L301" s="29"/>
      <c r="M301" s="29"/>
      <c r="N301" s="29"/>
      <c r="O301" s="29"/>
      <c r="P301" s="29"/>
      <c r="Q301" s="29"/>
      <c r="R301" s="29"/>
      <c r="S301" s="29"/>
      <c r="T301" s="29"/>
      <c r="U301" s="29"/>
      <c r="V301" s="29"/>
      <c r="W301" s="29"/>
      <c r="X301" s="29"/>
      <c r="Y301" s="29"/>
      <c r="Z301" s="29"/>
    </row>
    <row r="302" spans="1:26" ht="15">
      <c r="A302" s="29"/>
      <c r="B302" s="29"/>
      <c r="C302" s="29"/>
      <c r="D302" s="33"/>
      <c r="E302" s="33"/>
      <c r="F302" s="33"/>
      <c r="G302" s="33"/>
      <c r="I302" s="29"/>
      <c r="J302" s="29"/>
      <c r="K302" s="29"/>
      <c r="L302" s="29"/>
      <c r="M302" s="29"/>
      <c r="N302" s="29"/>
      <c r="O302" s="29"/>
      <c r="P302" s="29"/>
      <c r="Q302" s="29"/>
      <c r="R302" s="29"/>
      <c r="S302" s="29"/>
      <c r="T302" s="29"/>
      <c r="U302" s="29"/>
      <c r="V302" s="29"/>
      <c r="W302" s="29"/>
      <c r="X302" s="29"/>
      <c r="Y302" s="29"/>
      <c r="Z302" s="29"/>
    </row>
    <row r="303" spans="1:26" ht="15">
      <c r="A303" s="29"/>
      <c r="B303" s="29"/>
      <c r="C303" s="29"/>
      <c r="D303" s="33"/>
      <c r="E303" s="33"/>
      <c r="F303" s="33"/>
      <c r="G303" s="33"/>
      <c r="I303" s="29"/>
      <c r="J303" s="29"/>
      <c r="K303" s="29"/>
      <c r="L303" s="29"/>
      <c r="M303" s="29"/>
      <c r="N303" s="29"/>
      <c r="O303" s="29"/>
      <c r="P303" s="29"/>
      <c r="Q303" s="29"/>
      <c r="R303" s="29"/>
      <c r="S303" s="29"/>
      <c r="T303" s="29"/>
      <c r="U303" s="29"/>
      <c r="V303" s="29"/>
      <c r="W303" s="29"/>
      <c r="X303" s="29"/>
      <c r="Y303" s="29"/>
      <c r="Z303" s="29"/>
    </row>
    <row r="304" spans="1:26" ht="15">
      <c r="A304" s="29"/>
      <c r="B304" s="29"/>
      <c r="C304" s="29"/>
      <c r="D304" s="33"/>
      <c r="E304" s="33"/>
      <c r="F304" s="33"/>
      <c r="G304" s="33"/>
      <c r="I304" s="29"/>
      <c r="J304" s="29"/>
      <c r="K304" s="29"/>
      <c r="L304" s="29"/>
      <c r="M304" s="29"/>
      <c r="N304" s="29"/>
      <c r="O304" s="29"/>
      <c r="P304" s="29"/>
      <c r="Q304" s="29"/>
      <c r="R304" s="29"/>
      <c r="S304" s="29"/>
      <c r="T304" s="29"/>
      <c r="U304" s="29"/>
      <c r="V304" s="29"/>
      <c r="W304" s="29"/>
      <c r="X304" s="29"/>
      <c r="Y304" s="29"/>
      <c r="Z304" s="29"/>
    </row>
    <row r="305" spans="1:26" ht="15">
      <c r="A305" s="29"/>
      <c r="B305" s="29"/>
      <c r="C305" s="29"/>
      <c r="D305" s="33"/>
      <c r="E305" s="33"/>
      <c r="F305" s="33"/>
      <c r="G305" s="33"/>
      <c r="I305" s="29"/>
      <c r="J305" s="29"/>
      <c r="K305" s="29"/>
      <c r="L305" s="29"/>
      <c r="M305" s="29"/>
      <c r="N305" s="29"/>
      <c r="O305" s="29"/>
      <c r="P305" s="29"/>
      <c r="Q305" s="29"/>
      <c r="R305" s="29"/>
      <c r="S305" s="29"/>
      <c r="T305" s="29"/>
      <c r="U305" s="29"/>
      <c r="V305" s="29"/>
      <c r="W305" s="29"/>
      <c r="X305" s="29"/>
      <c r="Y305" s="29"/>
      <c r="Z305" s="29"/>
    </row>
    <row r="306" spans="1:26" ht="15">
      <c r="A306" s="29"/>
      <c r="B306" s="29"/>
      <c r="C306" s="29"/>
      <c r="D306" s="33"/>
      <c r="E306" s="33"/>
      <c r="F306" s="33"/>
      <c r="G306" s="33"/>
      <c r="I306" s="29"/>
      <c r="J306" s="29"/>
      <c r="K306" s="29"/>
      <c r="L306" s="29"/>
      <c r="M306" s="29"/>
      <c r="N306" s="29"/>
      <c r="O306" s="29"/>
      <c r="P306" s="29"/>
      <c r="Q306" s="29"/>
      <c r="R306" s="29"/>
      <c r="S306" s="29"/>
      <c r="T306" s="29"/>
      <c r="U306" s="29"/>
      <c r="V306" s="29"/>
      <c r="W306" s="29"/>
      <c r="X306" s="29"/>
      <c r="Y306" s="29"/>
      <c r="Z306" s="29"/>
    </row>
    <row r="307" spans="1:26" ht="15">
      <c r="A307" s="29"/>
      <c r="B307" s="29"/>
      <c r="C307" s="29"/>
      <c r="D307" s="33"/>
      <c r="E307" s="33"/>
      <c r="F307" s="33"/>
      <c r="G307" s="33"/>
      <c r="I307" s="29"/>
      <c r="J307" s="29"/>
      <c r="K307" s="29"/>
      <c r="L307" s="29"/>
      <c r="M307" s="29"/>
      <c r="N307" s="29"/>
      <c r="O307" s="29"/>
      <c r="P307" s="29"/>
      <c r="Q307" s="29"/>
      <c r="R307" s="29"/>
      <c r="S307" s="29"/>
      <c r="T307" s="29"/>
      <c r="U307" s="29"/>
      <c r="V307" s="29"/>
      <c r="W307" s="29"/>
      <c r="X307" s="29"/>
      <c r="Y307" s="29"/>
      <c r="Z307" s="29"/>
    </row>
    <row r="308" spans="1:26" ht="15">
      <c r="A308" s="29"/>
      <c r="B308" s="29"/>
      <c r="C308" s="29"/>
      <c r="D308" s="33"/>
      <c r="E308" s="33"/>
      <c r="F308" s="33"/>
      <c r="G308" s="33"/>
      <c r="I308" s="29"/>
      <c r="J308" s="29"/>
      <c r="K308" s="29"/>
      <c r="L308" s="29"/>
      <c r="M308" s="29"/>
      <c r="N308" s="29"/>
      <c r="O308" s="29"/>
      <c r="P308" s="29"/>
      <c r="Q308" s="29"/>
      <c r="R308" s="29"/>
      <c r="S308" s="29"/>
      <c r="T308" s="29"/>
      <c r="U308" s="29"/>
      <c r="V308" s="29"/>
      <c r="W308" s="29"/>
      <c r="X308" s="29"/>
      <c r="Y308" s="29"/>
      <c r="Z308" s="29"/>
    </row>
    <row r="309" spans="1:26" ht="15">
      <c r="A309" s="29"/>
      <c r="B309" s="29"/>
      <c r="C309" s="29"/>
      <c r="D309" s="33"/>
      <c r="E309" s="33"/>
      <c r="F309" s="33"/>
      <c r="G309" s="33"/>
      <c r="I309" s="29"/>
      <c r="J309" s="29"/>
      <c r="K309" s="29"/>
      <c r="L309" s="29"/>
      <c r="M309" s="29"/>
      <c r="N309" s="29"/>
      <c r="O309" s="29"/>
      <c r="P309" s="29"/>
      <c r="Q309" s="29"/>
      <c r="R309" s="29"/>
      <c r="S309" s="29"/>
      <c r="T309" s="29"/>
      <c r="U309" s="29"/>
      <c r="V309" s="29"/>
      <c r="W309" s="29"/>
      <c r="X309" s="29"/>
      <c r="Y309" s="29"/>
      <c r="Z309" s="29"/>
    </row>
    <row r="310" spans="1:26" ht="15">
      <c r="A310" s="29"/>
      <c r="B310" s="29"/>
      <c r="C310" s="29"/>
      <c r="D310" s="33"/>
      <c r="E310" s="33"/>
      <c r="F310" s="33"/>
      <c r="G310" s="33"/>
      <c r="I310" s="29"/>
      <c r="J310" s="29"/>
      <c r="K310" s="29"/>
      <c r="L310" s="29"/>
      <c r="M310" s="29"/>
      <c r="N310" s="29"/>
      <c r="O310" s="29"/>
      <c r="P310" s="29"/>
      <c r="Q310" s="29"/>
      <c r="R310" s="29"/>
      <c r="S310" s="29"/>
      <c r="T310" s="29"/>
      <c r="U310" s="29"/>
      <c r="V310" s="29"/>
      <c r="W310" s="29"/>
      <c r="X310" s="29"/>
      <c r="Y310" s="29"/>
      <c r="Z310" s="29"/>
    </row>
    <row r="311" spans="1:26" ht="15">
      <c r="A311" s="29"/>
      <c r="B311" s="29"/>
      <c r="C311" s="29"/>
      <c r="D311" s="33"/>
      <c r="E311" s="33"/>
      <c r="F311" s="33"/>
      <c r="G311" s="33"/>
      <c r="I311" s="29"/>
      <c r="J311" s="29"/>
      <c r="K311" s="29"/>
      <c r="L311" s="29"/>
      <c r="M311" s="29"/>
      <c r="N311" s="29"/>
      <c r="O311" s="29"/>
      <c r="P311" s="29"/>
      <c r="Q311" s="29"/>
      <c r="R311" s="29"/>
      <c r="S311" s="29"/>
      <c r="T311" s="29"/>
      <c r="U311" s="29"/>
      <c r="V311" s="29"/>
      <c r="W311" s="29"/>
      <c r="X311" s="29"/>
      <c r="Y311" s="29"/>
      <c r="Z311" s="29"/>
    </row>
    <row r="312" spans="1:26" ht="15">
      <c r="A312" s="29"/>
      <c r="B312" s="29"/>
      <c r="C312" s="29"/>
      <c r="D312" s="33"/>
      <c r="E312" s="33"/>
      <c r="F312" s="33"/>
      <c r="G312" s="33"/>
      <c r="I312" s="29"/>
      <c r="J312" s="29"/>
      <c r="K312" s="29"/>
      <c r="L312" s="29"/>
      <c r="M312" s="29"/>
      <c r="N312" s="29"/>
      <c r="O312" s="29"/>
      <c r="P312" s="29"/>
      <c r="Q312" s="29"/>
      <c r="R312" s="29"/>
      <c r="S312" s="29"/>
      <c r="T312" s="29"/>
      <c r="U312" s="29"/>
      <c r="V312" s="29"/>
      <c r="W312" s="29"/>
      <c r="X312" s="29"/>
      <c r="Y312" s="29"/>
      <c r="Z312" s="29"/>
    </row>
    <row r="313" spans="1:26" ht="15">
      <c r="A313" s="29"/>
      <c r="B313" s="29"/>
      <c r="C313" s="29"/>
      <c r="D313" s="33"/>
      <c r="E313" s="33"/>
      <c r="F313" s="33"/>
      <c r="G313" s="33"/>
      <c r="I313" s="29"/>
      <c r="J313" s="29"/>
      <c r="K313" s="29"/>
      <c r="L313" s="29"/>
      <c r="M313" s="29"/>
      <c r="N313" s="29"/>
      <c r="O313" s="29"/>
      <c r="P313" s="29"/>
      <c r="Q313" s="29"/>
      <c r="R313" s="29"/>
      <c r="S313" s="29"/>
      <c r="T313" s="29"/>
      <c r="U313" s="29"/>
      <c r="V313" s="29"/>
      <c r="W313" s="29"/>
      <c r="X313" s="29"/>
      <c r="Y313" s="29"/>
      <c r="Z313" s="29"/>
    </row>
    <row r="314" spans="1:26" ht="15">
      <c r="A314" s="29"/>
      <c r="B314" s="29"/>
      <c r="C314" s="29"/>
      <c r="D314" s="33"/>
      <c r="E314" s="33"/>
      <c r="F314" s="33"/>
      <c r="G314" s="33"/>
      <c r="I314" s="29"/>
      <c r="J314" s="29"/>
      <c r="K314" s="29"/>
      <c r="L314" s="29"/>
      <c r="M314" s="29"/>
      <c r="N314" s="29"/>
      <c r="O314" s="29"/>
      <c r="P314" s="29"/>
      <c r="Q314" s="29"/>
      <c r="R314" s="29"/>
      <c r="S314" s="29"/>
      <c r="T314" s="29"/>
      <c r="U314" s="29"/>
      <c r="V314" s="29"/>
      <c r="W314" s="29"/>
      <c r="X314" s="29"/>
      <c r="Y314" s="29"/>
      <c r="Z314" s="29"/>
    </row>
    <row r="315" spans="1:26" ht="15">
      <c r="A315" s="29"/>
      <c r="B315" s="29"/>
      <c r="C315" s="29"/>
      <c r="D315" s="33"/>
      <c r="E315" s="33"/>
      <c r="F315" s="33"/>
      <c r="G315" s="33"/>
      <c r="I315" s="29"/>
      <c r="J315" s="29"/>
      <c r="K315" s="29"/>
      <c r="L315" s="29"/>
      <c r="M315" s="29"/>
      <c r="N315" s="29"/>
      <c r="O315" s="29"/>
      <c r="P315" s="29"/>
      <c r="Q315" s="29"/>
      <c r="R315" s="29"/>
      <c r="S315" s="29"/>
      <c r="T315" s="29"/>
      <c r="U315" s="29"/>
      <c r="V315" s="29"/>
      <c r="W315" s="29"/>
      <c r="X315" s="29"/>
      <c r="Y315" s="29"/>
      <c r="Z315" s="29"/>
    </row>
    <row r="316" spans="1:26" ht="15">
      <c r="A316" s="29"/>
      <c r="B316" s="29"/>
      <c r="C316" s="29"/>
      <c r="D316" s="33"/>
      <c r="E316" s="33"/>
      <c r="F316" s="33"/>
      <c r="G316" s="33"/>
      <c r="I316" s="29"/>
      <c r="J316" s="29"/>
      <c r="K316" s="29"/>
      <c r="L316" s="29"/>
      <c r="M316" s="29"/>
      <c r="N316" s="29"/>
      <c r="O316" s="29"/>
      <c r="P316" s="29"/>
      <c r="Q316" s="29"/>
      <c r="R316" s="29"/>
      <c r="S316" s="29"/>
      <c r="T316" s="29"/>
      <c r="U316" s="29"/>
      <c r="V316" s="29"/>
      <c r="W316" s="29"/>
      <c r="X316" s="29"/>
      <c r="Y316" s="29"/>
      <c r="Z316" s="29"/>
    </row>
    <row r="317" spans="1:26" ht="15">
      <c r="A317" s="29"/>
      <c r="B317" s="29"/>
      <c r="C317" s="29"/>
      <c r="D317" s="33"/>
      <c r="E317" s="33"/>
      <c r="F317" s="33"/>
      <c r="G317" s="33"/>
      <c r="I317" s="29"/>
      <c r="J317" s="29"/>
      <c r="K317" s="29"/>
      <c r="L317" s="29"/>
      <c r="M317" s="29"/>
      <c r="N317" s="29"/>
      <c r="O317" s="29"/>
      <c r="P317" s="29"/>
      <c r="Q317" s="29"/>
      <c r="R317" s="29"/>
      <c r="S317" s="29"/>
      <c r="T317" s="29"/>
      <c r="U317" s="29"/>
      <c r="V317" s="29"/>
      <c r="W317" s="29"/>
      <c r="X317" s="29"/>
      <c r="Y317" s="29"/>
      <c r="Z317" s="29"/>
    </row>
    <row r="318" spans="1:26" ht="15">
      <c r="A318" s="29"/>
      <c r="B318" s="29"/>
      <c r="C318" s="29"/>
      <c r="D318" s="33"/>
      <c r="E318" s="33"/>
      <c r="F318" s="33"/>
      <c r="G318" s="33"/>
      <c r="I318" s="29"/>
      <c r="J318" s="29"/>
      <c r="K318" s="29"/>
      <c r="L318" s="29"/>
      <c r="M318" s="29"/>
      <c r="N318" s="29"/>
      <c r="O318" s="29"/>
      <c r="P318" s="29"/>
      <c r="Q318" s="29"/>
      <c r="R318" s="29"/>
      <c r="S318" s="29"/>
      <c r="T318" s="29"/>
      <c r="U318" s="29"/>
      <c r="V318" s="29"/>
      <c r="W318" s="29"/>
      <c r="X318" s="29"/>
      <c r="Y318" s="29"/>
      <c r="Z318" s="29"/>
    </row>
    <row r="319" spans="1:26" ht="15">
      <c r="A319" s="29"/>
      <c r="B319" s="29"/>
      <c r="C319" s="29"/>
      <c r="D319" s="33"/>
      <c r="E319" s="33"/>
      <c r="F319" s="33"/>
      <c r="G319" s="33"/>
      <c r="I319" s="29"/>
      <c r="J319" s="29"/>
      <c r="K319" s="29"/>
      <c r="L319" s="29"/>
      <c r="M319" s="29"/>
      <c r="N319" s="29"/>
      <c r="O319" s="29"/>
      <c r="P319" s="29"/>
      <c r="Q319" s="29"/>
      <c r="R319" s="29"/>
      <c r="S319" s="29"/>
      <c r="T319" s="29"/>
      <c r="U319" s="29"/>
      <c r="V319" s="29"/>
      <c r="W319" s="29"/>
      <c r="X319" s="29"/>
      <c r="Y319" s="29"/>
      <c r="Z319" s="29"/>
    </row>
    <row r="320" spans="1:26" ht="15">
      <c r="A320" s="29"/>
      <c r="B320" s="29"/>
      <c r="C320" s="29"/>
      <c r="D320" s="33"/>
      <c r="E320" s="33"/>
      <c r="F320" s="33"/>
      <c r="G320" s="33"/>
      <c r="I320" s="29"/>
      <c r="J320" s="29"/>
      <c r="K320" s="29"/>
      <c r="L320" s="29"/>
      <c r="M320" s="29"/>
      <c r="N320" s="29"/>
      <c r="O320" s="29"/>
      <c r="P320" s="29"/>
      <c r="Q320" s="29"/>
      <c r="R320" s="29"/>
      <c r="S320" s="29"/>
      <c r="T320" s="29"/>
      <c r="U320" s="29"/>
      <c r="V320" s="29"/>
      <c r="W320" s="29"/>
      <c r="X320" s="29"/>
      <c r="Y320" s="29"/>
      <c r="Z320" s="29"/>
    </row>
    <row r="321" spans="1:26" ht="15">
      <c r="A321" s="29"/>
      <c r="B321" s="29"/>
      <c r="C321" s="29"/>
      <c r="D321" s="33"/>
      <c r="E321" s="33"/>
      <c r="F321" s="33"/>
      <c r="G321" s="33"/>
      <c r="I321" s="29"/>
      <c r="J321" s="29"/>
      <c r="K321" s="29"/>
      <c r="L321" s="29"/>
      <c r="M321" s="29"/>
      <c r="N321" s="29"/>
      <c r="O321" s="29"/>
      <c r="P321" s="29"/>
      <c r="Q321" s="29"/>
      <c r="R321" s="29"/>
      <c r="S321" s="29"/>
      <c r="T321" s="29"/>
      <c r="U321" s="29"/>
      <c r="V321" s="29"/>
      <c r="W321" s="29"/>
      <c r="X321" s="29"/>
      <c r="Y321" s="29"/>
      <c r="Z321" s="29"/>
    </row>
    <row r="322" spans="1:26" ht="15">
      <c r="A322" s="29"/>
      <c r="B322" s="29"/>
      <c r="C322" s="29"/>
      <c r="D322" s="33"/>
      <c r="E322" s="33"/>
      <c r="F322" s="33"/>
      <c r="G322" s="33"/>
      <c r="I322" s="29"/>
      <c r="J322" s="29"/>
      <c r="K322" s="29"/>
      <c r="L322" s="29"/>
      <c r="M322" s="29"/>
      <c r="N322" s="29"/>
      <c r="O322" s="29"/>
      <c r="P322" s="29"/>
      <c r="Q322" s="29"/>
      <c r="R322" s="29"/>
      <c r="S322" s="29"/>
      <c r="T322" s="29"/>
      <c r="U322" s="29"/>
      <c r="V322" s="29"/>
      <c r="W322" s="29"/>
      <c r="X322" s="29"/>
      <c r="Y322" s="29"/>
      <c r="Z322" s="29"/>
    </row>
    <row r="323" spans="1:26" ht="15">
      <c r="A323" s="29"/>
      <c r="B323" s="29"/>
      <c r="C323" s="29"/>
      <c r="D323" s="33"/>
      <c r="E323" s="33"/>
      <c r="F323" s="33"/>
      <c r="G323" s="33"/>
      <c r="I323" s="29"/>
      <c r="J323" s="29"/>
      <c r="K323" s="29"/>
      <c r="L323" s="29"/>
      <c r="M323" s="29"/>
      <c r="N323" s="29"/>
      <c r="O323" s="29"/>
      <c r="P323" s="29"/>
      <c r="Q323" s="29"/>
      <c r="R323" s="29"/>
      <c r="S323" s="29"/>
      <c r="T323" s="29"/>
      <c r="U323" s="29"/>
      <c r="V323" s="29"/>
      <c r="W323" s="29"/>
      <c r="X323" s="29"/>
      <c r="Y323" s="29"/>
      <c r="Z323" s="29"/>
    </row>
    <row r="324" spans="1:26" ht="15">
      <c r="A324" s="29"/>
      <c r="B324" s="29"/>
      <c r="C324" s="29"/>
      <c r="D324" s="33"/>
      <c r="E324" s="33"/>
      <c r="F324" s="33"/>
      <c r="G324" s="33"/>
      <c r="I324" s="29"/>
      <c r="J324" s="29"/>
      <c r="K324" s="29"/>
      <c r="L324" s="29"/>
      <c r="M324" s="29"/>
      <c r="N324" s="29"/>
      <c r="O324" s="29"/>
      <c r="P324" s="29"/>
      <c r="Q324" s="29"/>
      <c r="R324" s="29"/>
      <c r="S324" s="29"/>
      <c r="T324" s="29"/>
      <c r="U324" s="29"/>
      <c r="V324" s="29"/>
      <c r="W324" s="29"/>
      <c r="X324" s="29"/>
      <c r="Y324" s="29"/>
      <c r="Z324" s="29"/>
    </row>
    <row r="325" spans="1:26" ht="15">
      <c r="A325" s="29"/>
      <c r="B325" s="29"/>
      <c r="C325" s="29"/>
      <c r="D325" s="33"/>
      <c r="E325" s="33"/>
      <c r="F325" s="33"/>
      <c r="G325" s="33"/>
      <c r="I325" s="29"/>
      <c r="J325" s="29"/>
      <c r="K325" s="29"/>
      <c r="L325" s="29"/>
      <c r="M325" s="29"/>
      <c r="N325" s="29"/>
      <c r="O325" s="29"/>
      <c r="P325" s="29"/>
      <c r="Q325" s="29"/>
      <c r="R325" s="29"/>
      <c r="S325" s="29"/>
      <c r="T325" s="29"/>
      <c r="U325" s="29"/>
      <c r="V325" s="29"/>
      <c r="W325" s="29"/>
      <c r="X325" s="29"/>
      <c r="Y325" s="29"/>
      <c r="Z325" s="29"/>
    </row>
    <row r="326" spans="1:26" ht="15">
      <c r="A326" s="29"/>
      <c r="B326" s="29"/>
      <c r="C326" s="29"/>
      <c r="D326" s="33"/>
      <c r="E326" s="33"/>
      <c r="F326" s="33"/>
      <c r="G326" s="33"/>
      <c r="I326" s="29"/>
      <c r="J326" s="29"/>
      <c r="K326" s="29"/>
      <c r="L326" s="29"/>
      <c r="M326" s="29"/>
      <c r="N326" s="29"/>
      <c r="O326" s="29"/>
      <c r="P326" s="29"/>
      <c r="Q326" s="29"/>
      <c r="R326" s="29"/>
      <c r="S326" s="29"/>
      <c r="T326" s="29"/>
      <c r="U326" s="29"/>
      <c r="V326" s="29"/>
      <c r="W326" s="29"/>
      <c r="X326" s="29"/>
      <c r="Y326" s="29"/>
      <c r="Z326" s="29"/>
    </row>
    <row r="327" spans="1:26" ht="15">
      <c r="A327" s="29"/>
      <c r="B327" s="29"/>
      <c r="C327" s="29"/>
      <c r="D327" s="33"/>
      <c r="E327" s="33"/>
      <c r="F327" s="33"/>
      <c r="G327" s="33"/>
      <c r="I327" s="29"/>
      <c r="J327" s="29"/>
      <c r="K327" s="29"/>
      <c r="L327" s="29"/>
      <c r="M327" s="29"/>
      <c r="N327" s="29"/>
      <c r="O327" s="29"/>
      <c r="P327" s="29"/>
      <c r="Q327" s="29"/>
      <c r="R327" s="29"/>
      <c r="S327" s="29"/>
      <c r="T327" s="29"/>
      <c r="U327" s="29"/>
      <c r="V327" s="29"/>
      <c r="W327" s="29"/>
      <c r="X327" s="29"/>
      <c r="Y327" s="29"/>
      <c r="Z327" s="29"/>
    </row>
    <row r="328" spans="1:26" ht="15">
      <c r="A328" s="29"/>
      <c r="B328" s="29"/>
      <c r="C328" s="29"/>
      <c r="D328" s="33"/>
      <c r="E328" s="33"/>
      <c r="F328" s="33"/>
      <c r="G328" s="33"/>
      <c r="I328" s="29"/>
      <c r="J328" s="29"/>
      <c r="K328" s="29"/>
      <c r="L328" s="29"/>
      <c r="M328" s="29"/>
      <c r="N328" s="29"/>
      <c r="O328" s="29"/>
      <c r="P328" s="29"/>
      <c r="Q328" s="29"/>
      <c r="R328" s="29"/>
      <c r="S328" s="29"/>
      <c r="T328" s="29"/>
      <c r="U328" s="29"/>
      <c r="V328" s="29"/>
      <c r="W328" s="29"/>
      <c r="X328" s="29"/>
      <c r="Y328" s="29"/>
      <c r="Z328" s="29"/>
    </row>
    <row r="329" spans="1:26" ht="15">
      <c r="A329" s="29"/>
      <c r="B329" s="29"/>
      <c r="C329" s="29"/>
      <c r="D329" s="33"/>
      <c r="E329" s="33"/>
      <c r="F329" s="33"/>
      <c r="G329" s="33"/>
      <c r="I329" s="29"/>
      <c r="J329" s="29"/>
      <c r="K329" s="29"/>
      <c r="L329" s="29"/>
      <c r="M329" s="29"/>
      <c r="N329" s="29"/>
      <c r="O329" s="29"/>
      <c r="P329" s="29"/>
      <c r="Q329" s="29"/>
      <c r="R329" s="29"/>
      <c r="S329" s="29"/>
      <c r="T329" s="29"/>
      <c r="U329" s="29"/>
      <c r="V329" s="29"/>
      <c r="W329" s="29"/>
      <c r="X329" s="29"/>
      <c r="Y329" s="29"/>
      <c r="Z329" s="29"/>
    </row>
    <row r="330" spans="1:26" ht="15">
      <c r="A330" s="29"/>
      <c r="B330" s="29"/>
      <c r="C330" s="29"/>
      <c r="D330" s="33"/>
      <c r="E330" s="33"/>
      <c r="F330" s="33"/>
      <c r="G330" s="33"/>
      <c r="I330" s="29"/>
      <c r="J330" s="29"/>
      <c r="K330" s="29"/>
      <c r="L330" s="29"/>
      <c r="M330" s="29"/>
      <c r="N330" s="29"/>
      <c r="O330" s="29"/>
      <c r="P330" s="29"/>
      <c r="Q330" s="29"/>
      <c r="R330" s="29"/>
      <c r="S330" s="29"/>
      <c r="T330" s="29"/>
      <c r="U330" s="29"/>
      <c r="V330" s="29"/>
      <c r="W330" s="29"/>
      <c r="X330" s="29"/>
      <c r="Y330" s="29"/>
      <c r="Z330" s="29"/>
    </row>
    <row r="331" spans="1:26" ht="15">
      <c r="A331" s="29"/>
      <c r="B331" s="29"/>
      <c r="C331" s="29"/>
      <c r="D331" s="33"/>
      <c r="E331" s="33"/>
      <c r="F331" s="33"/>
      <c r="G331" s="33"/>
      <c r="I331" s="29"/>
      <c r="J331" s="29"/>
      <c r="K331" s="29"/>
      <c r="L331" s="29"/>
      <c r="M331" s="29"/>
      <c r="N331" s="29"/>
      <c r="O331" s="29"/>
      <c r="P331" s="29"/>
      <c r="Q331" s="29"/>
      <c r="R331" s="29"/>
      <c r="S331" s="29"/>
      <c r="T331" s="29"/>
      <c r="U331" s="29"/>
      <c r="V331" s="29"/>
      <c r="W331" s="29"/>
      <c r="X331" s="29"/>
      <c r="Y331" s="29"/>
      <c r="Z331" s="29"/>
    </row>
    <row r="332" spans="1:26" ht="15">
      <c r="A332" s="29"/>
      <c r="B332" s="29"/>
      <c r="C332" s="29"/>
      <c r="D332" s="33"/>
      <c r="E332" s="33"/>
      <c r="F332" s="33"/>
      <c r="G332" s="33"/>
      <c r="I332" s="29"/>
      <c r="J332" s="29"/>
      <c r="K332" s="29"/>
      <c r="L332" s="29"/>
      <c r="M332" s="29"/>
      <c r="N332" s="29"/>
      <c r="O332" s="29"/>
      <c r="P332" s="29"/>
      <c r="Q332" s="29"/>
      <c r="R332" s="29"/>
      <c r="S332" s="29"/>
      <c r="T332" s="29"/>
      <c r="U332" s="29"/>
      <c r="V332" s="29"/>
      <c r="W332" s="29"/>
      <c r="X332" s="29"/>
      <c r="Y332" s="29"/>
      <c r="Z332" s="29"/>
    </row>
    <row r="333" spans="1:26" ht="15">
      <c r="A333" s="29"/>
      <c r="B333" s="29"/>
      <c r="C333" s="29"/>
      <c r="D333" s="33"/>
      <c r="E333" s="33"/>
      <c r="F333" s="33"/>
      <c r="G333" s="33"/>
      <c r="I333" s="29"/>
      <c r="J333" s="29"/>
      <c r="K333" s="29"/>
      <c r="L333" s="29"/>
      <c r="M333" s="29"/>
      <c r="N333" s="29"/>
      <c r="O333" s="29"/>
      <c r="P333" s="29"/>
      <c r="Q333" s="29"/>
      <c r="R333" s="29"/>
      <c r="S333" s="29"/>
      <c r="T333" s="29"/>
      <c r="U333" s="29"/>
      <c r="V333" s="29"/>
      <c r="W333" s="29"/>
      <c r="X333" s="29"/>
      <c r="Y333" s="29"/>
      <c r="Z333" s="29"/>
    </row>
    <row r="334" spans="1:26" ht="15">
      <c r="A334" s="29"/>
      <c r="B334" s="29"/>
      <c r="C334" s="29"/>
      <c r="D334" s="33"/>
      <c r="E334" s="33"/>
      <c r="F334" s="33"/>
      <c r="G334" s="33"/>
      <c r="I334" s="29"/>
      <c r="J334" s="29"/>
      <c r="K334" s="29"/>
      <c r="L334" s="29"/>
      <c r="M334" s="29"/>
      <c r="N334" s="29"/>
      <c r="O334" s="29"/>
      <c r="P334" s="29"/>
      <c r="Q334" s="29"/>
      <c r="R334" s="29"/>
      <c r="S334" s="29"/>
      <c r="T334" s="29"/>
      <c r="U334" s="29"/>
      <c r="V334" s="29"/>
      <c r="W334" s="29"/>
      <c r="X334" s="29"/>
      <c r="Y334" s="29"/>
      <c r="Z334" s="29"/>
    </row>
    <row r="335" spans="1:26" ht="15">
      <c r="A335" s="29"/>
      <c r="B335" s="29"/>
      <c r="C335" s="29"/>
      <c r="D335" s="33"/>
      <c r="E335" s="33"/>
      <c r="F335" s="33"/>
      <c r="G335" s="33"/>
      <c r="I335" s="29"/>
      <c r="J335" s="29"/>
      <c r="K335" s="29"/>
      <c r="L335" s="29"/>
      <c r="M335" s="29"/>
      <c r="N335" s="29"/>
      <c r="O335" s="29"/>
      <c r="P335" s="29"/>
      <c r="Q335" s="29"/>
      <c r="R335" s="29"/>
      <c r="S335" s="29"/>
      <c r="T335" s="29"/>
      <c r="U335" s="29"/>
      <c r="V335" s="29"/>
      <c r="W335" s="29"/>
      <c r="X335" s="29"/>
      <c r="Y335" s="29"/>
      <c r="Z335" s="29"/>
    </row>
    <row r="336" spans="1:26" ht="15">
      <c r="A336" s="29"/>
      <c r="B336" s="29"/>
      <c r="C336" s="29"/>
      <c r="D336" s="33"/>
      <c r="E336" s="33"/>
      <c r="F336" s="33"/>
      <c r="G336" s="33"/>
      <c r="I336" s="29"/>
      <c r="J336" s="29"/>
      <c r="K336" s="29"/>
      <c r="L336" s="29"/>
      <c r="M336" s="29"/>
      <c r="N336" s="29"/>
      <c r="O336" s="29"/>
      <c r="P336" s="29"/>
      <c r="Q336" s="29"/>
      <c r="R336" s="29"/>
      <c r="S336" s="29"/>
      <c r="T336" s="29"/>
      <c r="U336" s="29"/>
      <c r="V336" s="29"/>
      <c r="W336" s="29"/>
      <c r="X336" s="29"/>
      <c r="Y336" s="29"/>
      <c r="Z336" s="29"/>
    </row>
    <row r="337" spans="1:26" ht="15">
      <c r="A337" s="29"/>
      <c r="B337" s="29"/>
      <c r="C337" s="29"/>
      <c r="D337" s="33"/>
      <c r="E337" s="33"/>
      <c r="F337" s="33"/>
      <c r="G337" s="33"/>
      <c r="I337" s="29"/>
      <c r="J337" s="29"/>
      <c r="K337" s="29"/>
      <c r="L337" s="29"/>
      <c r="M337" s="29"/>
      <c r="N337" s="29"/>
      <c r="O337" s="29"/>
      <c r="P337" s="29"/>
      <c r="Q337" s="29"/>
      <c r="R337" s="29"/>
      <c r="S337" s="29"/>
      <c r="T337" s="29"/>
      <c r="U337" s="29"/>
      <c r="V337" s="29"/>
      <c r="W337" s="29"/>
      <c r="X337" s="29"/>
      <c r="Y337" s="29"/>
      <c r="Z337" s="29"/>
    </row>
    <row r="338" spans="1:26" ht="15">
      <c r="A338" s="29"/>
      <c r="B338" s="29"/>
      <c r="C338" s="29"/>
      <c r="D338" s="33"/>
      <c r="E338" s="33"/>
      <c r="F338" s="33"/>
      <c r="G338" s="33"/>
      <c r="I338" s="29"/>
      <c r="J338" s="29"/>
      <c r="K338" s="29"/>
      <c r="L338" s="29"/>
      <c r="M338" s="29"/>
      <c r="N338" s="29"/>
      <c r="O338" s="29"/>
      <c r="P338" s="29"/>
      <c r="Q338" s="29"/>
      <c r="R338" s="29"/>
      <c r="S338" s="29"/>
      <c r="T338" s="29"/>
      <c r="U338" s="29"/>
      <c r="V338" s="29"/>
      <c r="W338" s="29"/>
      <c r="X338" s="29"/>
      <c r="Y338" s="29"/>
      <c r="Z338" s="29"/>
    </row>
    <row r="339" spans="1:26" ht="15">
      <c r="A339" s="29"/>
      <c r="B339" s="29"/>
      <c r="C339" s="29"/>
      <c r="D339" s="33"/>
      <c r="E339" s="33"/>
      <c r="F339" s="33"/>
      <c r="G339" s="33"/>
      <c r="I339" s="29"/>
      <c r="J339" s="29"/>
      <c r="K339" s="29"/>
      <c r="L339" s="29"/>
      <c r="M339" s="29"/>
      <c r="N339" s="29"/>
      <c r="O339" s="29"/>
      <c r="P339" s="29"/>
      <c r="Q339" s="29"/>
      <c r="R339" s="29"/>
      <c r="S339" s="29"/>
      <c r="T339" s="29"/>
      <c r="U339" s="29"/>
      <c r="V339" s="29"/>
      <c r="W339" s="29"/>
      <c r="X339" s="29"/>
      <c r="Y339" s="29"/>
      <c r="Z339" s="29"/>
    </row>
    <row r="340" spans="1:26" ht="15">
      <c r="A340" s="29"/>
      <c r="B340" s="29"/>
      <c r="C340" s="29"/>
      <c r="D340" s="33"/>
      <c r="E340" s="33"/>
      <c r="F340" s="33"/>
      <c r="G340" s="33"/>
      <c r="I340" s="29"/>
      <c r="J340" s="29"/>
      <c r="K340" s="29"/>
      <c r="L340" s="29"/>
      <c r="M340" s="29"/>
      <c r="N340" s="29"/>
      <c r="O340" s="29"/>
      <c r="P340" s="29"/>
      <c r="Q340" s="29"/>
      <c r="R340" s="29"/>
      <c r="S340" s="29"/>
      <c r="T340" s="29"/>
      <c r="U340" s="29"/>
      <c r="V340" s="29"/>
      <c r="W340" s="29"/>
      <c r="X340" s="29"/>
      <c r="Y340" s="29"/>
      <c r="Z340" s="29"/>
    </row>
    <row r="341" spans="1:26" ht="15">
      <c r="A341" s="29"/>
      <c r="B341" s="29"/>
      <c r="C341" s="29"/>
      <c r="D341" s="33"/>
      <c r="E341" s="33"/>
      <c r="F341" s="33"/>
      <c r="G341" s="33"/>
      <c r="I341" s="29"/>
      <c r="J341" s="29"/>
      <c r="K341" s="29"/>
      <c r="L341" s="29"/>
      <c r="M341" s="29"/>
      <c r="N341" s="29"/>
      <c r="O341" s="29"/>
      <c r="P341" s="29"/>
      <c r="Q341" s="29"/>
      <c r="R341" s="29"/>
      <c r="S341" s="29"/>
      <c r="T341" s="29"/>
      <c r="U341" s="29"/>
      <c r="V341" s="29"/>
      <c r="W341" s="29"/>
      <c r="X341" s="29"/>
      <c r="Y341" s="29"/>
      <c r="Z341" s="29"/>
    </row>
    <row r="342" spans="1:26" ht="15">
      <c r="A342" s="29"/>
      <c r="B342" s="29"/>
      <c r="C342" s="29"/>
      <c r="D342" s="33"/>
      <c r="E342" s="33"/>
      <c r="F342" s="33"/>
      <c r="G342" s="33"/>
      <c r="I342" s="29"/>
      <c r="J342" s="29"/>
      <c r="K342" s="29"/>
      <c r="L342" s="29"/>
      <c r="M342" s="29"/>
      <c r="N342" s="29"/>
      <c r="O342" s="29"/>
      <c r="P342" s="29"/>
      <c r="Q342" s="29"/>
      <c r="R342" s="29"/>
      <c r="S342" s="29"/>
      <c r="T342" s="29"/>
      <c r="U342" s="29"/>
      <c r="V342" s="29"/>
      <c r="W342" s="29"/>
      <c r="X342" s="29"/>
      <c r="Y342" s="29"/>
      <c r="Z342" s="29"/>
    </row>
    <row r="343" spans="1:26" ht="15">
      <c r="A343" s="29"/>
      <c r="B343" s="29"/>
      <c r="C343" s="29"/>
      <c r="D343" s="33"/>
      <c r="E343" s="33"/>
      <c r="F343" s="33"/>
      <c r="G343" s="33"/>
      <c r="I343" s="29"/>
      <c r="J343" s="29"/>
      <c r="K343" s="29"/>
      <c r="L343" s="29"/>
      <c r="M343" s="29"/>
      <c r="N343" s="29"/>
      <c r="O343" s="29"/>
      <c r="P343" s="29"/>
      <c r="Q343" s="29"/>
      <c r="R343" s="29"/>
      <c r="S343" s="29"/>
      <c r="T343" s="29"/>
      <c r="U343" s="29"/>
      <c r="V343" s="29"/>
      <c r="W343" s="29"/>
      <c r="X343" s="29"/>
      <c r="Y343" s="29"/>
      <c r="Z343" s="29"/>
    </row>
    <row r="344" spans="1:26" ht="15">
      <c r="A344" s="29"/>
      <c r="B344" s="29"/>
      <c r="C344" s="29"/>
      <c r="D344" s="33"/>
      <c r="E344" s="33"/>
      <c r="F344" s="33"/>
      <c r="G344" s="33"/>
      <c r="I344" s="29"/>
      <c r="J344" s="29"/>
      <c r="K344" s="29"/>
      <c r="L344" s="29"/>
      <c r="M344" s="29"/>
      <c r="N344" s="29"/>
      <c r="O344" s="29"/>
      <c r="P344" s="29"/>
      <c r="Q344" s="29"/>
      <c r="R344" s="29"/>
      <c r="S344" s="29"/>
      <c r="T344" s="29"/>
      <c r="U344" s="29"/>
      <c r="V344" s="29"/>
      <c r="W344" s="29"/>
      <c r="X344" s="29"/>
      <c r="Y344" s="29"/>
      <c r="Z344" s="29"/>
    </row>
    <row r="345" spans="1:26" ht="15">
      <c r="A345" s="29"/>
      <c r="B345" s="29"/>
      <c r="C345" s="29"/>
      <c r="D345" s="33"/>
      <c r="E345" s="33"/>
      <c r="F345" s="33"/>
      <c r="G345" s="33"/>
      <c r="I345" s="29"/>
      <c r="J345" s="29"/>
      <c r="K345" s="29"/>
      <c r="L345" s="29"/>
      <c r="M345" s="29"/>
      <c r="N345" s="29"/>
      <c r="O345" s="29"/>
      <c r="P345" s="29"/>
      <c r="Q345" s="29"/>
      <c r="R345" s="29"/>
      <c r="S345" s="29"/>
      <c r="T345" s="29"/>
      <c r="U345" s="29"/>
      <c r="V345" s="29"/>
      <c r="W345" s="29"/>
      <c r="X345" s="29"/>
      <c r="Y345" s="29"/>
      <c r="Z345" s="29"/>
    </row>
    <row r="346" spans="1:26" ht="15">
      <c r="A346" s="29"/>
      <c r="B346" s="29"/>
      <c r="C346" s="29"/>
      <c r="D346" s="33"/>
      <c r="E346" s="33"/>
      <c r="F346" s="33"/>
      <c r="G346" s="33"/>
      <c r="I346" s="29"/>
      <c r="J346" s="29"/>
      <c r="K346" s="29"/>
      <c r="L346" s="29"/>
      <c r="M346" s="29"/>
      <c r="N346" s="29"/>
      <c r="O346" s="29"/>
      <c r="P346" s="29"/>
      <c r="Q346" s="29"/>
      <c r="R346" s="29"/>
      <c r="S346" s="29"/>
      <c r="T346" s="29"/>
      <c r="U346" s="29"/>
      <c r="V346" s="29"/>
      <c r="W346" s="29"/>
      <c r="X346" s="29"/>
      <c r="Y346" s="29"/>
      <c r="Z346" s="29"/>
    </row>
    <row r="347" spans="1:26" ht="15">
      <c r="A347" s="29"/>
      <c r="B347" s="29"/>
      <c r="C347" s="29"/>
      <c r="D347" s="33"/>
      <c r="E347" s="33"/>
      <c r="F347" s="33"/>
      <c r="G347" s="33"/>
      <c r="I347" s="29"/>
      <c r="J347" s="29"/>
      <c r="K347" s="29"/>
      <c r="L347" s="29"/>
      <c r="M347" s="29"/>
      <c r="N347" s="29"/>
      <c r="O347" s="29"/>
      <c r="P347" s="29"/>
      <c r="Q347" s="29"/>
      <c r="R347" s="29"/>
      <c r="S347" s="29"/>
      <c r="T347" s="29"/>
      <c r="U347" s="29"/>
      <c r="V347" s="29"/>
      <c r="W347" s="29"/>
      <c r="X347" s="29"/>
      <c r="Y347" s="29"/>
      <c r="Z347" s="29"/>
    </row>
    <row r="348" spans="1:26" ht="15">
      <c r="A348" s="29"/>
      <c r="B348" s="29"/>
      <c r="C348" s="29"/>
      <c r="D348" s="33"/>
      <c r="E348" s="33"/>
      <c r="F348" s="33"/>
      <c r="G348" s="33"/>
      <c r="I348" s="29"/>
      <c r="J348" s="29"/>
      <c r="K348" s="29"/>
      <c r="L348" s="29"/>
      <c r="M348" s="29"/>
      <c r="N348" s="29"/>
      <c r="O348" s="29"/>
      <c r="P348" s="29"/>
      <c r="Q348" s="29"/>
      <c r="R348" s="29"/>
      <c r="S348" s="29"/>
      <c r="T348" s="29"/>
      <c r="U348" s="29"/>
      <c r="V348" s="29"/>
      <c r="W348" s="29"/>
      <c r="X348" s="29"/>
      <c r="Y348" s="29"/>
      <c r="Z348" s="29"/>
    </row>
    <row r="349" spans="1:26" ht="15">
      <c r="A349" s="29"/>
      <c r="B349" s="29"/>
      <c r="C349" s="29"/>
      <c r="D349" s="33"/>
      <c r="E349" s="33"/>
      <c r="F349" s="33"/>
      <c r="G349" s="33"/>
      <c r="I349" s="29"/>
      <c r="J349" s="29"/>
      <c r="K349" s="29"/>
      <c r="L349" s="29"/>
      <c r="M349" s="29"/>
      <c r="N349" s="29"/>
      <c r="O349" s="29"/>
      <c r="P349" s="29"/>
      <c r="Q349" s="29"/>
      <c r="R349" s="29"/>
      <c r="S349" s="29"/>
      <c r="T349" s="29"/>
      <c r="U349" s="29"/>
      <c r="V349" s="29"/>
      <c r="W349" s="29"/>
      <c r="X349" s="29"/>
      <c r="Y349" s="29"/>
      <c r="Z349" s="29"/>
    </row>
    <row r="350" spans="1:26" ht="15">
      <c r="A350" s="29"/>
      <c r="B350" s="29"/>
      <c r="C350" s="29"/>
      <c r="D350" s="33"/>
      <c r="E350" s="33"/>
      <c r="F350" s="33"/>
      <c r="G350" s="33"/>
      <c r="I350" s="29"/>
      <c r="J350" s="29"/>
      <c r="K350" s="29"/>
      <c r="L350" s="29"/>
      <c r="M350" s="29"/>
      <c r="N350" s="29"/>
      <c r="O350" s="29"/>
      <c r="P350" s="29"/>
      <c r="Q350" s="29"/>
      <c r="R350" s="29"/>
      <c r="S350" s="29"/>
      <c r="T350" s="29"/>
      <c r="U350" s="29"/>
      <c r="V350" s="29"/>
      <c r="W350" s="29"/>
      <c r="X350" s="29"/>
      <c r="Y350" s="29"/>
      <c r="Z350" s="29"/>
    </row>
    <row r="351" spans="1:26" ht="15">
      <c r="A351" s="29"/>
      <c r="B351" s="29"/>
      <c r="C351" s="29"/>
      <c r="D351" s="33"/>
      <c r="E351" s="33"/>
      <c r="F351" s="33"/>
      <c r="G351" s="33"/>
      <c r="I351" s="29"/>
      <c r="J351" s="29"/>
      <c r="K351" s="29"/>
      <c r="L351" s="29"/>
      <c r="M351" s="29"/>
      <c r="N351" s="29"/>
      <c r="O351" s="29"/>
      <c r="P351" s="29"/>
      <c r="Q351" s="29"/>
      <c r="R351" s="29"/>
      <c r="S351" s="29"/>
      <c r="T351" s="29"/>
      <c r="U351" s="29"/>
      <c r="V351" s="29"/>
      <c r="W351" s="29"/>
      <c r="X351" s="29"/>
      <c r="Y351" s="29"/>
      <c r="Z351" s="29"/>
    </row>
    <row r="352" spans="1:26" ht="15">
      <c r="A352" s="29"/>
      <c r="B352" s="29"/>
      <c r="C352" s="29"/>
      <c r="D352" s="33"/>
      <c r="E352" s="33"/>
      <c r="F352" s="33"/>
      <c r="G352" s="33"/>
      <c r="I352" s="29"/>
      <c r="J352" s="29"/>
      <c r="K352" s="29"/>
      <c r="L352" s="29"/>
      <c r="M352" s="29"/>
      <c r="N352" s="29"/>
      <c r="O352" s="29"/>
      <c r="P352" s="29"/>
      <c r="Q352" s="29"/>
      <c r="R352" s="29"/>
      <c r="S352" s="29"/>
      <c r="T352" s="29"/>
      <c r="U352" s="29"/>
      <c r="V352" s="29"/>
      <c r="W352" s="29"/>
      <c r="X352" s="29"/>
      <c r="Y352" s="29"/>
      <c r="Z352" s="29"/>
    </row>
    <row r="353" spans="1:26" ht="15">
      <c r="A353" s="29"/>
      <c r="B353" s="29"/>
      <c r="C353" s="29"/>
      <c r="D353" s="33"/>
      <c r="E353" s="33"/>
      <c r="F353" s="33"/>
      <c r="G353" s="33"/>
      <c r="I353" s="29"/>
      <c r="J353" s="29"/>
      <c r="K353" s="29"/>
      <c r="L353" s="29"/>
      <c r="M353" s="29"/>
      <c r="N353" s="29"/>
      <c r="O353" s="29"/>
      <c r="P353" s="29"/>
      <c r="Q353" s="29"/>
      <c r="R353" s="29"/>
      <c r="S353" s="29"/>
      <c r="T353" s="29"/>
      <c r="U353" s="29"/>
      <c r="V353" s="29"/>
      <c r="W353" s="29"/>
      <c r="X353" s="29"/>
      <c r="Y353" s="29"/>
      <c r="Z353" s="29"/>
    </row>
    <row r="354" spans="1:26" ht="15">
      <c r="A354" s="29"/>
      <c r="B354" s="29"/>
      <c r="C354" s="29"/>
      <c r="D354" s="33"/>
      <c r="E354" s="33"/>
      <c r="F354" s="33"/>
      <c r="G354" s="33"/>
      <c r="I354" s="29"/>
      <c r="J354" s="29"/>
      <c r="K354" s="29"/>
      <c r="L354" s="29"/>
      <c r="M354" s="29"/>
      <c r="N354" s="29"/>
      <c r="O354" s="29"/>
      <c r="P354" s="29"/>
      <c r="Q354" s="29"/>
      <c r="R354" s="29"/>
      <c r="S354" s="29"/>
      <c r="T354" s="29"/>
      <c r="U354" s="29"/>
      <c r="V354" s="29"/>
      <c r="W354" s="29"/>
      <c r="X354" s="29"/>
      <c r="Y354" s="29"/>
      <c r="Z354" s="29"/>
    </row>
    <row r="355" spans="1:26" ht="15">
      <c r="A355" s="29"/>
      <c r="B355" s="29"/>
      <c r="C355" s="29"/>
      <c r="D355" s="33"/>
      <c r="E355" s="33"/>
      <c r="F355" s="33"/>
      <c r="G355" s="33"/>
      <c r="I355" s="29"/>
      <c r="J355" s="29"/>
      <c r="K355" s="29"/>
      <c r="L355" s="29"/>
      <c r="M355" s="29"/>
      <c r="N355" s="29"/>
      <c r="O355" s="29"/>
      <c r="P355" s="29"/>
      <c r="Q355" s="29"/>
      <c r="R355" s="29"/>
      <c r="S355" s="29"/>
      <c r="T355" s="29"/>
      <c r="U355" s="29"/>
      <c r="V355" s="29"/>
      <c r="W355" s="29"/>
      <c r="X355" s="29"/>
      <c r="Y355" s="29"/>
      <c r="Z355" s="29"/>
    </row>
    <row r="356" spans="1:26" ht="15">
      <c r="A356" s="29"/>
      <c r="B356" s="29"/>
      <c r="C356" s="29"/>
      <c r="D356" s="33"/>
      <c r="E356" s="33"/>
      <c r="F356" s="33"/>
      <c r="G356" s="33"/>
      <c r="I356" s="29"/>
      <c r="J356" s="29"/>
      <c r="K356" s="29"/>
      <c r="L356" s="29"/>
      <c r="M356" s="29"/>
      <c r="N356" s="29"/>
      <c r="O356" s="29"/>
      <c r="P356" s="29"/>
      <c r="Q356" s="29"/>
      <c r="R356" s="29"/>
      <c r="S356" s="29"/>
      <c r="T356" s="29"/>
      <c r="U356" s="29"/>
      <c r="V356" s="29"/>
      <c r="W356" s="29"/>
      <c r="X356" s="29"/>
      <c r="Y356" s="29"/>
      <c r="Z356" s="29"/>
    </row>
    <row r="357" spans="1:26" ht="15">
      <c r="A357" s="29"/>
      <c r="B357" s="29"/>
      <c r="C357" s="29"/>
      <c r="D357" s="33"/>
      <c r="E357" s="33"/>
      <c r="F357" s="33"/>
      <c r="G357" s="33"/>
      <c r="I357" s="29"/>
      <c r="J357" s="29"/>
      <c r="K357" s="29"/>
      <c r="L357" s="29"/>
      <c r="M357" s="29"/>
      <c r="N357" s="29"/>
      <c r="O357" s="29"/>
      <c r="P357" s="29"/>
      <c r="Q357" s="29"/>
      <c r="R357" s="29"/>
      <c r="S357" s="29"/>
      <c r="T357" s="29"/>
      <c r="U357" s="29"/>
      <c r="V357" s="29"/>
      <c r="W357" s="29"/>
      <c r="X357" s="29"/>
      <c r="Y357" s="29"/>
      <c r="Z357" s="29"/>
    </row>
    <row r="358" spans="1:26" ht="15">
      <c r="A358" s="29"/>
      <c r="B358" s="29"/>
      <c r="C358" s="29"/>
      <c r="D358" s="33"/>
      <c r="E358" s="33"/>
      <c r="F358" s="33"/>
      <c r="G358" s="33"/>
      <c r="I358" s="29"/>
      <c r="J358" s="29"/>
      <c r="K358" s="29"/>
      <c r="L358" s="29"/>
      <c r="M358" s="29"/>
      <c r="N358" s="29"/>
      <c r="O358" s="29"/>
      <c r="P358" s="29"/>
      <c r="Q358" s="29"/>
      <c r="R358" s="29"/>
      <c r="S358" s="29"/>
      <c r="T358" s="29"/>
      <c r="U358" s="29"/>
      <c r="V358" s="29"/>
      <c r="W358" s="29"/>
      <c r="X358" s="29"/>
      <c r="Y358" s="29"/>
      <c r="Z358" s="29"/>
    </row>
    <row r="359" spans="1:26" ht="15">
      <c r="A359" s="29"/>
      <c r="B359" s="29"/>
      <c r="C359" s="29"/>
      <c r="D359" s="33"/>
      <c r="E359" s="33"/>
      <c r="F359" s="33"/>
      <c r="G359" s="33"/>
      <c r="I359" s="29"/>
      <c r="J359" s="29"/>
      <c r="K359" s="29"/>
      <c r="L359" s="29"/>
      <c r="M359" s="29"/>
      <c r="N359" s="29"/>
      <c r="O359" s="29"/>
      <c r="P359" s="29"/>
      <c r="Q359" s="29"/>
      <c r="R359" s="29"/>
      <c r="S359" s="29"/>
      <c r="T359" s="29"/>
      <c r="U359" s="29"/>
      <c r="V359" s="29"/>
      <c r="W359" s="29"/>
      <c r="X359" s="29"/>
      <c r="Y359" s="29"/>
      <c r="Z359" s="29"/>
    </row>
    <row r="360" spans="1:26" ht="15">
      <c r="A360" s="29"/>
      <c r="B360" s="29"/>
      <c r="C360" s="29"/>
      <c r="D360" s="33"/>
      <c r="E360" s="33"/>
      <c r="F360" s="33"/>
      <c r="G360" s="33"/>
      <c r="I360" s="29"/>
      <c r="J360" s="29"/>
      <c r="K360" s="29"/>
      <c r="L360" s="29"/>
      <c r="M360" s="29"/>
      <c r="N360" s="29"/>
      <c r="O360" s="29"/>
      <c r="P360" s="29"/>
      <c r="Q360" s="29"/>
      <c r="R360" s="29"/>
      <c r="S360" s="29"/>
      <c r="T360" s="29"/>
      <c r="U360" s="29"/>
      <c r="V360" s="29"/>
      <c r="W360" s="29"/>
      <c r="X360" s="29"/>
      <c r="Y360" s="29"/>
      <c r="Z360" s="29"/>
    </row>
    <row r="361" spans="1:26" ht="15">
      <c r="A361" s="29"/>
      <c r="B361" s="29"/>
      <c r="C361" s="29"/>
      <c r="D361" s="33"/>
      <c r="E361" s="33"/>
      <c r="F361" s="33"/>
      <c r="G361" s="33"/>
      <c r="I361" s="29"/>
      <c r="J361" s="29"/>
      <c r="K361" s="29"/>
      <c r="L361" s="29"/>
      <c r="M361" s="29"/>
      <c r="N361" s="29"/>
      <c r="O361" s="29"/>
      <c r="P361" s="29"/>
      <c r="Q361" s="29"/>
      <c r="R361" s="29"/>
      <c r="S361" s="29"/>
      <c r="T361" s="29"/>
      <c r="U361" s="29"/>
      <c r="V361" s="29"/>
      <c r="W361" s="29"/>
      <c r="X361" s="29"/>
      <c r="Y361" s="29"/>
      <c r="Z361" s="29"/>
    </row>
    <row r="362" spans="1:26" ht="15">
      <c r="A362" s="29"/>
      <c r="B362" s="29"/>
      <c r="C362" s="29"/>
      <c r="D362" s="33"/>
      <c r="E362" s="33"/>
      <c r="F362" s="33"/>
      <c r="G362" s="33"/>
      <c r="I362" s="29"/>
      <c r="J362" s="29"/>
      <c r="K362" s="29"/>
      <c r="L362" s="29"/>
      <c r="M362" s="29"/>
      <c r="N362" s="29"/>
      <c r="O362" s="29"/>
      <c r="P362" s="29"/>
      <c r="Q362" s="29"/>
      <c r="R362" s="29"/>
      <c r="S362" s="29"/>
      <c r="T362" s="29"/>
      <c r="U362" s="29"/>
      <c r="V362" s="29"/>
      <c r="W362" s="29"/>
      <c r="X362" s="29"/>
      <c r="Y362" s="29"/>
      <c r="Z362" s="29"/>
    </row>
    <row r="363" spans="1:26" ht="15">
      <c r="A363" s="29"/>
      <c r="B363" s="29"/>
      <c r="C363" s="29"/>
      <c r="D363" s="33"/>
      <c r="E363" s="33"/>
      <c r="F363" s="33"/>
      <c r="G363" s="33"/>
      <c r="I363" s="29"/>
      <c r="J363" s="29"/>
      <c r="K363" s="29"/>
      <c r="L363" s="29"/>
      <c r="M363" s="29"/>
      <c r="N363" s="29"/>
      <c r="O363" s="29"/>
      <c r="P363" s="29"/>
      <c r="Q363" s="29"/>
      <c r="R363" s="29"/>
      <c r="S363" s="29"/>
      <c r="T363" s="29"/>
      <c r="U363" s="29"/>
      <c r="V363" s="29"/>
      <c r="W363" s="29"/>
      <c r="X363" s="29"/>
      <c r="Y363" s="29"/>
      <c r="Z363" s="29"/>
    </row>
    <row r="364" spans="1:26" ht="15">
      <c r="A364" s="29"/>
      <c r="B364" s="29"/>
      <c r="C364" s="29"/>
      <c r="D364" s="33"/>
      <c r="E364" s="33"/>
      <c r="F364" s="33"/>
      <c r="G364" s="33"/>
      <c r="I364" s="29"/>
      <c r="J364" s="29"/>
      <c r="K364" s="29"/>
      <c r="L364" s="29"/>
      <c r="M364" s="29"/>
      <c r="N364" s="29"/>
      <c r="O364" s="29"/>
      <c r="P364" s="29"/>
      <c r="Q364" s="29"/>
      <c r="R364" s="29"/>
      <c r="S364" s="29"/>
      <c r="T364" s="29"/>
      <c r="U364" s="29"/>
      <c r="V364" s="29"/>
      <c r="W364" s="29"/>
      <c r="X364" s="29"/>
      <c r="Y364" s="29"/>
      <c r="Z364" s="29"/>
    </row>
    <row r="365" spans="1:26" ht="15">
      <c r="A365" s="29"/>
      <c r="B365" s="29"/>
      <c r="C365" s="29"/>
      <c r="D365" s="33"/>
      <c r="E365" s="33"/>
      <c r="F365" s="33"/>
      <c r="G365" s="33"/>
      <c r="I365" s="29"/>
      <c r="J365" s="29"/>
      <c r="K365" s="29"/>
      <c r="L365" s="29"/>
      <c r="M365" s="29"/>
      <c r="N365" s="29"/>
      <c r="O365" s="29"/>
      <c r="P365" s="29"/>
      <c r="Q365" s="29"/>
      <c r="R365" s="29"/>
      <c r="S365" s="29"/>
      <c r="T365" s="29"/>
      <c r="U365" s="29"/>
      <c r="V365" s="29"/>
      <c r="W365" s="29"/>
      <c r="X365" s="29"/>
      <c r="Y365" s="29"/>
      <c r="Z365" s="29"/>
    </row>
    <row r="366" spans="1:26" ht="15">
      <c r="A366" s="29"/>
      <c r="B366" s="29"/>
      <c r="C366" s="29"/>
      <c r="D366" s="33"/>
      <c r="E366" s="33"/>
      <c r="F366" s="33"/>
      <c r="G366" s="33"/>
      <c r="I366" s="29"/>
      <c r="J366" s="29"/>
      <c r="K366" s="29"/>
      <c r="L366" s="29"/>
      <c r="M366" s="29"/>
      <c r="N366" s="29"/>
      <c r="O366" s="29"/>
      <c r="P366" s="29"/>
      <c r="Q366" s="29"/>
      <c r="R366" s="29"/>
      <c r="S366" s="29"/>
      <c r="T366" s="29"/>
      <c r="U366" s="29"/>
      <c r="V366" s="29"/>
      <c r="W366" s="29"/>
      <c r="X366" s="29"/>
      <c r="Y366" s="29"/>
      <c r="Z366" s="29"/>
    </row>
    <row r="367" spans="1:26" ht="15">
      <c r="A367" s="29"/>
      <c r="B367" s="29"/>
      <c r="C367" s="29"/>
      <c r="D367" s="33"/>
      <c r="E367" s="33"/>
      <c r="F367" s="33"/>
      <c r="G367" s="33"/>
      <c r="I367" s="29"/>
      <c r="J367" s="29"/>
      <c r="K367" s="29"/>
      <c r="L367" s="29"/>
      <c r="M367" s="29"/>
      <c r="N367" s="29"/>
      <c r="O367" s="29"/>
      <c r="P367" s="29"/>
      <c r="Q367" s="29"/>
      <c r="R367" s="29"/>
      <c r="S367" s="29"/>
      <c r="T367" s="29"/>
      <c r="U367" s="29"/>
      <c r="V367" s="29"/>
      <c r="W367" s="29"/>
      <c r="X367" s="29"/>
      <c r="Y367" s="29"/>
      <c r="Z367" s="29"/>
    </row>
    <row r="368" spans="1:26" ht="15">
      <c r="A368" s="29"/>
      <c r="B368" s="29"/>
      <c r="C368" s="29"/>
      <c r="D368" s="33"/>
      <c r="E368" s="33"/>
      <c r="F368" s="33"/>
      <c r="G368" s="33"/>
      <c r="I368" s="29"/>
      <c r="J368" s="29"/>
      <c r="K368" s="29"/>
      <c r="L368" s="29"/>
      <c r="M368" s="29"/>
      <c r="N368" s="29"/>
      <c r="O368" s="29"/>
      <c r="P368" s="29"/>
      <c r="Q368" s="29"/>
      <c r="R368" s="29"/>
      <c r="S368" s="29"/>
      <c r="T368" s="29"/>
      <c r="U368" s="29"/>
      <c r="V368" s="29"/>
      <c r="W368" s="29"/>
      <c r="X368" s="29"/>
      <c r="Y368" s="29"/>
      <c r="Z368" s="29"/>
    </row>
    <row r="369" spans="1:26" ht="15">
      <c r="A369" s="29"/>
      <c r="B369" s="29"/>
      <c r="C369" s="29"/>
      <c r="D369" s="33"/>
      <c r="E369" s="33"/>
      <c r="F369" s="33"/>
      <c r="G369" s="33"/>
      <c r="I369" s="29"/>
      <c r="J369" s="29"/>
      <c r="K369" s="29"/>
      <c r="L369" s="29"/>
      <c r="M369" s="29"/>
      <c r="N369" s="29"/>
      <c r="O369" s="29"/>
      <c r="P369" s="29"/>
      <c r="Q369" s="29"/>
      <c r="R369" s="29"/>
      <c r="S369" s="29"/>
      <c r="T369" s="29"/>
      <c r="U369" s="29"/>
      <c r="V369" s="29"/>
      <c r="W369" s="29"/>
      <c r="X369" s="29"/>
      <c r="Y369" s="29"/>
      <c r="Z369" s="29"/>
    </row>
    <row r="370" spans="1:26" ht="15">
      <c r="A370" s="29"/>
      <c r="B370" s="29"/>
      <c r="C370" s="29"/>
      <c r="D370" s="33"/>
      <c r="E370" s="33"/>
      <c r="F370" s="33"/>
      <c r="G370" s="33"/>
      <c r="I370" s="29"/>
      <c r="J370" s="29"/>
      <c r="K370" s="29"/>
      <c r="L370" s="29"/>
      <c r="M370" s="29"/>
      <c r="N370" s="29"/>
      <c r="O370" s="29"/>
      <c r="P370" s="29"/>
      <c r="Q370" s="29"/>
      <c r="R370" s="29"/>
      <c r="S370" s="29"/>
      <c r="T370" s="29"/>
      <c r="U370" s="29"/>
      <c r="V370" s="29"/>
      <c r="W370" s="29"/>
      <c r="X370" s="29"/>
      <c r="Y370" s="29"/>
      <c r="Z370" s="29"/>
    </row>
    <row r="371" spans="1:26" ht="15">
      <c r="A371" s="29"/>
      <c r="B371" s="29"/>
      <c r="C371" s="29"/>
      <c r="D371" s="33"/>
      <c r="E371" s="33"/>
      <c r="F371" s="33"/>
      <c r="G371" s="33"/>
      <c r="I371" s="29"/>
      <c r="J371" s="29"/>
      <c r="K371" s="29"/>
      <c r="L371" s="29"/>
      <c r="M371" s="29"/>
      <c r="N371" s="29"/>
      <c r="O371" s="29"/>
      <c r="P371" s="29"/>
      <c r="Q371" s="29"/>
      <c r="R371" s="29"/>
      <c r="S371" s="29"/>
      <c r="T371" s="29"/>
      <c r="U371" s="29"/>
      <c r="V371" s="29"/>
      <c r="W371" s="29"/>
      <c r="X371" s="29"/>
      <c r="Y371" s="29"/>
      <c r="Z371" s="29"/>
    </row>
    <row r="372" spans="1:26" ht="15">
      <c r="A372" s="29"/>
      <c r="B372" s="29"/>
      <c r="C372" s="29"/>
      <c r="D372" s="33"/>
      <c r="E372" s="33"/>
      <c r="F372" s="33"/>
      <c r="G372" s="33"/>
      <c r="I372" s="29"/>
      <c r="J372" s="29"/>
      <c r="K372" s="29"/>
      <c r="L372" s="29"/>
      <c r="M372" s="29"/>
      <c r="N372" s="29"/>
      <c r="O372" s="29"/>
      <c r="P372" s="29"/>
      <c r="Q372" s="29"/>
      <c r="R372" s="29"/>
      <c r="S372" s="29"/>
      <c r="T372" s="29"/>
      <c r="U372" s="29"/>
      <c r="V372" s="29"/>
      <c r="W372" s="29"/>
      <c r="X372" s="29"/>
      <c r="Y372" s="29"/>
      <c r="Z372" s="29"/>
    </row>
    <row r="373" spans="1:26" ht="15">
      <c r="A373" s="29"/>
      <c r="B373" s="29"/>
      <c r="C373" s="29"/>
      <c r="D373" s="33"/>
      <c r="E373" s="33"/>
      <c r="F373" s="33"/>
      <c r="G373" s="33"/>
      <c r="I373" s="29"/>
      <c r="J373" s="29"/>
      <c r="K373" s="29"/>
      <c r="L373" s="29"/>
      <c r="M373" s="29"/>
      <c r="N373" s="29"/>
      <c r="O373" s="29"/>
      <c r="P373" s="29"/>
      <c r="Q373" s="29"/>
      <c r="R373" s="29"/>
      <c r="S373" s="29"/>
      <c r="T373" s="29"/>
      <c r="U373" s="29"/>
      <c r="V373" s="29"/>
      <c r="W373" s="29"/>
      <c r="X373" s="29"/>
      <c r="Y373" s="29"/>
      <c r="Z373" s="29"/>
    </row>
    <row r="374" spans="1:26" ht="15">
      <c r="A374" s="29"/>
      <c r="B374" s="29"/>
      <c r="C374" s="29"/>
      <c r="D374" s="33"/>
      <c r="E374" s="33"/>
      <c r="F374" s="33"/>
      <c r="G374" s="33"/>
      <c r="I374" s="29"/>
      <c r="J374" s="29"/>
      <c r="K374" s="29"/>
      <c r="L374" s="29"/>
      <c r="M374" s="29"/>
      <c r="N374" s="29"/>
      <c r="O374" s="29"/>
      <c r="P374" s="29"/>
      <c r="Q374" s="29"/>
      <c r="R374" s="29"/>
      <c r="S374" s="29"/>
      <c r="T374" s="29"/>
      <c r="U374" s="29"/>
      <c r="V374" s="29"/>
      <c r="W374" s="29"/>
      <c r="X374" s="29"/>
      <c r="Y374" s="29"/>
      <c r="Z374" s="29"/>
    </row>
    <row r="375" spans="1:26" ht="15">
      <c r="A375" s="29"/>
      <c r="B375" s="29"/>
      <c r="C375" s="29"/>
      <c r="D375" s="33"/>
      <c r="E375" s="33"/>
      <c r="F375" s="33"/>
      <c r="G375" s="33"/>
      <c r="I375" s="29"/>
      <c r="J375" s="29"/>
      <c r="K375" s="29"/>
      <c r="L375" s="29"/>
      <c r="M375" s="29"/>
      <c r="N375" s="29"/>
      <c r="O375" s="29"/>
      <c r="P375" s="29"/>
      <c r="Q375" s="29"/>
      <c r="R375" s="29"/>
      <c r="S375" s="29"/>
      <c r="T375" s="29"/>
      <c r="U375" s="29"/>
      <c r="V375" s="29"/>
      <c r="W375" s="29"/>
      <c r="X375" s="29"/>
      <c r="Y375" s="29"/>
      <c r="Z375" s="29"/>
    </row>
    <row r="376" spans="1:26" ht="15">
      <c r="A376" s="29"/>
      <c r="B376" s="29"/>
      <c r="C376" s="29"/>
      <c r="D376" s="33"/>
      <c r="E376" s="33"/>
      <c r="F376" s="33"/>
      <c r="G376" s="33"/>
      <c r="I376" s="29"/>
      <c r="J376" s="29"/>
      <c r="K376" s="29"/>
      <c r="L376" s="29"/>
      <c r="M376" s="29"/>
      <c r="N376" s="29"/>
      <c r="O376" s="29"/>
      <c r="P376" s="29"/>
      <c r="Q376" s="29"/>
      <c r="R376" s="29"/>
      <c r="S376" s="29"/>
      <c r="T376" s="29"/>
      <c r="U376" s="29"/>
      <c r="V376" s="29"/>
      <c r="W376" s="29"/>
      <c r="X376" s="29"/>
      <c r="Y376" s="29"/>
      <c r="Z376" s="29"/>
    </row>
    <row r="377" spans="1:26" ht="15">
      <c r="A377" s="29"/>
      <c r="B377" s="29"/>
      <c r="C377" s="29"/>
      <c r="D377" s="33"/>
      <c r="E377" s="33"/>
      <c r="F377" s="33"/>
      <c r="G377" s="33"/>
      <c r="I377" s="29"/>
      <c r="J377" s="29"/>
      <c r="K377" s="29"/>
      <c r="L377" s="29"/>
      <c r="M377" s="29"/>
      <c r="N377" s="29"/>
      <c r="O377" s="29"/>
      <c r="P377" s="29"/>
      <c r="Q377" s="29"/>
      <c r="R377" s="29"/>
      <c r="S377" s="29"/>
      <c r="T377" s="29"/>
      <c r="U377" s="29"/>
      <c r="V377" s="29"/>
      <c r="W377" s="29"/>
      <c r="X377" s="29"/>
      <c r="Y377" s="29"/>
      <c r="Z377" s="29"/>
    </row>
    <row r="378" spans="1:26" ht="15">
      <c r="A378" s="29"/>
      <c r="B378" s="29"/>
      <c r="C378" s="29"/>
      <c r="D378" s="33"/>
      <c r="E378" s="33"/>
      <c r="F378" s="33"/>
      <c r="G378" s="33"/>
      <c r="I378" s="29"/>
      <c r="J378" s="29"/>
      <c r="K378" s="29"/>
      <c r="L378" s="29"/>
      <c r="M378" s="29"/>
      <c r="N378" s="29"/>
      <c r="O378" s="29"/>
      <c r="P378" s="29"/>
      <c r="Q378" s="29"/>
      <c r="R378" s="29"/>
      <c r="S378" s="29"/>
      <c r="T378" s="29"/>
      <c r="U378" s="29"/>
      <c r="V378" s="29"/>
      <c r="W378" s="29"/>
      <c r="X378" s="29"/>
      <c r="Y378" s="29"/>
      <c r="Z378" s="29"/>
    </row>
    <row r="379" spans="1:26" ht="15">
      <c r="A379" s="29"/>
      <c r="B379" s="29"/>
      <c r="C379" s="29"/>
      <c r="D379" s="33"/>
      <c r="E379" s="33"/>
      <c r="F379" s="33"/>
      <c r="G379" s="33"/>
      <c r="I379" s="29"/>
      <c r="J379" s="29"/>
      <c r="K379" s="29"/>
      <c r="L379" s="29"/>
      <c r="M379" s="29"/>
      <c r="N379" s="29"/>
      <c r="O379" s="29"/>
      <c r="P379" s="29"/>
      <c r="Q379" s="29"/>
      <c r="R379" s="29"/>
      <c r="S379" s="29"/>
      <c r="T379" s="29"/>
      <c r="U379" s="29"/>
      <c r="V379" s="29"/>
      <c r="W379" s="29"/>
      <c r="X379" s="29"/>
      <c r="Y379" s="29"/>
      <c r="Z379" s="29"/>
    </row>
    <row r="380" spans="1:26" ht="15">
      <c r="A380" s="29"/>
      <c r="B380" s="29"/>
      <c r="C380" s="29"/>
      <c r="D380" s="33"/>
      <c r="E380" s="33"/>
      <c r="F380" s="33"/>
      <c r="G380" s="33"/>
      <c r="I380" s="29"/>
      <c r="J380" s="29"/>
      <c r="K380" s="29"/>
      <c r="L380" s="29"/>
      <c r="M380" s="29"/>
      <c r="N380" s="29"/>
      <c r="O380" s="29"/>
      <c r="P380" s="29"/>
      <c r="Q380" s="29"/>
      <c r="R380" s="29"/>
      <c r="S380" s="29"/>
      <c r="T380" s="29"/>
      <c r="U380" s="29"/>
      <c r="V380" s="29"/>
      <c r="W380" s="29"/>
      <c r="X380" s="29"/>
      <c r="Y380" s="29"/>
      <c r="Z380" s="29"/>
    </row>
    <row r="381" spans="1:26" ht="15">
      <c r="A381" s="29"/>
      <c r="B381" s="29"/>
      <c r="C381" s="29"/>
      <c r="D381" s="33"/>
      <c r="E381" s="33"/>
      <c r="F381" s="33"/>
      <c r="G381" s="33"/>
      <c r="I381" s="29"/>
      <c r="J381" s="29"/>
      <c r="K381" s="29"/>
      <c r="L381" s="29"/>
      <c r="M381" s="29"/>
      <c r="N381" s="29"/>
      <c r="O381" s="29"/>
      <c r="P381" s="29"/>
      <c r="Q381" s="29"/>
      <c r="R381" s="29"/>
      <c r="S381" s="29"/>
      <c r="T381" s="29"/>
      <c r="U381" s="29"/>
      <c r="V381" s="29"/>
      <c r="W381" s="29"/>
      <c r="X381" s="29"/>
      <c r="Y381" s="29"/>
      <c r="Z381" s="29"/>
    </row>
    <row r="382" spans="1:26" ht="15">
      <c r="A382" s="29"/>
      <c r="B382" s="29"/>
      <c r="C382" s="29"/>
      <c r="D382" s="33"/>
      <c r="E382" s="33"/>
      <c r="F382" s="33"/>
      <c r="G382" s="33"/>
      <c r="I382" s="29"/>
      <c r="J382" s="29"/>
      <c r="K382" s="29"/>
      <c r="L382" s="29"/>
      <c r="M382" s="29"/>
      <c r="N382" s="29"/>
      <c r="O382" s="29"/>
      <c r="P382" s="29"/>
      <c r="Q382" s="29"/>
      <c r="R382" s="29"/>
      <c r="S382" s="29"/>
      <c r="T382" s="29"/>
      <c r="U382" s="29"/>
      <c r="V382" s="29"/>
      <c r="W382" s="29"/>
      <c r="X382" s="29"/>
      <c r="Y382" s="29"/>
      <c r="Z382" s="29"/>
    </row>
    <row r="383" spans="1:26" ht="15">
      <c r="A383" s="29"/>
      <c r="B383" s="29"/>
      <c r="C383" s="29"/>
      <c r="D383" s="33"/>
      <c r="E383" s="33"/>
      <c r="F383" s="33"/>
      <c r="G383" s="33"/>
      <c r="I383" s="29"/>
      <c r="J383" s="29"/>
      <c r="K383" s="29"/>
      <c r="L383" s="29"/>
      <c r="M383" s="29"/>
      <c r="N383" s="29"/>
      <c r="O383" s="29"/>
      <c r="P383" s="29"/>
      <c r="Q383" s="29"/>
      <c r="R383" s="29"/>
      <c r="S383" s="29"/>
      <c r="T383" s="29"/>
      <c r="U383" s="29"/>
      <c r="V383" s="29"/>
      <c r="W383" s="29"/>
      <c r="X383" s="29"/>
      <c r="Y383" s="29"/>
      <c r="Z383" s="29"/>
    </row>
    <row r="384" spans="1:26" ht="15">
      <c r="A384" s="29"/>
      <c r="B384" s="29"/>
      <c r="C384" s="29"/>
      <c r="D384" s="33"/>
      <c r="E384" s="33"/>
      <c r="F384" s="33"/>
      <c r="G384" s="33"/>
      <c r="I384" s="29"/>
      <c r="J384" s="29"/>
      <c r="K384" s="29"/>
      <c r="L384" s="29"/>
      <c r="M384" s="29"/>
      <c r="N384" s="29"/>
      <c r="O384" s="29"/>
      <c r="P384" s="29"/>
      <c r="Q384" s="29"/>
      <c r="R384" s="29"/>
      <c r="S384" s="29"/>
      <c r="T384" s="29"/>
      <c r="U384" s="29"/>
      <c r="V384" s="29"/>
      <c r="W384" s="29"/>
      <c r="X384" s="29"/>
      <c r="Y384" s="29"/>
      <c r="Z384" s="29"/>
    </row>
    <row r="385" spans="1:26" ht="15">
      <c r="A385" s="29"/>
      <c r="B385" s="29"/>
      <c r="C385" s="29"/>
      <c r="D385" s="33"/>
      <c r="E385" s="33"/>
      <c r="F385" s="33"/>
      <c r="G385" s="33"/>
      <c r="I385" s="29"/>
      <c r="J385" s="29"/>
      <c r="K385" s="29"/>
      <c r="L385" s="29"/>
      <c r="M385" s="29"/>
      <c r="N385" s="29"/>
      <c r="O385" s="29"/>
      <c r="P385" s="29"/>
      <c r="Q385" s="29"/>
      <c r="R385" s="29"/>
      <c r="S385" s="29"/>
      <c r="T385" s="29"/>
      <c r="U385" s="29"/>
      <c r="V385" s="29"/>
      <c r="W385" s="29"/>
      <c r="X385" s="29"/>
      <c r="Y385" s="29"/>
      <c r="Z385" s="29"/>
    </row>
    <row r="386" spans="1:26" ht="15">
      <c r="A386" s="29"/>
      <c r="B386" s="29"/>
      <c r="C386" s="29"/>
      <c r="D386" s="33"/>
      <c r="E386" s="33"/>
      <c r="F386" s="33"/>
      <c r="G386" s="33"/>
      <c r="I386" s="29"/>
      <c r="J386" s="29"/>
      <c r="K386" s="29"/>
      <c r="L386" s="29"/>
      <c r="M386" s="29"/>
      <c r="N386" s="29"/>
      <c r="O386" s="29"/>
      <c r="P386" s="29"/>
      <c r="Q386" s="29"/>
      <c r="R386" s="29"/>
      <c r="S386" s="29"/>
      <c r="T386" s="29"/>
      <c r="U386" s="29"/>
      <c r="V386" s="29"/>
      <c r="W386" s="29"/>
      <c r="X386" s="29"/>
      <c r="Y386" s="29"/>
      <c r="Z386" s="29"/>
    </row>
    <row r="387" spans="1:26" ht="15">
      <c r="A387" s="29"/>
      <c r="B387" s="29"/>
      <c r="C387" s="29"/>
      <c r="D387" s="33"/>
      <c r="E387" s="33"/>
      <c r="F387" s="33"/>
      <c r="G387" s="33"/>
      <c r="I387" s="29"/>
      <c r="J387" s="29"/>
      <c r="K387" s="29"/>
      <c r="L387" s="29"/>
      <c r="M387" s="29"/>
      <c r="N387" s="29"/>
      <c r="O387" s="29"/>
      <c r="P387" s="29"/>
      <c r="Q387" s="29"/>
      <c r="R387" s="29"/>
      <c r="S387" s="29"/>
      <c r="T387" s="29"/>
      <c r="U387" s="29"/>
      <c r="V387" s="29"/>
      <c r="W387" s="29"/>
      <c r="X387" s="29"/>
      <c r="Y387" s="29"/>
      <c r="Z387" s="29"/>
    </row>
    <row r="388" spans="1:26" ht="15">
      <c r="A388" s="29"/>
      <c r="B388" s="29"/>
      <c r="C388" s="29"/>
      <c r="D388" s="33"/>
      <c r="E388" s="33"/>
      <c r="F388" s="33"/>
      <c r="G388" s="33"/>
      <c r="I388" s="29"/>
      <c r="J388" s="29"/>
      <c r="K388" s="29"/>
      <c r="L388" s="29"/>
      <c r="M388" s="29"/>
      <c r="N388" s="29"/>
      <c r="O388" s="29"/>
      <c r="P388" s="29"/>
      <c r="Q388" s="29"/>
      <c r="R388" s="29"/>
      <c r="S388" s="29"/>
      <c r="T388" s="29"/>
      <c r="U388" s="29"/>
      <c r="V388" s="29"/>
      <c r="W388" s="29"/>
      <c r="X388" s="29"/>
      <c r="Y388" s="29"/>
      <c r="Z388" s="29"/>
    </row>
    <row r="389" spans="1:26" ht="15">
      <c r="A389" s="29"/>
      <c r="B389" s="29"/>
      <c r="C389" s="29"/>
      <c r="D389" s="33"/>
      <c r="E389" s="33"/>
      <c r="F389" s="33"/>
      <c r="G389" s="33"/>
      <c r="I389" s="29"/>
      <c r="J389" s="29"/>
      <c r="K389" s="29"/>
      <c r="L389" s="29"/>
      <c r="M389" s="29"/>
      <c r="N389" s="29"/>
      <c r="O389" s="29"/>
      <c r="P389" s="29"/>
      <c r="Q389" s="29"/>
      <c r="R389" s="29"/>
      <c r="S389" s="29"/>
      <c r="T389" s="29"/>
      <c r="U389" s="29"/>
      <c r="V389" s="29"/>
      <c r="W389" s="29"/>
      <c r="X389" s="29"/>
      <c r="Y389" s="29"/>
      <c r="Z389" s="29"/>
    </row>
    <row r="390" spans="1:26" ht="15">
      <c r="A390" s="29"/>
      <c r="B390" s="29"/>
      <c r="C390" s="29"/>
      <c r="D390" s="33"/>
      <c r="E390" s="33"/>
      <c r="F390" s="33"/>
      <c r="G390" s="33"/>
      <c r="I390" s="29"/>
      <c r="J390" s="29"/>
      <c r="K390" s="29"/>
      <c r="L390" s="29"/>
      <c r="M390" s="29"/>
      <c r="N390" s="29"/>
      <c r="O390" s="29"/>
      <c r="P390" s="29"/>
      <c r="Q390" s="29"/>
      <c r="R390" s="29"/>
      <c r="S390" s="29"/>
      <c r="T390" s="29"/>
      <c r="U390" s="29"/>
      <c r="V390" s="29"/>
      <c r="W390" s="29"/>
      <c r="X390" s="29"/>
      <c r="Y390" s="29"/>
      <c r="Z390" s="29"/>
    </row>
    <row r="391" spans="1:26" ht="15">
      <c r="A391" s="29"/>
      <c r="B391" s="29"/>
      <c r="C391" s="29"/>
      <c r="D391" s="33"/>
      <c r="E391" s="33"/>
      <c r="F391" s="33"/>
      <c r="G391" s="33"/>
      <c r="I391" s="29"/>
      <c r="J391" s="29"/>
      <c r="K391" s="29"/>
      <c r="L391" s="29"/>
      <c r="M391" s="29"/>
      <c r="N391" s="29"/>
      <c r="O391" s="29"/>
      <c r="P391" s="29"/>
      <c r="Q391" s="29"/>
      <c r="R391" s="29"/>
      <c r="S391" s="29"/>
      <c r="T391" s="29"/>
      <c r="U391" s="29"/>
      <c r="V391" s="29"/>
      <c r="W391" s="29"/>
      <c r="X391" s="29"/>
      <c r="Y391" s="29"/>
      <c r="Z391" s="29"/>
    </row>
    <row r="392" spans="1:26" ht="15">
      <c r="A392" s="29"/>
      <c r="B392" s="29"/>
      <c r="C392" s="29"/>
      <c r="D392" s="33"/>
      <c r="E392" s="33"/>
      <c r="F392" s="33"/>
      <c r="G392" s="33"/>
      <c r="I392" s="29"/>
      <c r="J392" s="29"/>
      <c r="K392" s="29"/>
      <c r="L392" s="29"/>
      <c r="M392" s="29"/>
      <c r="N392" s="29"/>
      <c r="O392" s="29"/>
      <c r="P392" s="29"/>
      <c r="Q392" s="29"/>
      <c r="R392" s="29"/>
      <c r="S392" s="29"/>
      <c r="T392" s="29"/>
      <c r="U392" s="29"/>
      <c r="V392" s="29"/>
      <c r="W392" s="29"/>
      <c r="X392" s="29"/>
      <c r="Y392" s="29"/>
      <c r="Z392" s="29"/>
    </row>
    <row r="393" spans="1:26" ht="15">
      <c r="A393" s="29"/>
      <c r="B393" s="29"/>
      <c r="C393" s="29"/>
      <c r="D393" s="33"/>
      <c r="E393" s="33"/>
      <c r="F393" s="33"/>
      <c r="G393" s="33"/>
      <c r="I393" s="29"/>
      <c r="J393" s="29"/>
      <c r="K393" s="29"/>
      <c r="L393" s="29"/>
      <c r="M393" s="29"/>
      <c r="N393" s="29"/>
      <c r="O393" s="29"/>
      <c r="P393" s="29"/>
      <c r="Q393" s="29"/>
      <c r="R393" s="29"/>
      <c r="S393" s="29"/>
      <c r="T393" s="29"/>
      <c r="U393" s="29"/>
      <c r="V393" s="29"/>
      <c r="W393" s="29"/>
      <c r="X393" s="29"/>
      <c r="Y393" s="29"/>
      <c r="Z393" s="29"/>
    </row>
    <row r="394" spans="1:26" ht="15">
      <c r="A394" s="29"/>
      <c r="B394" s="29"/>
      <c r="C394" s="29"/>
      <c r="D394" s="33"/>
      <c r="E394" s="33"/>
      <c r="F394" s="33"/>
      <c r="G394" s="33"/>
      <c r="I394" s="29"/>
      <c r="J394" s="29"/>
      <c r="K394" s="29"/>
      <c r="L394" s="29"/>
      <c r="M394" s="29"/>
      <c r="N394" s="29"/>
      <c r="O394" s="29"/>
      <c r="P394" s="29"/>
      <c r="Q394" s="29"/>
      <c r="R394" s="29"/>
      <c r="S394" s="29"/>
      <c r="T394" s="29"/>
      <c r="U394" s="29"/>
      <c r="V394" s="29"/>
      <c r="W394" s="29"/>
      <c r="X394" s="29"/>
      <c r="Y394" s="29"/>
      <c r="Z394" s="29"/>
    </row>
    <row r="395" spans="1:26" ht="15">
      <c r="A395" s="29"/>
      <c r="B395" s="29"/>
      <c r="C395" s="29"/>
      <c r="D395" s="33"/>
      <c r="E395" s="33"/>
      <c r="F395" s="33"/>
      <c r="G395" s="33"/>
      <c r="I395" s="29"/>
      <c r="J395" s="29"/>
      <c r="K395" s="29"/>
      <c r="L395" s="29"/>
      <c r="M395" s="29"/>
      <c r="N395" s="29"/>
      <c r="O395" s="29"/>
      <c r="P395" s="29"/>
      <c r="Q395" s="29"/>
      <c r="R395" s="29"/>
      <c r="S395" s="29"/>
      <c r="T395" s="29"/>
      <c r="U395" s="29"/>
      <c r="V395" s="29"/>
      <c r="W395" s="29"/>
      <c r="X395" s="29"/>
      <c r="Y395" s="29"/>
      <c r="Z395" s="29"/>
    </row>
    <row r="396" spans="1:26" ht="15">
      <c r="A396" s="29"/>
      <c r="B396" s="29"/>
      <c r="C396" s="29"/>
      <c r="D396" s="33"/>
      <c r="E396" s="33"/>
      <c r="F396" s="33"/>
      <c r="G396" s="33"/>
      <c r="I396" s="29"/>
      <c r="J396" s="29"/>
      <c r="K396" s="29"/>
      <c r="L396" s="29"/>
      <c r="M396" s="29"/>
      <c r="N396" s="29"/>
      <c r="O396" s="29"/>
      <c r="P396" s="29"/>
      <c r="Q396" s="29"/>
      <c r="R396" s="29"/>
      <c r="S396" s="29"/>
      <c r="T396" s="29"/>
      <c r="U396" s="29"/>
      <c r="V396" s="29"/>
      <c r="W396" s="29"/>
      <c r="X396" s="29"/>
      <c r="Y396" s="29"/>
      <c r="Z396" s="29"/>
    </row>
    <row r="397" spans="1:26" ht="15">
      <c r="A397" s="29"/>
      <c r="B397" s="29"/>
      <c r="C397" s="29"/>
      <c r="D397" s="33"/>
      <c r="E397" s="33"/>
      <c r="F397" s="33"/>
      <c r="G397" s="33"/>
      <c r="I397" s="29"/>
      <c r="J397" s="29"/>
      <c r="K397" s="29"/>
      <c r="L397" s="29"/>
      <c r="M397" s="29"/>
      <c r="N397" s="29"/>
      <c r="O397" s="29"/>
      <c r="P397" s="29"/>
      <c r="Q397" s="29"/>
      <c r="R397" s="29"/>
      <c r="S397" s="29"/>
      <c r="T397" s="29"/>
      <c r="U397" s="29"/>
      <c r="V397" s="29"/>
      <c r="W397" s="29"/>
      <c r="X397" s="29"/>
      <c r="Y397" s="29"/>
      <c r="Z397" s="29"/>
    </row>
    <row r="398" spans="1:26" ht="15">
      <c r="A398" s="29"/>
      <c r="B398" s="29"/>
      <c r="C398" s="29"/>
      <c r="D398" s="33"/>
      <c r="E398" s="33"/>
      <c r="F398" s="33"/>
      <c r="G398" s="33"/>
      <c r="I398" s="29"/>
      <c r="J398" s="29"/>
      <c r="K398" s="29"/>
      <c r="L398" s="29"/>
      <c r="M398" s="29"/>
      <c r="N398" s="29"/>
      <c r="O398" s="29"/>
      <c r="P398" s="29"/>
      <c r="Q398" s="29"/>
      <c r="R398" s="29"/>
      <c r="S398" s="29"/>
      <c r="T398" s="29"/>
      <c r="U398" s="29"/>
      <c r="V398" s="29"/>
      <c r="W398" s="29"/>
      <c r="X398" s="29"/>
      <c r="Y398" s="29"/>
      <c r="Z398" s="29"/>
    </row>
    <row r="399" spans="1:26" ht="15">
      <c r="A399" s="29"/>
      <c r="B399" s="29"/>
      <c r="C399" s="29"/>
      <c r="D399" s="33"/>
      <c r="E399" s="33"/>
      <c r="F399" s="33"/>
      <c r="G399" s="33"/>
      <c r="I399" s="29"/>
      <c r="J399" s="29"/>
      <c r="K399" s="29"/>
      <c r="L399" s="29"/>
      <c r="M399" s="29"/>
      <c r="N399" s="29"/>
      <c r="O399" s="29"/>
      <c r="P399" s="29"/>
      <c r="Q399" s="29"/>
      <c r="R399" s="29"/>
      <c r="S399" s="29"/>
      <c r="T399" s="29"/>
      <c r="U399" s="29"/>
      <c r="V399" s="29"/>
      <c r="W399" s="29"/>
      <c r="X399" s="29"/>
      <c r="Y399" s="29"/>
      <c r="Z399" s="29"/>
    </row>
    <row r="400" spans="1:26" ht="15">
      <c r="A400" s="29"/>
      <c r="B400" s="29"/>
      <c r="C400" s="29"/>
      <c r="D400" s="33"/>
      <c r="E400" s="33"/>
      <c r="F400" s="33"/>
      <c r="G400" s="33"/>
      <c r="I400" s="29"/>
      <c r="J400" s="29"/>
      <c r="K400" s="29"/>
      <c r="L400" s="29"/>
      <c r="M400" s="29"/>
      <c r="N400" s="29"/>
      <c r="O400" s="29"/>
      <c r="P400" s="29"/>
      <c r="Q400" s="29"/>
      <c r="R400" s="29"/>
      <c r="S400" s="29"/>
      <c r="T400" s="29"/>
      <c r="U400" s="29"/>
      <c r="V400" s="29"/>
      <c r="W400" s="29"/>
      <c r="X400" s="29"/>
      <c r="Y400" s="29"/>
      <c r="Z400" s="29"/>
    </row>
    <row r="401" spans="1:26" ht="15">
      <c r="A401" s="29"/>
      <c r="B401" s="29"/>
      <c r="C401" s="29"/>
      <c r="D401" s="33"/>
      <c r="E401" s="33"/>
      <c r="F401" s="33"/>
      <c r="G401" s="33"/>
      <c r="I401" s="29"/>
      <c r="J401" s="29"/>
      <c r="K401" s="29"/>
      <c r="L401" s="29"/>
      <c r="M401" s="29"/>
      <c r="N401" s="29"/>
      <c r="O401" s="29"/>
      <c r="P401" s="29"/>
      <c r="Q401" s="29"/>
      <c r="R401" s="29"/>
      <c r="S401" s="29"/>
      <c r="T401" s="29"/>
      <c r="U401" s="29"/>
      <c r="V401" s="29"/>
      <c r="W401" s="29"/>
      <c r="X401" s="29"/>
      <c r="Y401" s="29"/>
      <c r="Z401" s="29"/>
    </row>
    <row r="402" spans="1:26" ht="15">
      <c r="A402" s="29"/>
      <c r="B402" s="29"/>
      <c r="C402" s="29"/>
      <c r="D402" s="33"/>
      <c r="E402" s="33"/>
      <c r="F402" s="33"/>
      <c r="G402" s="33"/>
      <c r="I402" s="29"/>
      <c r="J402" s="29"/>
      <c r="K402" s="29"/>
      <c r="L402" s="29"/>
      <c r="M402" s="29"/>
      <c r="N402" s="29"/>
      <c r="O402" s="29"/>
      <c r="P402" s="29"/>
      <c r="Q402" s="29"/>
      <c r="R402" s="29"/>
      <c r="S402" s="29"/>
      <c r="T402" s="29"/>
      <c r="U402" s="29"/>
      <c r="V402" s="29"/>
      <c r="W402" s="29"/>
      <c r="X402" s="29"/>
      <c r="Y402" s="29"/>
      <c r="Z402" s="29"/>
    </row>
    <row r="403" spans="1:26" ht="15">
      <c r="A403" s="29"/>
      <c r="B403" s="29"/>
      <c r="C403" s="29"/>
      <c r="D403" s="33"/>
      <c r="E403" s="33"/>
      <c r="F403" s="33"/>
      <c r="G403" s="33"/>
      <c r="I403" s="29"/>
      <c r="J403" s="29"/>
      <c r="K403" s="29"/>
      <c r="L403" s="29"/>
      <c r="M403" s="29"/>
      <c r="N403" s="29"/>
      <c r="O403" s="29"/>
      <c r="P403" s="29"/>
      <c r="Q403" s="29"/>
      <c r="R403" s="29"/>
      <c r="S403" s="29"/>
      <c r="T403" s="29"/>
      <c r="U403" s="29"/>
      <c r="V403" s="29"/>
      <c r="W403" s="29"/>
      <c r="X403" s="29"/>
      <c r="Y403" s="29"/>
      <c r="Z403" s="29"/>
    </row>
    <row r="404" spans="1:26" ht="15">
      <c r="A404" s="29"/>
      <c r="B404" s="29"/>
      <c r="C404" s="29"/>
      <c r="D404" s="33"/>
      <c r="E404" s="33"/>
      <c r="F404" s="33"/>
      <c r="G404" s="33"/>
      <c r="I404" s="29"/>
      <c r="J404" s="29"/>
      <c r="K404" s="29"/>
      <c r="L404" s="29"/>
      <c r="M404" s="29"/>
      <c r="N404" s="29"/>
      <c r="O404" s="29"/>
      <c r="P404" s="29"/>
      <c r="Q404" s="29"/>
      <c r="R404" s="29"/>
      <c r="S404" s="29"/>
      <c r="T404" s="29"/>
      <c r="U404" s="29"/>
      <c r="V404" s="29"/>
      <c r="W404" s="29"/>
      <c r="X404" s="29"/>
      <c r="Y404" s="29"/>
      <c r="Z404" s="29"/>
    </row>
    <row r="405" spans="1:26" ht="15">
      <c r="A405" s="29"/>
      <c r="B405" s="29"/>
      <c r="C405" s="29"/>
      <c r="D405" s="33"/>
      <c r="E405" s="33"/>
      <c r="F405" s="33"/>
      <c r="G405" s="33"/>
      <c r="I405" s="29"/>
      <c r="J405" s="29"/>
      <c r="K405" s="29"/>
      <c r="L405" s="29"/>
      <c r="M405" s="29"/>
      <c r="N405" s="29"/>
      <c r="O405" s="29"/>
      <c r="P405" s="29"/>
      <c r="Q405" s="29"/>
      <c r="R405" s="29"/>
      <c r="S405" s="29"/>
      <c r="T405" s="29"/>
      <c r="U405" s="29"/>
      <c r="V405" s="29"/>
      <c r="W405" s="29"/>
      <c r="X405" s="29"/>
      <c r="Y405" s="29"/>
      <c r="Z405" s="29"/>
    </row>
    <row r="406" spans="1:26" ht="15">
      <c r="A406" s="29"/>
      <c r="B406" s="29"/>
      <c r="C406" s="29"/>
      <c r="D406" s="33"/>
      <c r="E406" s="33"/>
      <c r="F406" s="33"/>
      <c r="G406" s="33"/>
      <c r="I406" s="29"/>
      <c r="J406" s="29"/>
      <c r="K406" s="29"/>
      <c r="L406" s="29"/>
      <c r="M406" s="29"/>
      <c r="N406" s="29"/>
      <c r="O406" s="29"/>
      <c r="P406" s="29"/>
      <c r="Q406" s="29"/>
      <c r="R406" s="29"/>
      <c r="S406" s="29"/>
      <c r="T406" s="29"/>
      <c r="U406" s="29"/>
      <c r="V406" s="29"/>
      <c r="W406" s="29"/>
      <c r="X406" s="29"/>
      <c r="Y406" s="29"/>
      <c r="Z406" s="29"/>
    </row>
    <row r="407" spans="1:26" ht="15">
      <c r="A407" s="29"/>
      <c r="B407" s="29"/>
      <c r="C407" s="29"/>
      <c r="D407" s="33"/>
      <c r="E407" s="33"/>
      <c r="F407" s="33"/>
      <c r="G407" s="33"/>
      <c r="I407" s="29"/>
      <c r="J407" s="29"/>
      <c r="K407" s="29"/>
      <c r="L407" s="29"/>
      <c r="M407" s="29"/>
      <c r="N407" s="29"/>
      <c r="O407" s="29"/>
      <c r="P407" s="29"/>
      <c r="Q407" s="29"/>
      <c r="R407" s="29"/>
      <c r="S407" s="29"/>
      <c r="T407" s="29"/>
      <c r="U407" s="29"/>
      <c r="V407" s="29"/>
      <c r="W407" s="29"/>
      <c r="X407" s="29"/>
      <c r="Y407" s="29"/>
      <c r="Z407" s="29"/>
    </row>
    <row r="408" spans="1:26" ht="15">
      <c r="A408" s="29"/>
      <c r="B408" s="29"/>
      <c r="C408" s="29"/>
      <c r="D408" s="33"/>
      <c r="E408" s="33"/>
      <c r="F408" s="33"/>
      <c r="G408" s="33"/>
      <c r="I408" s="29"/>
      <c r="J408" s="29"/>
      <c r="K408" s="29"/>
      <c r="L408" s="29"/>
      <c r="M408" s="29"/>
      <c r="N408" s="29"/>
      <c r="O408" s="29"/>
      <c r="P408" s="29"/>
      <c r="Q408" s="29"/>
      <c r="R408" s="29"/>
      <c r="S408" s="29"/>
      <c r="T408" s="29"/>
      <c r="U408" s="29"/>
      <c r="V408" s="29"/>
      <c r="W408" s="29"/>
      <c r="X408" s="29"/>
      <c r="Y408" s="29"/>
      <c r="Z408" s="29"/>
    </row>
    <row r="409" spans="1:26" ht="15">
      <c r="A409" s="29"/>
      <c r="B409" s="29"/>
      <c r="C409" s="29"/>
      <c r="D409" s="33"/>
      <c r="E409" s="33"/>
      <c r="F409" s="33"/>
      <c r="G409" s="33"/>
      <c r="I409" s="29"/>
      <c r="J409" s="29"/>
      <c r="K409" s="29"/>
      <c r="L409" s="29"/>
      <c r="M409" s="29"/>
      <c r="N409" s="29"/>
      <c r="O409" s="29"/>
      <c r="P409" s="29"/>
      <c r="Q409" s="29"/>
      <c r="R409" s="29"/>
      <c r="S409" s="29"/>
      <c r="T409" s="29"/>
      <c r="U409" s="29"/>
      <c r="V409" s="29"/>
      <c r="W409" s="29"/>
      <c r="X409" s="29"/>
      <c r="Y409" s="29"/>
      <c r="Z409" s="29"/>
    </row>
    <row r="410" spans="1:26" ht="15">
      <c r="A410" s="29"/>
      <c r="B410" s="29"/>
      <c r="C410" s="29"/>
      <c r="D410" s="33"/>
      <c r="E410" s="33"/>
      <c r="F410" s="33"/>
      <c r="G410" s="33"/>
      <c r="I410" s="29"/>
      <c r="J410" s="29"/>
      <c r="K410" s="29"/>
      <c r="L410" s="29"/>
      <c r="M410" s="29"/>
      <c r="N410" s="29"/>
      <c r="O410" s="29"/>
      <c r="P410" s="29"/>
      <c r="Q410" s="29"/>
      <c r="R410" s="29"/>
      <c r="S410" s="29"/>
      <c r="T410" s="29"/>
      <c r="U410" s="29"/>
      <c r="V410" s="29"/>
      <c r="W410" s="29"/>
      <c r="X410" s="29"/>
      <c r="Y410" s="29"/>
      <c r="Z410" s="29"/>
    </row>
    <row r="411" spans="1:26" ht="15">
      <c r="A411" s="29"/>
      <c r="B411" s="29"/>
      <c r="C411" s="29"/>
      <c r="D411" s="33"/>
      <c r="E411" s="33"/>
      <c r="F411" s="33"/>
      <c r="G411" s="33"/>
      <c r="I411" s="29"/>
      <c r="J411" s="29"/>
      <c r="K411" s="29"/>
      <c r="L411" s="29"/>
      <c r="M411" s="29"/>
      <c r="N411" s="29"/>
      <c r="O411" s="29"/>
      <c r="P411" s="29"/>
      <c r="Q411" s="29"/>
      <c r="R411" s="29"/>
      <c r="S411" s="29"/>
      <c r="T411" s="29"/>
      <c r="U411" s="29"/>
      <c r="V411" s="29"/>
      <c r="W411" s="29"/>
      <c r="X411" s="29"/>
      <c r="Y411" s="29"/>
      <c r="Z411" s="29"/>
    </row>
    <row r="412" spans="1:26" ht="15">
      <c r="A412" s="29"/>
      <c r="B412" s="29"/>
      <c r="C412" s="29"/>
      <c r="D412" s="33"/>
      <c r="E412" s="33"/>
      <c r="F412" s="33"/>
      <c r="G412" s="33"/>
      <c r="I412" s="29"/>
      <c r="J412" s="29"/>
      <c r="K412" s="29"/>
      <c r="L412" s="29"/>
      <c r="M412" s="29"/>
      <c r="N412" s="29"/>
      <c r="O412" s="29"/>
      <c r="P412" s="29"/>
      <c r="Q412" s="29"/>
      <c r="R412" s="29"/>
      <c r="S412" s="29"/>
      <c r="T412" s="29"/>
      <c r="U412" s="29"/>
      <c r="V412" s="29"/>
      <c r="W412" s="29"/>
      <c r="X412" s="29"/>
      <c r="Y412" s="29"/>
      <c r="Z412" s="29"/>
    </row>
    <row r="413" spans="1:26" ht="15">
      <c r="A413" s="29"/>
      <c r="B413" s="29"/>
      <c r="C413" s="29"/>
      <c r="D413" s="33"/>
      <c r="E413" s="33"/>
      <c r="F413" s="33"/>
      <c r="G413" s="33"/>
      <c r="I413" s="29"/>
      <c r="J413" s="29"/>
      <c r="K413" s="29"/>
      <c r="L413" s="29"/>
      <c r="M413" s="29"/>
      <c r="N413" s="29"/>
      <c r="O413" s="29"/>
      <c r="P413" s="29"/>
      <c r="Q413" s="29"/>
      <c r="R413" s="29"/>
      <c r="S413" s="29"/>
      <c r="T413" s="29"/>
      <c r="U413" s="29"/>
      <c r="V413" s="29"/>
      <c r="W413" s="29"/>
      <c r="X413" s="29"/>
      <c r="Y413" s="29"/>
      <c r="Z413" s="29"/>
    </row>
    <row r="414" spans="1:26" ht="15">
      <c r="A414" s="29"/>
      <c r="B414" s="29"/>
      <c r="C414" s="29"/>
      <c r="D414" s="33"/>
      <c r="E414" s="33"/>
      <c r="F414" s="33"/>
      <c r="G414" s="33"/>
      <c r="I414" s="29"/>
      <c r="J414" s="29"/>
      <c r="K414" s="29"/>
      <c r="L414" s="29"/>
      <c r="M414" s="29"/>
      <c r="N414" s="29"/>
      <c r="O414" s="29"/>
      <c r="P414" s="29"/>
      <c r="Q414" s="29"/>
      <c r="R414" s="29"/>
      <c r="S414" s="29"/>
      <c r="T414" s="29"/>
      <c r="U414" s="29"/>
      <c r="V414" s="29"/>
      <c r="W414" s="29"/>
      <c r="X414" s="29"/>
      <c r="Y414" s="29"/>
      <c r="Z414" s="29"/>
    </row>
    <row r="415" spans="1:26" ht="15">
      <c r="A415" s="29"/>
      <c r="B415" s="29"/>
      <c r="C415" s="29"/>
      <c r="D415" s="33"/>
      <c r="E415" s="33"/>
      <c r="F415" s="33"/>
      <c r="G415" s="33"/>
      <c r="I415" s="29"/>
      <c r="J415" s="29"/>
      <c r="K415" s="29"/>
      <c r="L415" s="29"/>
      <c r="M415" s="29"/>
      <c r="N415" s="29"/>
      <c r="O415" s="29"/>
      <c r="P415" s="29"/>
      <c r="Q415" s="29"/>
      <c r="R415" s="29"/>
      <c r="S415" s="29"/>
      <c r="T415" s="29"/>
      <c r="U415" s="29"/>
      <c r="V415" s="29"/>
      <c r="W415" s="29"/>
      <c r="X415" s="29"/>
      <c r="Y415" s="29"/>
      <c r="Z415" s="29"/>
    </row>
    <row r="416" spans="1:26" ht="15">
      <c r="A416" s="29"/>
      <c r="B416" s="29"/>
      <c r="C416" s="29"/>
      <c r="D416" s="33"/>
      <c r="E416" s="33"/>
      <c r="F416" s="33"/>
      <c r="G416" s="33"/>
      <c r="I416" s="29"/>
      <c r="J416" s="29"/>
      <c r="K416" s="29"/>
      <c r="L416" s="29"/>
      <c r="M416" s="29"/>
      <c r="N416" s="29"/>
      <c r="O416" s="29"/>
      <c r="P416" s="29"/>
      <c r="Q416" s="29"/>
      <c r="R416" s="29"/>
      <c r="S416" s="29"/>
      <c r="T416" s="29"/>
      <c r="U416" s="29"/>
      <c r="V416" s="29"/>
      <c r="W416" s="29"/>
      <c r="X416" s="29"/>
      <c r="Y416" s="29"/>
      <c r="Z416" s="29"/>
    </row>
    <row r="417" spans="1:26" ht="15">
      <c r="A417" s="29"/>
      <c r="B417" s="29"/>
      <c r="C417" s="29"/>
      <c r="D417" s="33"/>
      <c r="E417" s="33"/>
      <c r="F417" s="33"/>
      <c r="G417" s="33"/>
      <c r="I417" s="29"/>
      <c r="J417" s="29"/>
      <c r="K417" s="29"/>
      <c r="L417" s="29"/>
      <c r="M417" s="29"/>
      <c r="N417" s="29"/>
      <c r="O417" s="29"/>
      <c r="P417" s="29"/>
      <c r="Q417" s="29"/>
      <c r="R417" s="29"/>
      <c r="S417" s="29"/>
      <c r="T417" s="29"/>
      <c r="U417" s="29"/>
      <c r="V417" s="29"/>
      <c r="W417" s="29"/>
      <c r="X417" s="29"/>
      <c r="Y417" s="29"/>
      <c r="Z417" s="29"/>
    </row>
    <row r="418" spans="1:26" ht="15">
      <c r="A418" s="29"/>
      <c r="B418" s="29"/>
      <c r="C418" s="29"/>
      <c r="D418" s="33"/>
      <c r="E418" s="33"/>
      <c r="F418" s="33"/>
      <c r="G418" s="33"/>
      <c r="I418" s="29"/>
      <c r="J418" s="29"/>
      <c r="K418" s="29"/>
      <c r="L418" s="29"/>
      <c r="M418" s="29"/>
      <c r="N418" s="29"/>
      <c r="O418" s="29"/>
      <c r="P418" s="29"/>
      <c r="Q418" s="29"/>
      <c r="R418" s="29"/>
      <c r="S418" s="29"/>
      <c r="T418" s="29"/>
      <c r="U418" s="29"/>
      <c r="V418" s="29"/>
      <c r="W418" s="29"/>
      <c r="X418" s="29"/>
      <c r="Y418" s="29"/>
      <c r="Z418" s="29"/>
    </row>
    <row r="419" spans="1:26" ht="15">
      <c r="A419" s="29"/>
      <c r="B419" s="29"/>
      <c r="C419" s="29"/>
      <c r="D419" s="33"/>
      <c r="E419" s="33"/>
      <c r="F419" s="33"/>
      <c r="G419" s="33"/>
      <c r="I419" s="29"/>
      <c r="J419" s="29"/>
      <c r="K419" s="29"/>
      <c r="L419" s="29"/>
      <c r="M419" s="29"/>
      <c r="N419" s="29"/>
      <c r="O419" s="29"/>
      <c r="P419" s="29"/>
      <c r="Q419" s="29"/>
      <c r="R419" s="29"/>
      <c r="S419" s="29"/>
      <c r="T419" s="29"/>
      <c r="U419" s="29"/>
      <c r="V419" s="29"/>
      <c r="W419" s="29"/>
      <c r="X419" s="29"/>
      <c r="Y419" s="29"/>
      <c r="Z419" s="29"/>
    </row>
    <row r="420" spans="1:26" ht="15">
      <c r="A420" s="29"/>
      <c r="B420" s="29"/>
      <c r="C420" s="29"/>
      <c r="D420" s="33"/>
      <c r="E420" s="33"/>
      <c r="F420" s="33"/>
      <c r="G420" s="33"/>
      <c r="I420" s="29"/>
      <c r="J420" s="29"/>
      <c r="K420" s="29"/>
      <c r="L420" s="29"/>
      <c r="M420" s="29"/>
      <c r="N420" s="29"/>
      <c r="O420" s="29"/>
      <c r="P420" s="29"/>
      <c r="Q420" s="29"/>
      <c r="R420" s="29"/>
      <c r="S420" s="29"/>
      <c r="T420" s="29"/>
      <c r="U420" s="29"/>
      <c r="V420" s="29"/>
      <c r="W420" s="29"/>
      <c r="X420" s="29"/>
      <c r="Y420" s="29"/>
      <c r="Z420" s="29"/>
    </row>
    <row r="421" spans="1:26" ht="15">
      <c r="A421" s="29"/>
      <c r="B421" s="29"/>
      <c r="C421" s="29"/>
      <c r="D421" s="33"/>
      <c r="E421" s="33"/>
      <c r="F421" s="33"/>
      <c r="G421" s="33"/>
      <c r="I421" s="29"/>
      <c r="J421" s="29"/>
      <c r="K421" s="29"/>
      <c r="L421" s="29"/>
      <c r="M421" s="29"/>
      <c r="N421" s="29"/>
      <c r="O421" s="29"/>
      <c r="P421" s="29"/>
      <c r="Q421" s="29"/>
      <c r="R421" s="29"/>
      <c r="S421" s="29"/>
      <c r="T421" s="29"/>
      <c r="U421" s="29"/>
      <c r="V421" s="29"/>
      <c r="W421" s="29"/>
      <c r="X421" s="29"/>
      <c r="Y421" s="29"/>
      <c r="Z421" s="29"/>
    </row>
    <row r="422" spans="1:26" ht="15">
      <c r="A422" s="29"/>
      <c r="B422" s="29"/>
      <c r="C422" s="29"/>
      <c r="D422" s="33"/>
      <c r="E422" s="33"/>
      <c r="F422" s="33"/>
      <c r="G422" s="33"/>
      <c r="I422" s="29"/>
      <c r="J422" s="29"/>
      <c r="K422" s="29"/>
      <c r="L422" s="29"/>
      <c r="M422" s="29"/>
      <c r="N422" s="29"/>
      <c r="O422" s="29"/>
      <c r="P422" s="29"/>
      <c r="Q422" s="29"/>
      <c r="R422" s="29"/>
      <c r="S422" s="29"/>
      <c r="T422" s="29"/>
      <c r="U422" s="29"/>
      <c r="V422" s="29"/>
      <c r="W422" s="29"/>
      <c r="X422" s="29"/>
      <c r="Y422" s="29"/>
      <c r="Z422" s="29"/>
    </row>
    <row r="423" spans="1:26" ht="15">
      <c r="A423" s="29"/>
      <c r="B423" s="29"/>
      <c r="C423" s="29"/>
      <c r="D423" s="33"/>
      <c r="E423" s="33"/>
      <c r="F423" s="33"/>
      <c r="G423" s="33"/>
      <c r="I423" s="29"/>
      <c r="J423" s="29"/>
      <c r="K423" s="29"/>
      <c r="L423" s="29"/>
      <c r="M423" s="29"/>
      <c r="N423" s="29"/>
      <c r="O423" s="29"/>
      <c r="P423" s="29"/>
      <c r="Q423" s="29"/>
      <c r="R423" s="29"/>
      <c r="S423" s="29"/>
      <c r="T423" s="29"/>
      <c r="U423" s="29"/>
      <c r="V423" s="29"/>
      <c r="W423" s="29"/>
      <c r="X423" s="29"/>
      <c r="Y423" s="29"/>
      <c r="Z423" s="29"/>
    </row>
    <row r="424" spans="1:26" ht="15">
      <c r="A424" s="29"/>
      <c r="B424" s="29"/>
      <c r="C424" s="29"/>
      <c r="D424" s="33"/>
      <c r="E424" s="33"/>
      <c r="F424" s="33"/>
      <c r="G424" s="33"/>
      <c r="I424" s="29"/>
      <c r="J424" s="29"/>
      <c r="K424" s="29"/>
      <c r="L424" s="29"/>
      <c r="M424" s="29"/>
      <c r="N424" s="29"/>
      <c r="O424" s="29"/>
      <c r="P424" s="29"/>
      <c r="Q424" s="29"/>
      <c r="R424" s="29"/>
      <c r="S424" s="29"/>
      <c r="T424" s="29"/>
      <c r="U424" s="29"/>
      <c r="V424" s="29"/>
      <c r="W424" s="29"/>
      <c r="X424" s="29"/>
      <c r="Y424" s="29"/>
      <c r="Z424" s="29"/>
    </row>
    <row r="425" spans="1:26" ht="15">
      <c r="A425" s="29"/>
      <c r="B425" s="29"/>
      <c r="C425" s="29"/>
      <c r="D425" s="33"/>
      <c r="E425" s="33"/>
      <c r="F425" s="33"/>
      <c r="G425" s="33"/>
      <c r="I425" s="29"/>
      <c r="J425" s="29"/>
      <c r="K425" s="29"/>
      <c r="L425" s="29"/>
      <c r="M425" s="29"/>
      <c r="N425" s="29"/>
      <c r="O425" s="29"/>
      <c r="P425" s="29"/>
      <c r="Q425" s="29"/>
      <c r="R425" s="29"/>
      <c r="S425" s="29"/>
      <c r="T425" s="29"/>
      <c r="U425" s="29"/>
      <c r="V425" s="29"/>
      <c r="W425" s="29"/>
      <c r="X425" s="29"/>
      <c r="Y425" s="29"/>
      <c r="Z425" s="29"/>
    </row>
    <row r="426" spans="1:26" ht="15">
      <c r="A426" s="29"/>
      <c r="B426" s="29"/>
      <c r="C426" s="29"/>
      <c r="D426" s="33"/>
      <c r="E426" s="33"/>
      <c r="F426" s="33"/>
      <c r="G426" s="33"/>
      <c r="I426" s="29"/>
      <c r="J426" s="29"/>
      <c r="K426" s="29"/>
      <c r="L426" s="29"/>
      <c r="M426" s="29"/>
      <c r="N426" s="29"/>
      <c r="O426" s="29"/>
      <c r="P426" s="29"/>
      <c r="Q426" s="29"/>
      <c r="R426" s="29"/>
      <c r="S426" s="29"/>
      <c r="T426" s="29"/>
      <c r="U426" s="29"/>
      <c r="V426" s="29"/>
      <c r="W426" s="29"/>
      <c r="X426" s="29"/>
      <c r="Y426" s="29"/>
      <c r="Z426" s="29"/>
    </row>
    <row r="427" spans="1:26" ht="15">
      <c r="A427" s="29"/>
      <c r="B427" s="29"/>
      <c r="C427" s="29"/>
      <c r="D427" s="33"/>
      <c r="E427" s="33"/>
      <c r="F427" s="33"/>
      <c r="G427" s="33"/>
      <c r="I427" s="29"/>
      <c r="J427" s="29"/>
      <c r="K427" s="29"/>
      <c r="L427" s="29"/>
      <c r="M427" s="29"/>
      <c r="N427" s="29"/>
      <c r="O427" s="29"/>
      <c r="P427" s="29"/>
      <c r="Q427" s="29"/>
      <c r="R427" s="29"/>
      <c r="S427" s="29"/>
      <c r="T427" s="29"/>
      <c r="U427" s="29"/>
      <c r="V427" s="29"/>
      <c r="W427" s="29"/>
      <c r="X427" s="29"/>
      <c r="Y427" s="29"/>
      <c r="Z427" s="29"/>
    </row>
    <row r="428" spans="1:26" ht="15">
      <c r="A428" s="29"/>
      <c r="B428" s="29"/>
      <c r="C428" s="29"/>
      <c r="D428" s="33"/>
      <c r="E428" s="33"/>
      <c r="F428" s="33"/>
      <c r="G428" s="33"/>
      <c r="I428" s="29"/>
      <c r="J428" s="29"/>
      <c r="K428" s="29"/>
      <c r="L428" s="29"/>
      <c r="M428" s="29"/>
      <c r="N428" s="29"/>
      <c r="O428" s="29"/>
      <c r="P428" s="29"/>
      <c r="Q428" s="29"/>
      <c r="R428" s="29"/>
      <c r="S428" s="29"/>
      <c r="T428" s="29"/>
      <c r="U428" s="29"/>
      <c r="V428" s="29"/>
      <c r="W428" s="29"/>
      <c r="X428" s="29"/>
      <c r="Y428" s="29"/>
      <c r="Z428" s="29"/>
    </row>
    <row r="429" spans="1:26" ht="15">
      <c r="A429" s="29"/>
      <c r="B429" s="29"/>
      <c r="C429" s="29"/>
      <c r="D429" s="33"/>
      <c r="E429" s="33"/>
      <c r="F429" s="33"/>
      <c r="G429" s="33"/>
      <c r="I429" s="29"/>
      <c r="J429" s="29"/>
      <c r="K429" s="29"/>
      <c r="L429" s="29"/>
      <c r="M429" s="29"/>
      <c r="N429" s="29"/>
      <c r="O429" s="29"/>
      <c r="P429" s="29"/>
      <c r="Q429" s="29"/>
      <c r="R429" s="29"/>
      <c r="S429" s="29"/>
      <c r="T429" s="29"/>
      <c r="U429" s="29"/>
      <c r="V429" s="29"/>
      <c r="W429" s="29"/>
      <c r="X429" s="29"/>
      <c r="Y429" s="29"/>
      <c r="Z429" s="29"/>
    </row>
    <row r="430" spans="1:26" ht="15">
      <c r="A430" s="29"/>
      <c r="B430" s="29"/>
      <c r="C430" s="29"/>
      <c r="D430" s="33"/>
      <c r="E430" s="33"/>
      <c r="F430" s="33"/>
      <c r="G430" s="33"/>
      <c r="I430" s="29"/>
      <c r="J430" s="29"/>
      <c r="K430" s="29"/>
      <c r="L430" s="29"/>
      <c r="M430" s="29"/>
      <c r="N430" s="29"/>
      <c r="O430" s="29"/>
      <c r="P430" s="29"/>
      <c r="Q430" s="29"/>
      <c r="R430" s="29"/>
      <c r="S430" s="29"/>
      <c r="T430" s="29"/>
      <c r="U430" s="29"/>
      <c r="V430" s="29"/>
      <c r="W430" s="29"/>
      <c r="X430" s="29"/>
      <c r="Y430" s="29"/>
      <c r="Z430" s="29"/>
    </row>
    <row r="431" spans="1:26" ht="15">
      <c r="A431" s="29"/>
      <c r="B431" s="29"/>
      <c r="C431" s="29"/>
      <c r="D431" s="33"/>
      <c r="E431" s="33"/>
      <c r="F431" s="33"/>
      <c r="G431" s="33"/>
      <c r="I431" s="29"/>
      <c r="J431" s="29"/>
      <c r="K431" s="29"/>
      <c r="L431" s="29"/>
      <c r="M431" s="29"/>
      <c r="N431" s="29"/>
      <c r="O431" s="29"/>
      <c r="P431" s="29"/>
      <c r="Q431" s="29"/>
      <c r="R431" s="29"/>
      <c r="S431" s="29"/>
      <c r="T431" s="29"/>
      <c r="U431" s="29"/>
      <c r="V431" s="29"/>
      <c r="W431" s="29"/>
      <c r="X431" s="29"/>
      <c r="Y431" s="29"/>
      <c r="Z431" s="29"/>
    </row>
    <row r="432" spans="1:26" ht="15">
      <c r="A432" s="29"/>
      <c r="B432" s="29"/>
      <c r="C432" s="29"/>
      <c r="D432" s="33"/>
      <c r="E432" s="33"/>
      <c r="F432" s="33"/>
      <c r="G432" s="33"/>
      <c r="I432" s="29"/>
      <c r="J432" s="29"/>
      <c r="K432" s="29"/>
      <c r="L432" s="29"/>
      <c r="M432" s="29"/>
      <c r="N432" s="29"/>
      <c r="O432" s="29"/>
      <c r="P432" s="29"/>
      <c r="Q432" s="29"/>
      <c r="R432" s="29"/>
      <c r="S432" s="29"/>
      <c r="T432" s="29"/>
      <c r="U432" s="29"/>
      <c r="V432" s="29"/>
      <c r="W432" s="29"/>
      <c r="X432" s="29"/>
      <c r="Y432" s="29"/>
      <c r="Z432" s="29"/>
    </row>
    <row r="433" spans="1:26" ht="15">
      <c r="A433" s="29"/>
      <c r="B433" s="29"/>
      <c r="C433" s="29"/>
      <c r="D433" s="33"/>
      <c r="E433" s="33"/>
      <c r="F433" s="33"/>
      <c r="G433" s="33"/>
      <c r="I433" s="29"/>
      <c r="J433" s="29"/>
      <c r="K433" s="29"/>
      <c r="L433" s="29"/>
      <c r="M433" s="29"/>
      <c r="N433" s="29"/>
      <c r="O433" s="29"/>
      <c r="P433" s="29"/>
      <c r="Q433" s="29"/>
      <c r="R433" s="29"/>
      <c r="S433" s="29"/>
      <c r="T433" s="29"/>
      <c r="U433" s="29"/>
      <c r="V433" s="29"/>
      <c r="W433" s="29"/>
      <c r="X433" s="29"/>
      <c r="Y433" s="29"/>
      <c r="Z433" s="29"/>
    </row>
    <row r="434" spans="1:26" ht="15">
      <c r="A434" s="29"/>
      <c r="B434" s="29"/>
      <c r="C434" s="29"/>
      <c r="D434" s="33"/>
      <c r="E434" s="33"/>
      <c r="F434" s="33"/>
      <c r="G434" s="33"/>
      <c r="I434" s="29"/>
      <c r="J434" s="29"/>
      <c r="K434" s="29"/>
      <c r="L434" s="29"/>
      <c r="M434" s="29"/>
      <c r="N434" s="29"/>
      <c r="O434" s="29"/>
      <c r="P434" s="29"/>
      <c r="Q434" s="29"/>
      <c r="R434" s="29"/>
      <c r="S434" s="29"/>
      <c r="T434" s="29"/>
      <c r="U434" s="29"/>
      <c r="V434" s="29"/>
      <c r="W434" s="29"/>
      <c r="X434" s="29"/>
      <c r="Y434" s="29"/>
      <c r="Z434" s="29"/>
    </row>
    <row r="435" spans="1:26" ht="15">
      <c r="A435" s="29"/>
      <c r="B435" s="29"/>
      <c r="C435" s="29"/>
      <c r="D435" s="33"/>
      <c r="E435" s="33"/>
      <c r="F435" s="33"/>
      <c r="G435" s="33"/>
      <c r="I435" s="29"/>
      <c r="J435" s="29"/>
      <c r="K435" s="29"/>
      <c r="L435" s="29"/>
      <c r="M435" s="29"/>
      <c r="N435" s="29"/>
      <c r="O435" s="29"/>
      <c r="P435" s="29"/>
      <c r="Q435" s="29"/>
      <c r="R435" s="29"/>
      <c r="S435" s="29"/>
      <c r="T435" s="29"/>
      <c r="U435" s="29"/>
      <c r="V435" s="29"/>
      <c r="W435" s="29"/>
      <c r="X435" s="29"/>
      <c r="Y435" s="29"/>
      <c r="Z435" s="29"/>
    </row>
    <row r="436" spans="1:26" ht="15">
      <c r="A436" s="29"/>
      <c r="B436" s="29"/>
      <c r="C436" s="29"/>
      <c r="D436" s="33"/>
      <c r="E436" s="33"/>
      <c r="F436" s="33"/>
      <c r="G436" s="33"/>
      <c r="I436" s="29"/>
      <c r="J436" s="29"/>
      <c r="K436" s="29"/>
      <c r="L436" s="29"/>
      <c r="M436" s="29"/>
      <c r="N436" s="29"/>
      <c r="O436" s="29"/>
      <c r="P436" s="29"/>
      <c r="Q436" s="29"/>
      <c r="R436" s="29"/>
      <c r="S436" s="29"/>
      <c r="T436" s="29"/>
      <c r="U436" s="29"/>
      <c r="V436" s="29"/>
      <c r="W436" s="29"/>
      <c r="X436" s="29"/>
      <c r="Y436" s="29"/>
      <c r="Z436" s="29"/>
    </row>
    <row r="437" spans="1:26" ht="15">
      <c r="A437" s="29"/>
      <c r="B437" s="29"/>
      <c r="C437" s="29"/>
      <c r="D437" s="33"/>
      <c r="E437" s="33"/>
      <c r="F437" s="33"/>
      <c r="G437" s="33"/>
      <c r="I437" s="29"/>
      <c r="J437" s="29"/>
      <c r="K437" s="29"/>
      <c r="L437" s="29"/>
      <c r="M437" s="29"/>
      <c r="N437" s="29"/>
      <c r="O437" s="29"/>
      <c r="P437" s="29"/>
      <c r="Q437" s="29"/>
      <c r="R437" s="29"/>
      <c r="S437" s="29"/>
      <c r="T437" s="29"/>
      <c r="U437" s="29"/>
      <c r="V437" s="29"/>
      <c r="W437" s="29"/>
      <c r="X437" s="29"/>
      <c r="Y437" s="29"/>
      <c r="Z437" s="29"/>
    </row>
    <row r="438" spans="1:26" ht="15">
      <c r="A438" s="29"/>
      <c r="B438" s="29"/>
      <c r="C438" s="29"/>
      <c r="D438" s="33"/>
      <c r="E438" s="33"/>
      <c r="F438" s="33"/>
      <c r="G438" s="33"/>
      <c r="I438" s="29"/>
      <c r="J438" s="29"/>
      <c r="K438" s="29"/>
      <c r="L438" s="29"/>
      <c r="M438" s="29"/>
      <c r="N438" s="29"/>
      <c r="O438" s="29"/>
      <c r="P438" s="29"/>
      <c r="Q438" s="29"/>
      <c r="R438" s="29"/>
      <c r="S438" s="29"/>
      <c r="T438" s="29"/>
      <c r="U438" s="29"/>
      <c r="V438" s="29"/>
      <c r="W438" s="29"/>
      <c r="X438" s="29"/>
      <c r="Y438" s="29"/>
      <c r="Z438" s="29"/>
    </row>
    <row r="439" spans="1:26" ht="15">
      <c r="A439" s="29"/>
      <c r="B439" s="29"/>
      <c r="C439" s="29"/>
      <c r="D439" s="33"/>
      <c r="E439" s="33"/>
      <c r="F439" s="33"/>
      <c r="G439" s="33"/>
      <c r="I439" s="29"/>
      <c r="J439" s="29"/>
      <c r="K439" s="29"/>
      <c r="L439" s="29"/>
      <c r="M439" s="29"/>
      <c r="N439" s="29"/>
      <c r="O439" s="29"/>
      <c r="P439" s="29"/>
      <c r="Q439" s="29"/>
      <c r="R439" s="29"/>
      <c r="S439" s="29"/>
      <c r="T439" s="29"/>
      <c r="U439" s="29"/>
      <c r="V439" s="29"/>
      <c r="W439" s="29"/>
      <c r="X439" s="29"/>
      <c r="Y439" s="29"/>
      <c r="Z439" s="29"/>
    </row>
    <row r="440" spans="1:26" ht="15">
      <c r="A440" s="29"/>
      <c r="B440" s="29"/>
      <c r="C440" s="29"/>
      <c r="D440" s="33"/>
      <c r="E440" s="33"/>
      <c r="F440" s="33"/>
      <c r="G440" s="33"/>
      <c r="I440" s="29"/>
      <c r="J440" s="29"/>
      <c r="K440" s="29"/>
      <c r="L440" s="29"/>
      <c r="M440" s="29"/>
      <c r="N440" s="29"/>
      <c r="O440" s="29"/>
      <c r="P440" s="29"/>
      <c r="Q440" s="29"/>
      <c r="R440" s="29"/>
      <c r="S440" s="29"/>
      <c r="T440" s="29"/>
      <c r="U440" s="29"/>
      <c r="V440" s="29"/>
      <c r="W440" s="29"/>
      <c r="X440" s="29"/>
      <c r="Y440" s="29"/>
      <c r="Z440" s="29"/>
    </row>
    <row r="441" spans="1:26" ht="15">
      <c r="A441" s="29"/>
      <c r="B441" s="29"/>
      <c r="C441" s="29"/>
      <c r="D441" s="33"/>
      <c r="E441" s="33"/>
      <c r="F441" s="33"/>
      <c r="G441" s="33"/>
      <c r="I441" s="29"/>
      <c r="J441" s="29"/>
      <c r="K441" s="29"/>
      <c r="L441" s="29"/>
      <c r="M441" s="29"/>
      <c r="N441" s="29"/>
      <c r="O441" s="29"/>
      <c r="P441" s="29"/>
      <c r="Q441" s="29"/>
      <c r="R441" s="29"/>
      <c r="S441" s="29"/>
      <c r="T441" s="29"/>
      <c r="U441" s="29"/>
      <c r="V441" s="29"/>
      <c r="W441" s="29"/>
      <c r="X441" s="29"/>
      <c r="Y441" s="29"/>
      <c r="Z441" s="29"/>
    </row>
    <row r="442" spans="1:26" ht="15">
      <c r="A442" s="29"/>
      <c r="B442" s="29"/>
      <c r="C442" s="29"/>
      <c r="D442" s="33"/>
      <c r="E442" s="33"/>
      <c r="F442" s="33"/>
      <c r="G442" s="33"/>
      <c r="I442" s="29"/>
      <c r="J442" s="29"/>
      <c r="K442" s="29"/>
      <c r="L442" s="29"/>
      <c r="M442" s="29"/>
      <c r="N442" s="29"/>
      <c r="O442" s="29"/>
      <c r="P442" s="29"/>
      <c r="Q442" s="29"/>
      <c r="R442" s="29"/>
      <c r="S442" s="29"/>
      <c r="T442" s="29"/>
      <c r="U442" s="29"/>
      <c r="V442" s="29"/>
      <c r="W442" s="29"/>
      <c r="X442" s="29"/>
      <c r="Y442" s="29"/>
      <c r="Z442" s="29"/>
    </row>
    <row r="443" spans="1:26" ht="15">
      <c r="A443" s="29"/>
      <c r="B443" s="29"/>
      <c r="C443" s="29"/>
      <c r="D443" s="33"/>
      <c r="E443" s="33"/>
      <c r="F443" s="33"/>
      <c r="G443" s="33"/>
      <c r="I443" s="29"/>
      <c r="J443" s="29"/>
      <c r="K443" s="29"/>
      <c r="L443" s="29"/>
      <c r="M443" s="29"/>
      <c r="N443" s="29"/>
      <c r="O443" s="29"/>
      <c r="P443" s="29"/>
      <c r="Q443" s="29"/>
      <c r="R443" s="29"/>
      <c r="S443" s="29"/>
      <c r="T443" s="29"/>
      <c r="U443" s="29"/>
      <c r="V443" s="29"/>
      <c r="W443" s="29"/>
      <c r="X443" s="29"/>
      <c r="Y443" s="29"/>
      <c r="Z443" s="29"/>
    </row>
    <row r="444" spans="1:26" ht="15">
      <c r="A444" s="29"/>
      <c r="B444" s="29"/>
      <c r="C444" s="29"/>
      <c r="D444" s="33"/>
      <c r="E444" s="33"/>
      <c r="F444" s="33"/>
      <c r="G444" s="33"/>
      <c r="I444" s="29"/>
      <c r="J444" s="29"/>
      <c r="K444" s="29"/>
      <c r="L444" s="29"/>
      <c r="M444" s="29"/>
      <c r="N444" s="29"/>
      <c r="O444" s="29"/>
      <c r="P444" s="29"/>
      <c r="Q444" s="29"/>
      <c r="R444" s="29"/>
      <c r="S444" s="29"/>
      <c r="T444" s="29"/>
      <c r="U444" s="29"/>
      <c r="V444" s="29"/>
      <c r="W444" s="29"/>
      <c r="X444" s="29"/>
      <c r="Y444" s="29"/>
      <c r="Z444" s="29"/>
    </row>
    <row r="445" spans="1:26" ht="15">
      <c r="A445" s="29"/>
      <c r="B445" s="29"/>
      <c r="C445" s="29"/>
      <c r="D445" s="33"/>
      <c r="E445" s="33"/>
      <c r="F445" s="33"/>
      <c r="G445" s="33"/>
      <c r="I445" s="29"/>
      <c r="J445" s="29"/>
      <c r="K445" s="29"/>
      <c r="L445" s="29"/>
      <c r="M445" s="29"/>
      <c r="N445" s="29"/>
      <c r="O445" s="29"/>
      <c r="P445" s="29"/>
      <c r="Q445" s="29"/>
      <c r="R445" s="29"/>
      <c r="S445" s="29"/>
      <c r="T445" s="29"/>
      <c r="U445" s="29"/>
      <c r="V445" s="29"/>
      <c r="W445" s="29"/>
      <c r="X445" s="29"/>
      <c r="Y445" s="29"/>
      <c r="Z445" s="29"/>
    </row>
    <row r="446" spans="1:26" ht="15">
      <c r="A446" s="29"/>
      <c r="B446" s="29"/>
      <c r="C446" s="29"/>
      <c r="D446" s="33"/>
      <c r="E446" s="33"/>
      <c r="F446" s="33"/>
      <c r="G446" s="33"/>
      <c r="I446" s="29"/>
      <c r="J446" s="29"/>
      <c r="K446" s="29"/>
      <c r="L446" s="29"/>
      <c r="M446" s="29"/>
      <c r="N446" s="29"/>
      <c r="O446" s="29"/>
      <c r="P446" s="29"/>
      <c r="Q446" s="29"/>
      <c r="R446" s="29"/>
      <c r="S446" s="29"/>
      <c r="T446" s="29"/>
      <c r="U446" s="29"/>
      <c r="V446" s="29"/>
      <c r="W446" s="29"/>
      <c r="X446" s="29"/>
      <c r="Y446" s="29"/>
      <c r="Z446" s="29"/>
    </row>
    <row r="447" spans="1:26" ht="15">
      <c r="A447" s="29"/>
      <c r="B447" s="29"/>
      <c r="C447" s="29"/>
      <c r="D447" s="33"/>
      <c r="E447" s="33"/>
      <c r="F447" s="33"/>
      <c r="G447" s="33"/>
      <c r="I447" s="29"/>
      <c r="J447" s="29"/>
      <c r="K447" s="29"/>
      <c r="L447" s="29"/>
      <c r="M447" s="29"/>
      <c r="N447" s="29"/>
      <c r="O447" s="29"/>
      <c r="P447" s="29"/>
      <c r="Q447" s="29"/>
      <c r="R447" s="29"/>
      <c r="S447" s="29"/>
      <c r="T447" s="29"/>
      <c r="U447" s="29"/>
      <c r="V447" s="29"/>
      <c r="W447" s="29"/>
      <c r="X447" s="29"/>
      <c r="Y447" s="29"/>
      <c r="Z447" s="29"/>
    </row>
    <row r="448" spans="1:26" ht="15">
      <c r="A448" s="29"/>
      <c r="B448" s="29"/>
      <c r="C448" s="29"/>
      <c r="D448" s="33"/>
      <c r="E448" s="33"/>
      <c r="F448" s="33"/>
      <c r="G448" s="33"/>
      <c r="I448" s="29"/>
      <c r="J448" s="29"/>
      <c r="K448" s="29"/>
      <c r="L448" s="29"/>
      <c r="M448" s="29"/>
      <c r="N448" s="29"/>
      <c r="O448" s="29"/>
      <c r="P448" s="29"/>
      <c r="Q448" s="29"/>
      <c r="R448" s="29"/>
      <c r="S448" s="29"/>
      <c r="T448" s="29"/>
      <c r="U448" s="29"/>
      <c r="V448" s="29"/>
      <c r="W448" s="29"/>
      <c r="X448" s="29"/>
      <c r="Y448" s="29"/>
      <c r="Z448" s="29"/>
    </row>
    <row r="449" spans="1:26" ht="15">
      <c r="A449" s="29"/>
      <c r="B449" s="29"/>
      <c r="C449" s="29"/>
      <c r="D449" s="33"/>
      <c r="E449" s="33"/>
      <c r="F449" s="33"/>
      <c r="G449" s="33"/>
      <c r="I449" s="29"/>
      <c r="J449" s="29"/>
      <c r="K449" s="29"/>
      <c r="L449" s="29"/>
      <c r="M449" s="29"/>
      <c r="N449" s="29"/>
      <c r="O449" s="29"/>
      <c r="P449" s="29"/>
      <c r="Q449" s="29"/>
      <c r="R449" s="29"/>
      <c r="S449" s="29"/>
      <c r="T449" s="29"/>
      <c r="U449" s="29"/>
      <c r="V449" s="29"/>
      <c r="W449" s="29"/>
      <c r="X449" s="29"/>
      <c r="Y449" s="29"/>
      <c r="Z449" s="29"/>
    </row>
    <row r="450" spans="1:26" ht="15">
      <c r="A450" s="29"/>
      <c r="B450" s="29"/>
      <c r="C450" s="29"/>
      <c r="D450" s="33"/>
      <c r="E450" s="33"/>
      <c r="F450" s="33"/>
      <c r="G450" s="33"/>
      <c r="I450" s="29"/>
      <c r="J450" s="29"/>
      <c r="K450" s="29"/>
      <c r="L450" s="29"/>
      <c r="M450" s="29"/>
      <c r="N450" s="29"/>
      <c r="O450" s="29"/>
      <c r="P450" s="29"/>
      <c r="Q450" s="29"/>
      <c r="R450" s="29"/>
      <c r="S450" s="29"/>
      <c r="T450" s="29"/>
      <c r="U450" s="29"/>
      <c r="V450" s="29"/>
      <c r="W450" s="29"/>
      <c r="X450" s="29"/>
      <c r="Y450" s="29"/>
      <c r="Z450" s="29"/>
    </row>
    <row r="451" spans="1:26" ht="15">
      <c r="A451" s="29"/>
      <c r="B451" s="29"/>
      <c r="C451" s="29"/>
      <c r="D451" s="33"/>
      <c r="E451" s="33"/>
      <c r="F451" s="33"/>
      <c r="G451" s="33"/>
      <c r="I451" s="29"/>
      <c r="J451" s="29"/>
      <c r="K451" s="29"/>
      <c r="L451" s="29"/>
      <c r="M451" s="29"/>
      <c r="N451" s="29"/>
      <c r="O451" s="29"/>
      <c r="P451" s="29"/>
      <c r="Q451" s="29"/>
      <c r="R451" s="29"/>
      <c r="S451" s="29"/>
      <c r="T451" s="29"/>
      <c r="U451" s="29"/>
      <c r="V451" s="29"/>
      <c r="W451" s="29"/>
      <c r="X451" s="29"/>
      <c r="Y451" s="29"/>
      <c r="Z451" s="29"/>
    </row>
    <row r="452" spans="1:26" ht="15">
      <c r="A452" s="29"/>
      <c r="B452" s="29"/>
      <c r="C452" s="29"/>
      <c r="D452" s="33"/>
      <c r="E452" s="33"/>
      <c r="F452" s="33"/>
      <c r="G452" s="33"/>
      <c r="I452" s="29"/>
      <c r="J452" s="29"/>
      <c r="K452" s="29"/>
      <c r="L452" s="29"/>
      <c r="M452" s="29"/>
      <c r="N452" s="29"/>
      <c r="O452" s="29"/>
      <c r="P452" s="29"/>
      <c r="Q452" s="29"/>
      <c r="R452" s="29"/>
      <c r="S452" s="29"/>
      <c r="T452" s="29"/>
      <c r="U452" s="29"/>
      <c r="V452" s="29"/>
      <c r="W452" s="29"/>
      <c r="X452" s="29"/>
      <c r="Y452" s="29"/>
      <c r="Z452" s="29"/>
    </row>
    <row r="453" spans="1:26" ht="15">
      <c r="A453" s="29"/>
      <c r="B453" s="29"/>
      <c r="C453" s="29"/>
      <c r="D453" s="33"/>
      <c r="E453" s="33"/>
      <c r="F453" s="33"/>
      <c r="G453" s="33"/>
      <c r="I453" s="29"/>
      <c r="J453" s="29"/>
      <c r="K453" s="29"/>
      <c r="L453" s="29"/>
      <c r="M453" s="29"/>
      <c r="N453" s="29"/>
      <c r="O453" s="29"/>
      <c r="P453" s="29"/>
      <c r="Q453" s="29"/>
      <c r="R453" s="29"/>
      <c r="S453" s="29"/>
      <c r="T453" s="29"/>
      <c r="U453" s="29"/>
      <c r="V453" s="29"/>
      <c r="W453" s="29"/>
      <c r="X453" s="29"/>
      <c r="Y453" s="29"/>
      <c r="Z453" s="29"/>
    </row>
    <row r="454" spans="1:26" ht="15">
      <c r="A454" s="29"/>
      <c r="B454" s="29"/>
      <c r="C454" s="29"/>
      <c r="D454" s="33"/>
      <c r="E454" s="33"/>
      <c r="F454" s="33"/>
      <c r="G454" s="33"/>
      <c r="I454" s="29"/>
      <c r="J454" s="29"/>
      <c r="K454" s="29"/>
      <c r="L454" s="29"/>
      <c r="M454" s="29"/>
      <c r="N454" s="29"/>
      <c r="O454" s="29"/>
      <c r="P454" s="29"/>
      <c r="Q454" s="29"/>
      <c r="R454" s="29"/>
      <c r="S454" s="29"/>
      <c r="T454" s="29"/>
      <c r="U454" s="29"/>
      <c r="V454" s="29"/>
      <c r="W454" s="29"/>
      <c r="X454" s="29"/>
      <c r="Y454" s="29"/>
      <c r="Z454" s="29"/>
    </row>
    <row r="455" spans="1:26" ht="15">
      <c r="A455" s="29"/>
      <c r="B455" s="29"/>
      <c r="C455" s="29"/>
      <c r="D455" s="33"/>
      <c r="E455" s="33"/>
      <c r="F455" s="33"/>
      <c r="G455" s="33"/>
      <c r="I455" s="29"/>
      <c r="J455" s="29"/>
      <c r="K455" s="29"/>
      <c r="L455" s="29"/>
      <c r="M455" s="29"/>
      <c r="N455" s="29"/>
      <c r="O455" s="29"/>
      <c r="P455" s="29"/>
      <c r="Q455" s="29"/>
      <c r="R455" s="29"/>
      <c r="S455" s="29"/>
      <c r="T455" s="29"/>
      <c r="U455" s="29"/>
      <c r="V455" s="29"/>
      <c r="W455" s="29"/>
      <c r="X455" s="29"/>
      <c r="Y455" s="29"/>
      <c r="Z455" s="29"/>
    </row>
    <row r="456" spans="1:26" ht="15">
      <c r="A456" s="29"/>
      <c r="B456" s="29"/>
      <c r="C456" s="29"/>
      <c r="D456" s="33"/>
      <c r="E456" s="33"/>
      <c r="F456" s="33"/>
      <c r="G456" s="33"/>
      <c r="I456" s="29"/>
      <c r="J456" s="29"/>
      <c r="K456" s="29"/>
      <c r="L456" s="29"/>
      <c r="M456" s="29"/>
      <c r="N456" s="29"/>
      <c r="O456" s="29"/>
      <c r="P456" s="29"/>
      <c r="Q456" s="29"/>
      <c r="R456" s="29"/>
      <c r="S456" s="29"/>
      <c r="T456" s="29"/>
      <c r="U456" s="29"/>
      <c r="V456" s="29"/>
      <c r="W456" s="29"/>
      <c r="X456" s="29"/>
      <c r="Y456" s="29"/>
      <c r="Z456" s="29"/>
    </row>
    <row r="457" spans="1:26" ht="15">
      <c r="A457" s="29"/>
      <c r="B457" s="29"/>
      <c r="C457" s="29"/>
      <c r="D457" s="33"/>
      <c r="E457" s="33"/>
      <c r="F457" s="33"/>
      <c r="G457" s="33"/>
      <c r="I457" s="29"/>
      <c r="J457" s="29"/>
      <c r="K457" s="29"/>
      <c r="L457" s="29"/>
      <c r="M457" s="29"/>
      <c r="N457" s="29"/>
      <c r="O457" s="29"/>
      <c r="P457" s="29"/>
      <c r="Q457" s="29"/>
      <c r="R457" s="29"/>
      <c r="S457" s="29"/>
      <c r="T457" s="29"/>
      <c r="U457" s="29"/>
      <c r="V457" s="29"/>
      <c r="W457" s="29"/>
      <c r="X457" s="29"/>
      <c r="Y457" s="29"/>
      <c r="Z457" s="29"/>
    </row>
    <row r="458" spans="1:26" ht="15">
      <c r="A458" s="29"/>
      <c r="B458" s="29"/>
      <c r="C458" s="29"/>
      <c r="D458" s="33"/>
      <c r="E458" s="33"/>
      <c r="F458" s="33"/>
      <c r="G458" s="33"/>
      <c r="I458" s="29"/>
      <c r="J458" s="29"/>
      <c r="K458" s="29"/>
      <c r="L458" s="29"/>
      <c r="M458" s="29"/>
      <c r="N458" s="29"/>
      <c r="O458" s="29"/>
      <c r="P458" s="29"/>
      <c r="Q458" s="29"/>
      <c r="R458" s="29"/>
      <c r="S458" s="29"/>
      <c r="T458" s="29"/>
      <c r="U458" s="29"/>
      <c r="V458" s="29"/>
      <c r="W458" s="29"/>
      <c r="X458" s="29"/>
      <c r="Y458" s="29"/>
      <c r="Z458" s="29"/>
    </row>
    <row r="459" spans="1:26" ht="15">
      <c r="A459" s="29"/>
      <c r="B459" s="29"/>
      <c r="C459" s="29"/>
      <c r="D459" s="33"/>
      <c r="E459" s="33"/>
      <c r="F459" s="33"/>
      <c r="G459" s="33"/>
      <c r="I459" s="29"/>
      <c r="J459" s="29"/>
      <c r="K459" s="29"/>
      <c r="L459" s="29"/>
      <c r="M459" s="29"/>
      <c r="N459" s="29"/>
      <c r="O459" s="29"/>
      <c r="P459" s="29"/>
      <c r="Q459" s="29"/>
      <c r="R459" s="29"/>
      <c r="S459" s="29"/>
      <c r="T459" s="29"/>
      <c r="U459" s="29"/>
      <c r="V459" s="29"/>
      <c r="W459" s="29"/>
      <c r="X459" s="29"/>
      <c r="Y459" s="29"/>
      <c r="Z459" s="29"/>
    </row>
    <row r="460" spans="1:26" ht="15">
      <c r="A460" s="29"/>
      <c r="B460" s="29"/>
      <c r="C460" s="29"/>
      <c r="D460" s="33"/>
      <c r="E460" s="33"/>
      <c r="F460" s="33"/>
      <c r="G460" s="33"/>
      <c r="I460" s="29"/>
      <c r="J460" s="29"/>
      <c r="K460" s="29"/>
      <c r="L460" s="29"/>
      <c r="M460" s="29"/>
      <c r="N460" s="29"/>
      <c r="O460" s="29"/>
      <c r="P460" s="29"/>
      <c r="Q460" s="29"/>
      <c r="R460" s="29"/>
      <c r="S460" s="29"/>
      <c r="T460" s="29"/>
      <c r="U460" s="29"/>
      <c r="V460" s="29"/>
      <c r="W460" s="29"/>
      <c r="X460" s="29"/>
      <c r="Y460" s="29"/>
      <c r="Z460" s="29"/>
    </row>
    <row r="461" spans="1:26" ht="15">
      <c r="A461" s="29"/>
      <c r="B461" s="29"/>
      <c r="C461" s="29"/>
      <c r="D461" s="33"/>
      <c r="E461" s="33"/>
      <c r="F461" s="33"/>
      <c r="G461" s="33"/>
      <c r="I461" s="29"/>
      <c r="J461" s="29"/>
      <c r="K461" s="29"/>
      <c r="L461" s="29"/>
      <c r="M461" s="29"/>
      <c r="N461" s="29"/>
      <c r="O461" s="29"/>
      <c r="P461" s="29"/>
      <c r="Q461" s="29"/>
      <c r="R461" s="29"/>
      <c r="S461" s="29"/>
      <c r="T461" s="29"/>
      <c r="U461" s="29"/>
      <c r="V461" s="29"/>
      <c r="W461" s="29"/>
      <c r="X461" s="29"/>
      <c r="Y461" s="29"/>
      <c r="Z461" s="29"/>
    </row>
    <row r="462" spans="1:26" ht="15">
      <c r="A462" s="29"/>
      <c r="B462" s="29"/>
      <c r="C462" s="29"/>
      <c r="D462" s="33"/>
      <c r="E462" s="33"/>
      <c r="F462" s="33"/>
      <c r="G462" s="33"/>
      <c r="I462" s="29"/>
      <c r="J462" s="29"/>
      <c r="K462" s="29"/>
      <c r="L462" s="29"/>
      <c r="M462" s="29"/>
      <c r="N462" s="29"/>
      <c r="O462" s="29"/>
      <c r="P462" s="29"/>
      <c r="Q462" s="29"/>
      <c r="R462" s="29"/>
      <c r="S462" s="29"/>
      <c r="T462" s="29"/>
      <c r="U462" s="29"/>
      <c r="V462" s="29"/>
      <c r="W462" s="29"/>
      <c r="X462" s="29"/>
      <c r="Y462" s="29"/>
      <c r="Z462" s="29"/>
    </row>
    <row r="463" spans="1:26" ht="15">
      <c r="A463" s="29"/>
      <c r="B463" s="29"/>
      <c r="C463" s="29"/>
      <c r="D463" s="33"/>
      <c r="E463" s="33"/>
      <c r="F463" s="33"/>
      <c r="G463" s="33"/>
      <c r="I463" s="29"/>
      <c r="J463" s="29"/>
      <c r="K463" s="29"/>
      <c r="L463" s="29"/>
      <c r="M463" s="29"/>
      <c r="N463" s="29"/>
      <c r="O463" s="29"/>
      <c r="P463" s="29"/>
      <c r="Q463" s="29"/>
      <c r="R463" s="29"/>
      <c r="S463" s="29"/>
      <c r="T463" s="29"/>
      <c r="U463" s="29"/>
      <c r="V463" s="29"/>
      <c r="W463" s="29"/>
      <c r="X463" s="29"/>
      <c r="Y463" s="29"/>
      <c r="Z463" s="29"/>
    </row>
    <row r="464" spans="1:26" ht="15">
      <c r="A464" s="29"/>
      <c r="B464" s="29"/>
      <c r="C464" s="29"/>
      <c r="D464" s="33"/>
      <c r="E464" s="33"/>
      <c r="F464" s="33"/>
      <c r="G464" s="33"/>
      <c r="I464" s="29"/>
      <c r="J464" s="29"/>
      <c r="K464" s="29"/>
      <c r="L464" s="29"/>
      <c r="M464" s="29"/>
      <c r="N464" s="29"/>
      <c r="O464" s="29"/>
      <c r="P464" s="29"/>
      <c r="Q464" s="29"/>
      <c r="R464" s="29"/>
      <c r="S464" s="29"/>
      <c r="T464" s="29"/>
      <c r="U464" s="29"/>
      <c r="V464" s="29"/>
      <c r="W464" s="29"/>
      <c r="X464" s="29"/>
      <c r="Y464" s="29"/>
      <c r="Z464" s="29"/>
    </row>
    <row r="465" spans="1:26" ht="15">
      <c r="A465" s="29"/>
      <c r="B465" s="29"/>
      <c r="C465" s="29"/>
      <c r="D465" s="33"/>
      <c r="E465" s="33"/>
      <c r="F465" s="33"/>
      <c r="G465" s="33"/>
      <c r="I465" s="29"/>
      <c r="J465" s="29"/>
      <c r="K465" s="29"/>
      <c r="L465" s="29"/>
      <c r="M465" s="29"/>
      <c r="N465" s="29"/>
      <c r="O465" s="29"/>
      <c r="P465" s="29"/>
      <c r="Q465" s="29"/>
      <c r="R465" s="29"/>
      <c r="S465" s="29"/>
      <c r="T465" s="29"/>
      <c r="U465" s="29"/>
      <c r="V465" s="29"/>
      <c r="W465" s="29"/>
      <c r="X465" s="29"/>
      <c r="Y465" s="29"/>
      <c r="Z465" s="29"/>
    </row>
    <row r="466" spans="1:26" ht="15">
      <c r="A466" s="29"/>
      <c r="B466" s="29"/>
      <c r="C466" s="29"/>
      <c r="D466" s="33"/>
      <c r="E466" s="33"/>
      <c r="F466" s="33"/>
      <c r="G466" s="33"/>
      <c r="I466" s="29"/>
      <c r="J466" s="29"/>
      <c r="K466" s="29"/>
      <c r="L466" s="29"/>
      <c r="M466" s="29"/>
      <c r="N466" s="29"/>
      <c r="O466" s="29"/>
      <c r="P466" s="29"/>
      <c r="Q466" s="29"/>
      <c r="R466" s="29"/>
      <c r="S466" s="29"/>
      <c r="T466" s="29"/>
      <c r="U466" s="29"/>
      <c r="V466" s="29"/>
      <c r="W466" s="29"/>
      <c r="X466" s="29"/>
      <c r="Y466" s="29"/>
      <c r="Z466" s="29"/>
    </row>
    <row r="467" spans="1:26" ht="15">
      <c r="A467" s="29"/>
      <c r="B467" s="29"/>
      <c r="C467" s="29"/>
      <c r="D467" s="33"/>
      <c r="E467" s="33"/>
      <c r="F467" s="33"/>
      <c r="G467" s="33"/>
      <c r="I467" s="29"/>
      <c r="J467" s="29"/>
      <c r="K467" s="29"/>
      <c r="L467" s="29"/>
      <c r="M467" s="29"/>
      <c r="N467" s="29"/>
      <c r="O467" s="29"/>
      <c r="P467" s="29"/>
      <c r="Q467" s="29"/>
      <c r="R467" s="29"/>
      <c r="S467" s="29"/>
      <c r="T467" s="29"/>
      <c r="U467" s="29"/>
      <c r="V467" s="29"/>
      <c r="W467" s="29"/>
      <c r="X467" s="29"/>
      <c r="Y467" s="29"/>
      <c r="Z467" s="29"/>
    </row>
    <row r="468" spans="1:26" ht="15">
      <c r="A468" s="29"/>
      <c r="B468" s="29"/>
      <c r="C468" s="29"/>
      <c r="D468" s="33"/>
      <c r="E468" s="33"/>
      <c r="F468" s="33"/>
      <c r="G468" s="33"/>
      <c r="I468" s="29"/>
      <c r="J468" s="29"/>
      <c r="K468" s="29"/>
      <c r="L468" s="29"/>
      <c r="M468" s="29"/>
      <c r="N468" s="29"/>
      <c r="O468" s="29"/>
      <c r="P468" s="29"/>
      <c r="Q468" s="29"/>
      <c r="R468" s="29"/>
      <c r="S468" s="29"/>
      <c r="T468" s="29"/>
      <c r="U468" s="29"/>
      <c r="V468" s="29"/>
      <c r="W468" s="29"/>
      <c r="X468" s="29"/>
      <c r="Y468" s="29"/>
      <c r="Z468" s="29"/>
    </row>
    <row r="469" spans="1:26" ht="15">
      <c r="A469" s="29"/>
      <c r="B469" s="29"/>
      <c r="C469" s="29"/>
      <c r="D469" s="33"/>
      <c r="E469" s="33"/>
      <c r="F469" s="33"/>
      <c r="G469" s="33"/>
      <c r="I469" s="29"/>
      <c r="J469" s="29"/>
      <c r="K469" s="29"/>
      <c r="L469" s="29"/>
      <c r="M469" s="29"/>
      <c r="N469" s="29"/>
      <c r="O469" s="29"/>
      <c r="P469" s="29"/>
      <c r="Q469" s="29"/>
      <c r="R469" s="29"/>
      <c r="S469" s="29"/>
      <c r="T469" s="29"/>
      <c r="U469" s="29"/>
      <c r="V469" s="29"/>
      <c r="W469" s="29"/>
      <c r="X469" s="29"/>
      <c r="Y469" s="29"/>
      <c r="Z469" s="29"/>
    </row>
    <row r="470" spans="1:26" ht="15">
      <c r="A470" s="29"/>
      <c r="B470" s="29"/>
      <c r="C470" s="29"/>
      <c r="D470" s="33"/>
      <c r="E470" s="33"/>
      <c r="F470" s="33"/>
      <c r="G470" s="33"/>
      <c r="I470" s="29"/>
      <c r="J470" s="29"/>
      <c r="K470" s="29"/>
      <c r="L470" s="29"/>
      <c r="M470" s="29"/>
      <c r="N470" s="29"/>
      <c r="O470" s="29"/>
      <c r="P470" s="29"/>
      <c r="Q470" s="29"/>
      <c r="R470" s="29"/>
      <c r="S470" s="29"/>
      <c r="T470" s="29"/>
      <c r="U470" s="29"/>
      <c r="V470" s="29"/>
      <c r="W470" s="29"/>
      <c r="X470" s="29"/>
      <c r="Y470" s="29"/>
      <c r="Z470" s="29"/>
    </row>
    <row r="471" spans="1:26" ht="15">
      <c r="A471" s="29"/>
      <c r="B471" s="29"/>
      <c r="C471" s="29"/>
      <c r="D471" s="33"/>
      <c r="E471" s="33"/>
      <c r="F471" s="33"/>
      <c r="G471" s="33"/>
      <c r="I471" s="29"/>
      <c r="J471" s="29"/>
      <c r="K471" s="29"/>
      <c r="L471" s="29"/>
      <c r="M471" s="29"/>
      <c r="N471" s="29"/>
      <c r="O471" s="29"/>
      <c r="P471" s="29"/>
      <c r="Q471" s="29"/>
      <c r="R471" s="29"/>
      <c r="S471" s="29"/>
      <c r="T471" s="29"/>
      <c r="U471" s="29"/>
      <c r="V471" s="29"/>
      <c r="W471" s="29"/>
      <c r="X471" s="29"/>
      <c r="Y471" s="29"/>
      <c r="Z471" s="29"/>
    </row>
    <row r="472" spans="1:26" ht="15">
      <c r="A472" s="29"/>
      <c r="B472" s="29"/>
      <c r="C472" s="29"/>
      <c r="D472" s="33"/>
      <c r="E472" s="33"/>
      <c r="F472" s="33"/>
      <c r="G472" s="33"/>
      <c r="I472" s="29"/>
      <c r="J472" s="29"/>
      <c r="K472" s="29"/>
      <c r="L472" s="29"/>
      <c r="M472" s="29"/>
      <c r="N472" s="29"/>
      <c r="O472" s="29"/>
      <c r="P472" s="29"/>
      <c r="Q472" s="29"/>
      <c r="R472" s="29"/>
      <c r="S472" s="29"/>
      <c r="T472" s="29"/>
      <c r="U472" s="29"/>
      <c r="V472" s="29"/>
      <c r="W472" s="29"/>
      <c r="X472" s="29"/>
      <c r="Y472" s="29"/>
      <c r="Z472" s="29"/>
    </row>
    <row r="473" spans="1:26" ht="15">
      <c r="A473" s="29"/>
      <c r="B473" s="29"/>
      <c r="C473" s="29"/>
      <c r="D473" s="33"/>
      <c r="E473" s="33"/>
      <c r="F473" s="33"/>
      <c r="G473" s="33"/>
      <c r="I473" s="29"/>
      <c r="J473" s="29"/>
      <c r="K473" s="29"/>
      <c r="L473" s="29"/>
      <c r="M473" s="29"/>
      <c r="N473" s="29"/>
      <c r="O473" s="29"/>
      <c r="P473" s="29"/>
      <c r="Q473" s="29"/>
      <c r="R473" s="29"/>
      <c r="S473" s="29"/>
      <c r="T473" s="29"/>
      <c r="U473" s="29"/>
      <c r="V473" s="29"/>
      <c r="W473" s="29"/>
      <c r="X473" s="29"/>
      <c r="Y473" s="29"/>
      <c r="Z473" s="29"/>
    </row>
    <row r="474" spans="1:26" ht="15">
      <c r="A474" s="29"/>
      <c r="B474" s="29"/>
      <c r="C474" s="29"/>
      <c r="D474" s="33"/>
      <c r="E474" s="33"/>
      <c r="F474" s="33"/>
      <c r="G474" s="33"/>
      <c r="I474" s="29"/>
      <c r="J474" s="29"/>
      <c r="K474" s="29"/>
      <c r="L474" s="29"/>
      <c r="M474" s="29"/>
      <c r="N474" s="29"/>
      <c r="O474" s="29"/>
      <c r="P474" s="29"/>
      <c r="Q474" s="29"/>
      <c r="R474" s="29"/>
      <c r="S474" s="29"/>
      <c r="T474" s="29"/>
      <c r="U474" s="29"/>
      <c r="V474" s="29"/>
      <c r="W474" s="29"/>
      <c r="X474" s="29"/>
      <c r="Y474" s="29"/>
      <c r="Z474" s="29"/>
    </row>
    <row r="475" spans="1:26" ht="15">
      <c r="A475" s="29"/>
      <c r="B475" s="29"/>
      <c r="C475" s="29"/>
      <c r="D475" s="33"/>
      <c r="E475" s="33"/>
      <c r="F475" s="33"/>
      <c r="G475" s="33"/>
      <c r="I475" s="29"/>
      <c r="J475" s="29"/>
      <c r="K475" s="29"/>
      <c r="L475" s="29"/>
      <c r="M475" s="29"/>
      <c r="N475" s="29"/>
      <c r="O475" s="29"/>
      <c r="P475" s="29"/>
      <c r="Q475" s="29"/>
      <c r="R475" s="29"/>
      <c r="S475" s="29"/>
      <c r="T475" s="29"/>
      <c r="U475" s="29"/>
      <c r="V475" s="29"/>
      <c r="W475" s="29"/>
      <c r="X475" s="29"/>
      <c r="Y475" s="29"/>
      <c r="Z475" s="29"/>
    </row>
    <row r="476" spans="1:26" ht="15">
      <c r="A476" s="29"/>
      <c r="B476" s="29"/>
      <c r="C476" s="29"/>
      <c r="D476" s="33"/>
      <c r="E476" s="33"/>
      <c r="F476" s="33"/>
      <c r="G476" s="33"/>
      <c r="I476" s="29"/>
      <c r="J476" s="29"/>
      <c r="K476" s="29"/>
      <c r="L476" s="29"/>
      <c r="M476" s="29"/>
      <c r="N476" s="29"/>
      <c r="O476" s="29"/>
      <c r="P476" s="29"/>
      <c r="Q476" s="29"/>
      <c r="R476" s="29"/>
      <c r="S476" s="29"/>
      <c r="T476" s="29"/>
      <c r="U476" s="29"/>
      <c r="V476" s="29"/>
      <c r="W476" s="29"/>
      <c r="X476" s="29"/>
      <c r="Y476" s="29"/>
      <c r="Z476" s="29"/>
    </row>
    <row r="477" spans="1:26" ht="15">
      <c r="A477" s="29"/>
      <c r="B477" s="29"/>
      <c r="C477" s="29"/>
      <c r="D477" s="33"/>
      <c r="E477" s="33"/>
      <c r="F477" s="33"/>
      <c r="G477" s="33"/>
      <c r="I477" s="29"/>
      <c r="J477" s="29"/>
      <c r="K477" s="29"/>
      <c r="L477" s="29"/>
      <c r="M477" s="29"/>
      <c r="N477" s="29"/>
      <c r="O477" s="29"/>
      <c r="P477" s="29"/>
      <c r="Q477" s="29"/>
      <c r="R477" s="29"/>
      <c r="S477" s="29"/>
      <c r="T477" s="29"/>
      <c r="U477" s="29"/>
      <c r="V477" s="29"/>
      <c r="W477" s="29"/>
      <c r="X477" s="29"/>
      <c r="Y477" s="29"/>
      <c r="Z477" s="29"/>
    </row>
    <row r="478" spans="1:26" ht="15">
      <c r="A478" s="29"/>
      <c r="B478" s="29"/>
      <c r="C478" s="29"/>
      <c r="D478" s="33"/>
      <c r="E478" s="33"/>
      <c r="F478" s="33"/>
      <c r="G478" s="33"/>
      <c r="I478" s="29"/>
      <c r="J478" s="29"/>
      <c r="K478" s="29"/>
      <c r="L478" s="29"/>
      <c r="M478" s="29"/>
      <c r="N478" s="29"/>
      <c r="O478" s="29"/>
      <c r="P478" s="29"/>
      <c r="Q478" s="29"/>
      <c r="R478" s="29"/>
      <c r="S478" s="29"/>
      <c r="T478" s="29"/>
      <c r="U478" s="29"/>
      <c r="V478" s="29"/>
      <c r="W478" s="29"/>
      <c r="X478" s="29"/>
      <c r="Y478" s="29"/>
      <c r="Z478" s="29"/>
    </row>
    <row r="479" spans="1:26" ht="15">
      <c r="A479" s="29"/>
      <c r="B479" s="29"/>
      <c r="C479" s="29"/>
      <c r="D479" s="33"/>
      <c r="E479" s="33"/>
      <c r="F479" s="33"/>
      <c r="G479" s="33"/>
      <c r="I479" s="29"/>
      <c r="J479" s="29"/>
      <c r="K479" s="29"/>
      <c r="L479" s="29"/>
      <c r="M479" s="29"/>
      <c r="N479" s="29"/>
      <c r="O479" s="29"/>
      <c r="P479" s="29"/>
      <c r="Q479" s="29"/>
      <c r="R479" s="29"/>
      <c r="S479" s="29"/>
      <c r="T479" s="29"/>
      <c r="U479" s="29"/>
      <c r="V479" s="29"/>
      <c r="W479" s="29"/>
      <c r="X479" s="29"/>
      <c r="Y479" s="29"/>
      <c r="Z479" s="29"/>
    </row>
    <row r="480" spans="1:26" ht="15">
      <c r="A480" s="29"/>
      <c r="B480" s="29"/>
      <c r="C480" s="29"/>
      <c r="D480" s="33"/>
      <c r="E480" s="33"/>
      <c r="F480" s="33"/>
      <c r="G480" s="33"/>
      <c r="I480" s="29"/>
      <c r="J480" s="29"/>
      <c r="K480" s="29"/>
      <c r="L480" s="29"/>
      <c r="M480" s="29"/>
      <c r="N480" s="29"/>
      <c r="O480" s="29"/>
      <c r="P480" s="29"/>
      <c r="Q480" s="29"/>
      <c r="R480" s="29"/>
      <c r="S480" s="29"/>
      <c r="T480" s="29"/>
      <c r="U480" s="29"/>
      <c r="V480" s="29"/>
      <c r="W480" s="29"/>
      <c r="X480" s="29"/>
      <c r="Y480" s="29"/>
      <c r="Z480" s="29"/>
    </row>
    <row r="481" spans="1:26" ht="15">
      <c r="A481" s="29"/>
      <c r="B481" s="29"/>
      <c r="C481" s="29"/>
      <c r="D481" s="33"/>
      <c r="E481" s="33"/>
      <c r="F481" s="33"/>
      <c r="G481" s="33"/>
      <c r="I481" s="29"/>
      <c r="J481" s="29"/>
      <c r="K481" s="29"/>
      <c r="L481" s="29"/>
      <c r="M481" s="29"/>
      <c r="N481" s="29"/>
      <c r="O481" s="29"/>
      <c r="P481" s="29"/>
      <c r="Q481" s="29"/>
      <c r="R481" s="29"/>
      <c r="S481" s="29"/>
      <c r="T481" s="29"/>
      <c r="U481" s="29"/>
      <c r="V481" s="29"/>
      <c r="W481" s="29"/>
      <c r="X481" s="29"/>
      <c r="Y481" s="29"/>
      <c r="Z481" s="29"/>
    </row>
    <row r="482" spans="1:26" ht="15">
      <c r="A482" s="29"/>
      <c r="B482" s="29"/>
      <c r="C482" s="29"/>
      <c r="D482" s="33"/>
      <c r="E482" s="33"/>
      <c r="F482" s="33"/>
      <c r="G482" s="33"/>
      <c r="I482" s="29"/>
      <c r="J482" s="29"/>
      <c r="K482" s="29"/>
      <c r="L482" s="29"/>
      <c r="M482" s="29"/>
      <c r="N482" s="29"/>
      <c r="O482" s="29"/>
      <c r="P482" s="29"/>
      <c r="Q482" s="29"/>
      <c r="R482" s="29"/>
      <c r="S482" s="29"/>
      <c r="T482" s="29"/>
      <c r="U482" s="29"/>
      <c r="V482" s="29"/>
      <c r="W482" s="29"/>
      <c r="X482" s="29"/>
      <c r="Y482" s="29"/>
      <c r="Z482" s="29"/>
    </row>
    <row r="483" spans="1:26" ht="15">
      <c r="A483" s="29"/>
      <c r="B483" s="29"/>
      <c r="C483" s="29"/>
      <c r="D483" s="33"/>
      <c r="E483" s="33"/>
      <c r="F483" s="33"/>
      <c r="G483" s="33"/>
      <c r="I483" s="29"/>
      <c r="J483" s="29"/>
      <c r="K483" s="29"/>
      <c r="L483" s="29"/>
      <c r="M483" s="29"/>
      <c r="N483" s="29"/>
      <c r="O483" s="29"/>
      <c r="P483" s="29"/>
      <c r="Q483" s="29"/>
      <c r="R483" s="29"/>
      <c r="S483" s="29"/>
      <c r="T483" s="29"/>
      <c r="U483" s="29"/>
      <c r="V483" s="29"/>
      <c r="W483" s="29"/>
      <c r="X483" s="29"/>
      <c r="Y483" s="29"/>
      <c r="Z483" s="29"/>
    </row>
    <row r="484" spans="1:26" ht="15">
      <c r="A484" s="29"/>
      <c r="B484" s="29"/>
      <c r="C484" s="29"/>
      <c r="D484" s="33"/>
      <c r="E484" s="33"/>
      <c r="F484" s="33"/>
      <c r="G484" s="33"/>
      <c r="I484" s="29"/>
      <c r="J484" s="29"/>
      <c r="K484" s="29"/>
      <c r="L484" s="29"/>
      <c r="M484" s="29"/>
      <c r="N484" s="29"/>
      <c r="O484" s="29"/>
      <c r="P484" s="29"/>
      <c r="Q484" s="29"/>
      <c r="R484" s="29"/>
      <c r="S484" s="29"/>
      <c r="T484" s="29"/>
      <c r="U484" s="29"/>
      <c r="V484" s="29"/>
      <c r="W484" s="29"/>
      <c r="X484" s="29"/>
      <c r="Y484" s="29"/>
      <c r="Z484" s="29"/>
    </row>
    <row r="485" spans="1:26" ht="15">
      <c r="A485" s="29"/>
      <c r="B485" s="29"/>
      <c r="C485" s="29"/>
      <c r="D485" s="33"/>
      <c r="E485" s="33"/>
      <c r="F485" s="33"/>
      <c r="G485" s="33"/>
      <c r="I485" s="29"/>
      <c r="J485" s="29"/>
      <c r="K485" s="29"/>
      <c r="L485" s="29"/>
      <c r="M485" s="29"/>
      <c r="N485" s="29"/>
      <c r="O485" s="29"/>
      <c r="P485" s="29"/>
      <c r="Q485" s="29"/>
      <c r="R485" s="29"/>
      <c r="S485" s="29"/>
      <c r="T485" s="29"/>
      <c r="U485" s="29"/>
      <c r="V485" s="29"/>
      <c r="W485" s="29"/>
      <c r="X485" s="29"/>
      <c r="Y485" s="29"/>
      <c r="Z485" s="29"/>
    </row>
    <row r="486" spans="1:26" ht="15">
      <c r="A486" s="29"/>
      <c r="B486" s="29"/>
      <c r="C486" s="29"/>
      <c r="D486" s="33"/>
      <c r="E486" s="33"/>
      <c r="F486" s="33"/>
      <c r="G486" s="33"/>
      <c r="I486" s="29"/>
      <c r="J486" s="29"/>
      <c r="K486" s="29"/>
      <c r="L486" s="29"/>
      <c r="M486" s="29"/>
      <c r="N486" s="29"/>
      <c r="O486" s="29"/>
      <c r="P486" s="29"/>
      <c r="Q486" s="29"/>
      <c r="R486" s="29"/>
      <c r="S486" s="29"/>
      <c r="T486" s="29"/>
      <c r="U486" s="29"/>
      <c r="V486" s="29"/>
      <c r="W486" s="29"/>
      <c r="X486" s="29"/>
      <c r="Y486" s="29"/>
      <c r="Z486" s="29"/>
    </row>
    <row r="487" spans="1:26" ht="15">
      <c r="A487" s="29"/>
      <c r="B487" s="29"/>
      <c r="C487" s="29"/>
      <c r="D487" s="33"/>
      <c r="E487" s="33"/>
      <c r="F487" s="33"/>
      <c r="G487" s="33"/>
      <c r="I487" s="29"/>
      <c r="J487" s="29"/>
      <c r="K487" s="29"/>
      <c r="L487" s="29"/>
      <c r="M487" s="29"/>
      <c r="N487" s="29"/>
      <c r="O487" s="29"/>
      <c r="P487" s="29"/>
      <c r="Q487" s="29"/>
      <c r="R487" s="29"/>
      <c r="S487" s="29"/>
      <c r="T487" s="29"/>
      <c r="U487" s="29"/>
      <c r="V487" s="29"/>
      <c r="W487" s="29"/>
      <c r="X487" s="29"/>
      <c r="Y487" s="29"/>
      <c r="Z487" s="29"/>
    </row>
    <row r="488" spans="1:26" ht="15">
      <c r="A488" s="29"/>
      <c r="B488" s="29"/>
      <c r="C488" s="29"/>
      <c r="D488" s="33"/>
      <c r="E488" s="33"/>
      <c r="F488" s="33"/>
      <c r="G488" s="33"/>
      <c r="I488" s="29"/>
      <c r="J488" s="29"/>
      <c r="K488" s="29"/>
      <c r="L488" s="29"/>
      <c r="M488" s="29"/>
      <c r="N488" s="29"/>
      <c r="O488" s="29"/>
      <c r="P488" s="29"/>
      <c r="Q488" s="29"/>
      <c r="R488" s="29"/>
      <c r="S488" s="29"/>
      <c r="T488" s="29"/>
      <c r="U488" s="29"/>
      <c r="V488" s="29"/>
      <c r="W488" s="29"/>
      <c r="X488" s="29"/>
      <c r="Y488" s="29"/>
      <c r="Z488" s="29"/>
    </row>
    <row r="489" spans="1:26" ht="15">
      <c r="A489" s="29"/>
      <c r="B489" s="29"/>
      <c r="C489" s="29"/>
      <c r="D489" s="33"/>
      <c r="E489" s="33"/>
      <c r="F489" s="33"/>
      <c r="G489" s="33"/>
      <c r="I489" s="29"/>
      <c r="J489" s="29"/>
      <c r="K489" s="29"/>
      <c r="L489" s="29"/>
      <c r="M489" s="29"/>
      <c r="N489" s="29"/>
      <c r="O489" s="29"/>
      <c r="P489" s="29"/>
      <c r="Q489" s="29"/>
      <c r="R489" s="29"/>
      <c r="S489" s="29"/>
      <c r="T489" s="29"/>
      <c r="U489" s="29"/>
      <c r="V489" s="29"/>
      <c r="W489" s="29"/>
      <c r="X489" s="29"/>
      <c r="Y489" s="29"/>
      <c r="Z489" s="29"/>
    </row>
    <row r="490" spans="1:26" ht="15">
      <c r="A490" s="29"/>
      <c r="B490" s="29"/>
      <c r="C490" s="29"/>
      <c r="D490" s="33"/>
      <c r="E490" s="33"/>
      <c r="F490" s="33"/>
      <c r="G490" s="33"/>
      <c r="I490" s="29"/>
      <c r="J490" s="29"/>
      <c r="K490" s="29"/>
      <c r="L490" s="29"/>
      <c r="M490" s="29"/>
      <c r="N490" s="29"/>
      <c r="O490" s="29"/>
      <c r="P490" s="29"/>
      <c r="Q490" s="29"/>
      <c r="R490" s="29"/>
      <c r="S490" s="29"/>
      <c r="T490" s="29"/>
      <c r="U490" s="29"/>
      <c r="V490" s="29"/>
      <c r="W490" s="29"/>
      <c r="X490" s="29"/>
      <c r="Y490" s="29"/>
      <c r="Z490" s="29"/>
    </row>
    <row r="491" spans="1:26" ht="15">
      <c r="A491" s="29"/>
      <c r="B491" s="29"/>
      <c r="C491" s="29"/>
      <c r="D491" s="33"/>
      <c r="E491" s="33"/>
      <c r="F491" s="33"/>
      <c r="G491" s="33"/>
      <c r="I491" s="29"/>
      <c r="J491" s="29"/>
      <c r="K491" s="29"/>
      <c r="L491" s="29"/>
      <c r="M491" s="29"/>
      <c r="N491" s="29"/>
      <c r="O491" s="29"/>
      <c r="P491" s="29"/>
      <c r="Q491" s="29"/>
      <c r="R491" s="29"/>
      <c r="S491" s="29"/>
      <c r="T491" s="29"/>
      <c r="U491" s="29"/>
      <c r="V491" s="29"/>
      <c r="W491" s="29"/>
      <c r="X491" s="29"/>
      <c r="Y491" s="29"/>
      <c r="Z491" s="29"/>
    </row>
    <row r="492" spans="1:26" ht="15">
      <c r="A492" s="29"/>
      <c r="B492" s="29"/>
      <c r="C492" s="29"/>
      <c r="D492" s="33"/>
      <c r="E492" s="33"/>
      <c r="F492" s="33"/>
      <c r="G492" s="33"/>
      <c r="I492" s="29"/>
      <c r="J492" s="29"/>
      <c r="K492" s="29"/>
      <c r="L492" s="29"/>
      <c r="M492" s="29"/>
      <c r="N492" s="29"/>
      <c r="O492" s="29"/>
      <c r="P492" s="29"/>
      <c r="Q492" s="29"/>
      <c r="R492" s="29"/>
      <c r="S492" s="29"/>
      <c r="T492" s="29"/>
      <c r="U492" s="29"/>
      <c r="V492" s="29"/>
      <c r="W492" s="29"/>
      <c r="X492" s="29"/>
      <c r="Y492" s="29"/>
      <c r="Z492" s="29"/>
    </row>
    <row r="493" spans="1:26" ht="15">
      <c r="A493" s="29"/>
      <c r="B493" s="29"/>
      <c r="C493" s="29"/>
      <c r="D493" s="33"/>
      <c r="E493" s="33"/>
      <c r="F493" s="33"/>
      <c r="G493" s="33"/>
      <c r="I493" s="29"/>
      <c r="J493" s="29"/>
      <c r="K493" s="29"/>
      <c r="L493" s="29"/>
      <c r="M493" s="29"/>
      <c r="N493" s="29"/>
      <c r="O493" s="29"/>
      <c r="P493" s="29"/>
      <c r="Q493" s="29"/>
      <c r="R493" s="29"/>
      <c r="S493" s="29"/>
      <c r="T493" s="29"/>
      <c r="U493" s="29"/>
      <c r="V493" s="29"/>
      <c r="W493" s="29"/>
      <c r="X493" s="29"/>
      <c r="Y493" s="29"/>
      <c r="Z493" s="29"/>
    </row>
    <row r="494" spans="1:26" ht="15">
      <c r="A494" s="29"/>
      <c r="B494" s="29"/>
      <c r="C494" s="29"/>
      <c r="D494" s="33"/>
      <c r="E494" s="33"/>
      <c r="F494" s="33"/>
      <c r="G494" s="33"/>
      <c r="I494" s="29"/>
      <c r="J494" s="29"/>
      <c r="K494" s="29"/>
      <c r="L494" s="29"/>
      <c r="M494" s="29"/>
      <c r="N494" s="29"/>
      <c r="O494" s="29"/>
      <c r="P494" s="29"/>
      <c r="Q494" s="29"/>
      <c r="R494" s="29"/>
      <c r="S494" s="29"/>
      <c r="T494" s="29"/>
      <c r="U494" s="29"/>
      <c r="V494" s="29"/>
      <c r="W494" s="29"/>
      <c r="X494" s="29"/>
      <c r="Y494" s="29"/>
      <c r="Z494" s="29"/>
    </row>
    <row r="495" spans="1:26" ht="15">
      <c r="A495" s="29"/>
      <c r="B495" s="29"/>
      <c r="C495" s="29"/>
      <c r="D495" s="33"/>
      <c r="E495" s="33"/>
      <c r="F495" s="33"/>
      <c r="G495" s="33"/>
      <c r="I495" s="29"/>
      <c r="J495" s="29"/>
      <c r="K495" s="29"/>
      <c r="L495" s="29"/>
      <c r="M495" s="29"/>
      <c r="N495" s="29"/>
      <c r="O495" s="29"/>
      <c r="P495" s="29"/>
      <c r="Q495" s="29"/>
      <c r="R495" s="29"/>
      <c r="S495" s="29"/>
      <c r="T495" s="29"/>
      <c r="U495" s="29"/>
      <c r="V495" s="29"/>
      <c r="W495" s="29"/>
      <c r="X495" s="29"/>
      <c r="Y495" s="29"/>
      <c r="Z495" s="29"/>
    </row>
    <row r="496" spans="1:26" ht="15">
      <c r="A496" s="29"/>
      <c r="B496" s="29"/>
      <c r="C496" s="29"/>
      <c r="D496" s="33"/>
      <c r="E496" s="33"/>
      <c r="F496" s="33"/>
      <c r="G496" s="33"/>
      <c r="I496" s="29"/>
      <c r="J496" s="29"/>
      <c r="K496" s="29"/>
      <c r="L496" s="29"/>
      <c r="M496" s="29"/>
      <c r="N496" s="29"/>
      <c r="O496" s="29"/>
      <c r="P496" s="29"/>
      <c r="Q496" s="29"/>
      <c r="R496" s="29"/>
      <c r="S496" s="29"/>
      <c r="T496" s="29"/>
      <c r="U496" s="29"/>
      <c r="V496" s="29"/>
      <c r="W496" s="29"/>
      <c r="X496" s="29"/>
      <c r="Y496" s="29"/>
      <c r="Z496" s="29"/>
    </row>
    <row r="497" spans="1:26" ht="15">
      <c r="A497" s="29"/>
      <c r="B497" s="29"/>
      <c r="C497" s="29"/>
      <c r="D497" s="33"/>
      <c r="E497" s="33"/>
      <c r="F497" s="33"/>
      <c r="G497" s="33"/>
      <c r="I497" s="29"/>
      <c r="J497" s="29"/>
      <c r="K497" s="29"/>
      <c r="L497" s="29"/>
      <c r="M497" s="29"/>
      <c r="N497" s="29"/>
      <c r="O497" s="29"/>
      <c r="P497" s="29"/>
      <c r="Q497" s="29"/>
      <c r="R497" s="29"/>
      <c r="S497" s="29"/>
      <c r="T497" s="29"/>
      <c r="U497" s="29"/>
      <c r="V497" s="29"/>
      <c r="W497" s="29"/>
      <c r="X497" s="29"/>
      <c r="Y497" s="29"/>
      <c r="Z497" s="29"/>
    </row>
    <row r="498" spans="1:26" ht="15">
      <c r="A498" s="29"/>
      <c r="B498" s="29"/>
      <c r="C498" s="29"/>
      <c r="D498" s="33"/>
      <c r="E498" s="33"/>
      <c r="F498" s="33"/>
      <c r="G498" s="33"/>
      <c r="I498" s="29"/>
      <c r="J498" s="29"/>
      <c r="K498" s="29"/>
      <c r="L498" s="29"/>
      <c r="M498" s="29"/>
      <c r="N498" s="29"/>
      <c r="O498" s="29"/>
      <c r="P498" s="29"/>
      <c r="Q498" s="29"/>
      <c r="R498" s="29"/>
      <c r="S498" s="29"/>
      <c r="T498" s="29"/>
      <c r="U498" s="29"/>
      <c r="V498" s="29"/>
      <c r="W498" s="29"/>
      <c r="X498" s="29"/>
      <c r="Y498" s="29"/>
      <c r="Z498" s="29"/>
    </row>
    <row r="499" spans="1:26" ht="15">
      <c r="A499" s="29"/>
      <c r="B499" s="29"/>
      <c r="C499" s="29"/>
      <c r="D499" s="33"/>
      <c r="E499" s="33"/>
      <c r="F499" s="33"/>
      <c r="G499" s="33"/>
      <c r="I499" s="29"/>
      <c r="J499" s="29"/>
      <c r="K499" s="29"/>
      <c r="L499" s="29"/>
      <c r="M499" s="29"/>
      <c r="N499" s="29"/>
      <c r="O499" s="29"/>
      <c r="P499" s="29"/>
      <c r="Q499" s="29"/>
      <c r="R499" s="29"/>
      <c r="S499" s="29"/>
      <c r="T499" s="29"/>
      <c r="U499" s="29"/>
      <c r="V499" s="29"/>
      <c r="W499" s="29"/>
      <c r="X499" s="29"/>
      <c r="Y499" s="29"/>
      <c r="Z499" s="29"/>
    </row>
    <row r="500" spans="1:26" ht="15">
      <c r="A500" s="29"/>
      <c r="B500" s="29"/>
      <c r="C500" s="29"/>
      <c r="D500" s="33"/>
      <c r="E500" s="33"/>
      <c r="F500" s="33"/>
      <c r="G500" s="33"/>
      <c r="I500" s="29"/>
      <c r="J500" s="29"/>
      <c r="K500" s="29"/>
      <c r="L500" s="29"/>
      <c r="M500" s="29"/>
      <c r="N500" s="29"/>
      <c r="O500" s="29"/>
      <c r="P500" s="29"/>
      <c r="Q500" s="29"/>
      <c r="R500" s="29"/>
      <c r="S500" s="29"/>
      <c r="T500" s="29"/>
      <c r="U500" s="29"/>
      <c r="V500" s="29"/>
      <c r="W500" s="29"/>
      <c r="X500" s="29"/>
      <c r="Y500" s="29"/>
      <c r="Z500" s="29"/>
    </row>
    <row r="501" spans="1:26" ht="15">
      <c r="A501" s="29"/>
      <c r="B501" s="29"/>
      <c r="C501" s="29"/>
      <c r="D501" s="33"/>
      <c r="E501" s="33"/>
      <c r="F501" s="33"/>
      <c r="G501" s="33"/>
      <c r="I501" s="29"/>
      <c r="J501" s="29"/>
      <c r="K501" s="29"/>
      <c r="L501" s="29"/>
      <c r="M501" s="29"/>
      <c r="N501" s="29"/>
      <c r="O501" s="29"/>
      <c r="P501" s="29"/>
      <c r="Q501" s="29"/>
      <c r="R501" s="29"/>
      <c r="S501" s="29"/>
      <c r="T501" s="29"/>
      <c r="U501" s="29"/>
      <c r="V501" s="29"/>
      <c r="W501" s="29"/>
      <c r="X501" s="29"/>
      <c r="Y501" s="29"/>
      <c r="Z501" s="29"/>
    </row>
    <row r="502" spans="1:26" ht="15">
      <c r="A502" s="29"/>
      <c r="B502" s="29"/>
      <c r="C502" s="29"/>
      <c r="D502" s="33"/>
      <c r="E502" s="33"/>
      <c r="F502" s="33"/>
      <c r="G502" s="33"/>
      <c r="I502" s="29"/>
      <c r="J502" s="29"/>
      <c r="K502" s="29"/>
      <c r="L502" s="29"/>
      <c r="M502" s="29"/>
      <c r="N502" s="29"/>
      <c r="O502" s="29"/>
      <c r="P502" s="29"/>
      <c r="Q502" s="29"/>
      <c r="R502" s="29"/>
      <c r="S502" s="29"/>
      <c r="T502" s="29"/>
      <c r="U502" s="29"/>
      <c r="V502" s="29"/>
      <c r="W502" s="29"/>
      <c r="X502" s="29"/>
      <c r="Y502" s="29"/>
      <c r="Z502" s="29"/>
    </row>
    <row r="503" spans="1:26" ht="15">
      <c r="A503" s="29"/>
      <c r="B503" s="29"/>
      <c r="C503" s="29"/>
      <c r="D503" s="33"/>
      <c r="E503" s="33"/>
      <c r="F503" s="33"/>
      <c r="G503" s="33"/>
      <c r="I503" s="29"/>
      <c r="J503" s="29"/>
      <c r="K503" s="29"/>
      <c r="L503" s="29"/>
      <c r="M503" s="29"/>
      <c r="N503" s="29"/>
      <c r="O503" s="29"/>
      <c r="P503" s="29"/>
      <c r="Q503" s="29"/>
      <c r="R503" s="29"/>
      <c r="S503" s="29"/>
      <c r="T503" s="29"/>
      <c r="U503" s="29"/>
      <c r="V503" s="29"/>
      <c r="W503" s="29"/>
      <c r="X503" s="29"/>
      <c r="Y503" s="29"/>
      <c r="Z503" s="29"/>
    </row>
    <row r="504" spans="1:26" ht="15">
      <c r="A504" s="29"/>
      <c r="B504" s="29"/>
      <c r="C504" s="29"/>
      <c r="D504" s="33"/>
      <c r="E504" s="33"/>
      <c r="F504" s="33"/>
      <c r="G504" s="33"/>
      <c r="I504" s="29"/>
      <c r="J504" s="29"/>
      <c r="K504" s="29"/>
      <c r="L504" s="29"/>
      <c r="M504" s="29"/>
      <c r="N504" s="29"/>
      <c r="O504" s="29"/>
      <c r="P504" s="29"/>
      <c r="Q504" s="29"/>
      <c r="R504" s="29"/>
      <c r="S504" s="29"/>
      <c r="T504" s="29"/>
      <c r="U504" s="29"/>
      <c r="V504" s="29"/>
      <c r="W504" s="29"/>
      <c r="X504" s="29"/>
      <c r="Y504" s="29"/>
      <c r="Z504" s="29"/>
    </row>
    <row r="505" spans="1:26" ht="15">
      <c r="A505" s="29"/>
      <c r="B505" s="29"/>
      <c r="C505" s="29"/>
      <c r="D505" s="33"/>
      <c r="E505" s="33"/>
      <c r="F505" s="33"/>
      <c r="G505" s="33"/>
      <c r="I505" s="29"/>
      <c r="J505" s="29"/>
      <c r="K505" s="29"/>
      <c r="L505" s="29"/>
      <c r="M505" s="29"/>
      <c r="N505" s="29"/>
      <c r="O505" s="29"/>
      <c r="P505" s="29"/>
      <c r="Q505" s="29"/>
      <c r="R505" s="29"/>
      <c r="S505" s="29"/>
      <c r="T505" s="29"/>
      <c r="U505" s="29"/>
      <c r="V505" s="29"/>
      <c r="W505" s="29"/>
      <c r="X505" s="29"/>
      <c r="Y505" s="29"/>
      <c r="Z505" s="29"/>
    </row>
    <row r="506" spans="1:26" ht="15">
      <c r="A506" s="29"/>
      <c r="B506" s="29"/>
      <c r="C506" s="29"/>
      <c r="D506" s="33"/>
      <c r="E506" s="33"/>
      <c r="F506" s="33"/>
      <c r="G506" s="33"/>
      <c r="I506" s="29"/>
      <c r="J506" s="29"/>
      <c r="K506" s="29"/>
      <c r="L506" s="29"/>
      <c r="M506" s="29"/>
      <c r="N506" s="29"/>
      <c r="O506" s="29"/>
      <c r="P506" s="29"/>
      <c r="Q506" s="29"/>
      <c r="R506" s="29"/>
      <c r="S506" s="29"/>
      <c r="T506" s="29"/>
      <c r="U506" s="29"/>
      <c r="V506" s="29"/>
      <c r="W506" s="29"/>
      <c r="X506" s="29"/>
      <c r="Y506" s="29"/>
      <c r="Z506" s="29"/>
    </row>
    <row r="507" spans="1:26" ht="15">
      <c r="A507" s="29"/>
      <c r="B507" s="29"/>
      <c r="C507" s="29"/>
      <c r="D507" s="33"/>
      <c r="E507" s="33"/>
      <c r="F507" s="33"/>
      <c r="G507" s="33"/>
      <c r="I507" s="29"/>
      <c r="J507" s="29"/>
      <c r="K507" s="29"/>
      <c r="L507" s="29"/>
      <c r="M507" s="29"/>
      <c r="N507" s="29"/>
      <c r="O507" s="29"/>
      <c r="P507" s="29"/>
      <c r="Q507" s="29"/>
      <c r="R507" s="29"/>
      <c r="S507" s="29"/>
      <c r="T507" s="29"/>
      <c r="U507" s="29"/>
      <c r="V507" s="29"/>
      <c r="W507" s="29"/>
      <c r="X507" s="29"/>
      <c r="Y507" s="29"/>
      <c r="Z507" s="29"/>
    </row>
    <row r="508" spans="1:26" ht="15">
      <c r="A508" s="29"/>
      <c r="B508" s="29"/>
      <c r="C508" s="29"/>
      <c r="D508" s="33"/>
      <c r="E508" s="33"/>
      <c r="F508" s="33"/>
      <c r="G508" s="33"/>
      <c r="I508" s="29"/>
      <c r="J508" s="29"/>
      <c r="K508" s="29"/>
      <c r="L508" s="29"/>
      <c r="M508" s="29"/>
      <c r="N508" s="29"/>
      <c r="O508" s="29"/>
      <c r="P508" s="29"/>
      <c r="Q508" s="29"/>
      <c r="R508" s="29"/>
      <c r="S508" s="29"/>
      <c r="T508" s="29"/>
      <c r="U508" s="29"/>
      <c r="V508" s="29"/>
      <c r="W508" s="29"/>
      <c r="X508" s="29"/>
      <c r="Y508" s="29"/>
      <c r="Z508" s="29"/>
    </row>
    <row r="509" spans="1:26" ht="15">
      <c r="A509" s="29"/>
      <c r="B509" s="29"/>
      <c r="C509" s="29"/>
      <c r="D509" s="33"/>
      <c r="E509" s="33"/>
      <c r="F509" s="33"/>
      <c r="G509" s="33"/>
      <c r="I509" s="29"/>
      <c r="J509" s="29"/>
      <c r="K509" s="29"/>
      <c r="L509" s="29"/>
      <c r="M509" s="29"/>
      <c r="N509" s="29"/>
      <c r="O509" s="29"/>
      <c r="P509" s="29"/>
      <c r="Q509" s="29"/>
      <c r="R509" s="29"/>
      <c r="S509" s="29"/>
      <c r="T509" s="29"/>
      <c r="U509" s="29"/>
      <c r="V509" s="29"/>
      <c r="W509" s="29"/>
      <c r="X509" s="29"/>
      <c r="Y509" s="29"/>
      <c r="Z509" s="29"/>
    </row>
    <row r="510" spans="1:26" ht="15">
      <c r="A510" s="29"/>
      <c r="B510" s="29"/>
      <c r="C510" s="29"/>
      <c r="D510" s="33"/>
      <c r="E510" s="33"/>
      <c r="F510" s="33"/>
      <c r="G510" s="33"/>
      <c r="I510" s="29"/>
      <c r="J510" s="29"/>
      <c r="K510" s="29"/>
      <c r="L510" s="29"/>
      <c r="M510" s="29"/>
      <c r="N510" s="29"/>
      <c r="O510" s="29"/>
      <c r="P510" s="29"/>
      <c r="Q510" s="29"/>
      <c r="R510" s="29"/>
      <c r="S510" s="29"/>
      <c r="T510" s="29"/>
      <c r="U510" s="29"/>
      <c r="V510" s="29"/>
      <c r="W510" s="29"/>
      <c r="X510" s="29"/>
      <c r="Y510" s="29"/>
      <c r="Z510" s="29"/>
    </row>
    <row r="511" spans="1:26" ht="15">
      <c r="A511" s="29"/>
      <c r="B511" s="29"/>
      <c r="C511" s="29"/>
      <c r="D511" s="33"/>
      <c r="E511" s="33"/>
      <c r="F511" s="33"/>
      <c r="G511" s="33"/>
      <c r="I511" s="29"/>
      <c r="J511" s="29"/>
      <c r="K511" s="29"/>
      <c r="L511" s="29"/>
      <c r="M511" s="29"/>
      <c r="N511" s="29"/>
      <c r="O511" s="29"/>
      <c r="P511" s="29"/>
      <c r="Q511" s="29"/>
      <c r="R511" s="29"/>
      <c r="S511" s="29"/>
      <c r="T511" s="29"/>
      <c r="U511" s="29"/>
      <c r="V511" s="29"/>
      <c r="W511" s="29"/>
      <c r="X511" s="29"/>
      <c r="Y511" s="29"/>
      <c r="Z511" s="29"/>
    </row>
    <row r="512" spans="1:26" ht="15">
      <c r="A512" s="29"/>
      <c r="B512" s="29"/>
      <c r="C512" s="29"/>
      <c r="D512" s="33"/>
      <c r="E512" s="33"/>
      <c r="F512" s="33"/>
      <c r="G512" s="33"/>
      <c r="I512" s="29"/>
      <c r="J512" s="29"/>
      <c r="K512" s="29"/>
      <c r="L512" s="29"/>
      <c r="M512" s="29"/>
      <c r="N512" s="29"/>
      <c r="O512" s="29"/>
      <c r="P512" s="29"/>
      <c r="Q512" s="29"/>
      <c r="R512" s="29"/>
      <c r="S512" s="29"/>
      <c r="T512" s="29"/>
      <c r="U512" s="29"/>
      <c r="V512" s="29"/>
      <c r="W512" s="29"/>
      <c r="X512" s="29"/>
      <c r="Y512" s="29"/>
      <c r="Z512" s="29"/>
    </row>
    <row r="513" spans="1:26" ht="15">
      <c r="A513" s="29"/>
      <c r="B513" s="29"/>
      <c r="C513" s="29"/>
      <c r="D513" s="33"/>
      <c r="E513" s="33"/>
      <c r="F513" s="33"/>
      <c r="G513" s="33"/>
      <c r="I513" s="29"/>
      <c r="J513" s="29"/>
      <c r="K513" s="29"/>
      <c r="L513" s="29"/>
      <c r="M513" s="29"/>
      <c r="N513" s="29"/>
      <c r="O513" s="29"/>
      <c r="P513" s="29"/>
      <c r="Q513" s="29"/>
      <c r="R513" s="29"/>
      <c r="S513" s="29"/>
      <c r="T513" s="29"/>
      <c r="U513" s="29"/>
      <c r="V513" s="29"/>
      <c r="W513" s="29"/>
      <c r="X513" s="29"/>
      <c r="Y513" s="29"/>
      <c r="Z513" s="29"/>
    </row>
    <row r="514" spans="1:26" ht="15">
      <c r="A514" s="29"/>
      <c r="B514" s="29"/>
      <c r="C514" s="29"/>
      <c r="D514" s="33"/>
      <c r="E514" s="33"/>
      <c r="F514" s="33"/>
      <c r="G514" s="33"/>
      <c r="I514" s="29"/>
      <c r="J514" s="29"/>
      <c r="K514" s="29"/>
      <c r="L514" s="29"/>
      <c r="M514" s="29"/>
      <c r="N514" s="29"/>
      <c r="O514" s="29"/>
      <c r="P514" s="29"/>
      <c r="Q514" s="29"/>
      <c r="R514" s="29"/>
      <c r="S514" s="29"/>
      <c r="T514" s="29"/>
      <c r="U514" s="29"/>
      <c r="V514" s="29"/>
      <c r="W514" s="29"/>
      <c r="X514" s="29"/>
      <c r="Y514" s="29"/>
      <c r="Z514" s="29"/>
    </row>
    <row r="515" spans="1:26" ht="15">
      <c r="A515" s="29"/>
      <c r="B515" s="29"/>
      <c r="C515" s="29"/>
      <c r="D515" s="33"/>
      <c r="E515" s="33"/>
      <c r="F515" s="33"/>
      <c r="G515" s="33"/>
      <c r="I515" s="29"/>
      <c r="J515" s="29"/>
      <c r="K515" s="29"/>
      <c r="L515" s="29"/>
      <c r="M515" s="29"/>
      <c r="N515" s="29"/>
      <c r="O515" s="29"/>
      <c r="P515" s="29"/>
      <c r="Q515" s="29"/>
      <c r="R515" s="29"/>
      <c r="S515" s="29"/>
      <c r="T515" s="29"/>
      <c r="U515" s="29"/>
      <c r="V515" s="29"/>
      <c r="W515" s="29"/>
      <c r="X515" s="29"/>
      <c r="Y515" s="29"/>
      <c r="Z515" s="29"/>
    </row>
    <row r="516" spans="1:26" ht="15">
      <c r="A516" s="29"/>
      <c r="B516" s="29"/>
      <c r="C516" s="29"/>
      <c r="D516" s="33"/>
      <c r="E516" s="33"/>
      <c r="F516" s="33"/>
      <c r="G516" s="33"/>
      <c r="I516" s="29"/>
      <c r="J516" s="29"/>
      <c r="K516" s="29"/>
      <c r="L516" s="29"/>
      <c r="M516" s="29"/>
      <c r="N516" s="29"/>
      <c r="O516" s="29"/>
      <c r="P516" s="29"/>
      <c r="Q516" s="29"/>
      <c r="R516" s="29"/>
      <c r="S516" s="29"/>
      <c r="T516" s="29"/>
      <c r="U516" s="29"/>
      <c r="V516" s="29"/>
      <c r="W516" s="29"/>
      <c r="X516" s="29"/>
      <c r="Y516" s="29"/>
      <c r="Z516" s="29"/>
    </row>
    <row r="517" spans="1:26" ht="15">
      <c r="A517" s="29"/>
      <c r="B517" s="29"/>
      <c r="C517" s="29"/>
      <c r="D517" s="33"/>
      <c r="E517" s="33"/>
      <c r="F517" s="33"/>
      <c r="G517" s="33"/>
      <c r="I517" s="29"/>
      <c r="J517" s="29"/>
      <c r="K517" s="29"/>
      <c r="L517" s="29"/>
      <c r="M517" s="29"/>
      <c r="N517" s="29"/>
      <c r="O517" s="29"/>
      <c r="P517" s="29"/>
      <c r="Q517" s="29"/>
      <c r="R517" s="29"/>
      <c r="S517" s="29"/>
      <c r="T517" s="29"/>
      <c r="U517" s="29"/>
      <c r="V517" s="29"/>
      <c r="W517" s="29"/>
      <c r="X517" s="29"/>
      <c r="Y517" s="29"/>
      <c r="Z517" s="29"/>
    </row>
    <row r="518" spans="1:26" ht="15">
      <c r="A518" s="29"/>
      <c r="B518" s="29"/>
      <c r="C518" s="29"/>
      <c r="D518" s="33"/>
      <c r="E518" s="33"/>
      <c r="F518" s="33"/>
      <c r="G518" s="33"/>
      <c r="I518" s="29"/>
      <c r="J518" s="29"/>
      <c r="K518" s="29"/>
      <c r="L518" s="29"/>
      <c r="M518" s="29"/>
      <c r="N518" s="29"/>
      <c r="O518" s="29"/>
      <c r="P518" s="29"/>
      <c r="Q518" s="29"/>
      <c r="R518" s="29"/>
      <c r="S518" s="29"/>
      <c r="T518" s="29"/>
      <c r="U518" s="29"/>
      <c r="V518" s="29"/>
      <c r="W518" s="29"/>
      <c r="X518" s="29"/>
      <c r="Y518" s="29"/>
      <c r="Z518" s="29"/>
    </row>
    <row r="519" spans="1:26" ht="15">
      <c r="A519" s="29"/>
      <c r="B519" s="29"/>
      <c r="C519" s="29"/>
      <c r="D519" s="33"/>
      <c r="E519" s="33"/>
      <c r="F519" s="33"/>
      <c r="G519" s="33"/>
      <c r="I519" s="29"/>
      <c r="J519" s="29"/>
      <c r="K519" s="29"/>
      <c r="L519" s="29"/>
      <c r="M519" s="29"/>
      <c r="N519" s="29"/>
      <c r="O519" s="29"/>
      <c r="P519" s="29"/>
      <c r="Q519" s="29"/>
      <c r="R519" s="29"/>
      <c r="S519" s="29"/>
      <c r="T519" s="29"/>
      <c r="U519" s="29"/>
      <c r="V519" s="29"/>
      <c r="W519" s="29"/>
      <c r="X519" s="29"/>
      <c r="Y519" s="29"/>
      <c r="Z519" s="29"/>
    </row>
    <row r="520" spans="1:26" ht="15">
      <c r="A520" s="29"/>
      <c r="B520" s="29"/>
      <c r="C520" s="29"/>
      <c r="D520" s="33"/>
      <c r="E520" s="33"/>
      <c r="F520" s="33"/>
      <c r="G520" s="33"/>
      <c r="I520" s="29"/>
      <c r="J520" s="29"/>
      <c r="K520" s="29"/>
      <c r="L520" s="29"/>
      <c r="M520" s="29"/>
      <c r="N520" s="29"/>
      <c r="O520" s="29"/>
      <c r="P520" s="29"/>
      <c r="Q520" s="29"/>
      <c r="R520" s="29"/>
      <c r="S520" s="29"/>
      <c r="T520" s="29"/>
      <c r="U520" s="29"/>
      <c r="V520" s="29"/>
      <c r="W520" s="29"/>
      <c r="X520" s="29"/>
      <c r="Y520" s="29"/>
      <c r="Z520" s="29"/>
    </row>
    <row r="521" spans="1:26" ht="15">
      <c r="A521" s="29"/>
      <c r="B521" s="29"/>
      <c r="C521" s="29"/>
      <c r="D521" s="33"/>
      <c r="E521" s="33"/>
      <c r="F521" s="33"/>
      <c r="G521" s="33"/>
      <c r="I521" s="29"/>
      <c r="J521" s="29"/>
      <c r="K521" s="29"/>
      <c r="L521" s="29"/>
      <c r="M521" s="29"/>
      <c r="N521" s="29"/>
      <c r="O521" s="29"/>
      <c r="P521" s="29"/>
      <c r="Q521" s="29"/>
      <c r="R521" s="29"/>
      <c r="S521" s="29"/>
      <c r="T521" s="29"/>
      <c r="U521" s="29"/>
      <c r="V521" s="29"/>
      <c r="W521" s="29"/>
      <c r="X521" s="29"/>
      <c r="Y521" s="29"/>
      <c r="Z521" s="29"/>
    </row>
    <row r="522" spans="1:26" ht="15">
      <c r="A522" s="29"/>
      <c r="B522" s="29"/>
      <c r="C522" s="29"/>
      <c r="D522" s="33"/>
      <c r="E522" s="33"/>
      <c r="F522" s="33"/>
      <c r="G522" s="33"/>
      <c r="I522" s="29"/>
      <c r="J522" s="29"/>
      <c r="K522" s="29"/>
      <c r="L522" s="29"/>
      <c r="M522" s="29"/>
      <c r="N522" s="29"/>
      <c r="O522" s="29"/>
      <c r="P522" s="29"/>
      <c r="Q522" s="29"/>
      <c r="R522" s="29"/>
      <c r="S522" s="29"/>
      <c r="T522" s="29"/>
      <c r="U522" s="29"/>
      <c r="V522" s="29"/>
      <c r="W522" s="29"/>
      <c r="X522" s="29"/>
      <c r="Y522" s="29"/>
      <c r="Z522" s="29"/>
    </row>
    <row r="523" spans="1:26" ht="15">
      <c r="A523" s="29"/>
      <c r="B523" s="29"/>
      <c r="C523" s="29"/>
      <c r="D523" s="33"/>
      <c r="E523" s="33"/>
      <c r="F523" s="33"/>
      <c r="G523" s="33"/>
      <c r="I523" s="29"/>
      <c r="J523" s="29"/>
      <c r="K523" s="29"/>
      <c r="L523" s="29"/>
      <c r="M523" s="29"/>
      <c r="N523" s="29"/>
      <c r="O523" s="29"/>
      <c r="P523" s="29"/>
      <c r="Q523" s="29"/>
      <c r="R523" s="29"/>
      <c r="S523" s="29"/>
      <c r="T523" s="29"/>
      <c r="U523" s="29"/>
      <c r="V523" s="29"/>
      <c r="W523" s="29"/>
      <c r="X523" s="29"/>
      <c r="Y523" s="29"/>
      <c r="Z523" s="29"/>
    </row>
    <row r="524" spans="1:26" ht="15">
      <c r="A524" s="29"/>
      <c r="B524" s="29"/>
      <c r="C524" s="29"/>
      <c r="D524" s="33"/>
      <c r="E524" s="33"/>
      <c r="F524" s="33"/>
      <c r="G524" s="33"/>
      <c r="I524" s="29"/>
      <c r="J524" s="29"/>
      <c r="K524" s="29"/>
      <c r="L524" s="29"/>
      <c r="M524" s="29"/>
      <c r="N524" s="29"/>
      <c r="O524" s="29"/>
      <c r="P524" s="29"/>
      <c r="Q524" s="29"/>
      <c r="R524" s="29"/>
      <c r="S524" s="29"/>
      <c r="T524" s="29"/>
      <c r="U524" s="29"/>
      <c r="V524" s="29"/>
      <c r="W524" s="29"/>
      <c r="X524" s="29"/>
      <c r="Y524" s="29"/>
      <c r="Z524" s="29"/>
    </row>
    <row r="525" spans="1:26" ht="15">
      <c r="A525" s="29"/>
      <c r="B525" s="29"/>
      <c r="C525" s="29"/>
      <c r="D525" s="33"/>
      <c r="E525" s="33"/>
      <c r="F525" s="33"/>
      <c r="G525" s="33"/>
      <c r="I525" s="29"/>
      <c r="J525" s="29"/>
      <c r="K525" s="29"/>
      <c r="L525" s="29"/>
      <c r="M525" s="29"/>
      <c r="N525" s="29"/>
      <c r="O525" s="29"/>
      <c r="P525" s="29"/>
      <c r="Q525" s="29"/>
      <c r="R525" s="29"/>
      <c r="S525" s="29"/>
      <c r="T525" s="29"/>
      <c r="U525" s="29"/>
      <c r="V525" s="29"/>
      <c r="W525" s="29"/>
      <c r="X525" s="29"/>
      <c r="Y525" s="29"/>
      <c r="Z525" s="29"/>
    </row>
    <row r="526" spans="1:26" ht="15">
      <c r="A526" s="29"/>
      <c r="B526" s="29"/>
      <c r="C526" s="29"/>
      <c r="D526" s="33"/>
      <c r="E526" s="33"/>
      <c r="F526" s="33"/>
      <c r="G526" s="33"/>
      <c r="I526" s="29"/>
      <c r="J526" s="29"/>
      <c r="K526" s="29"/>
      <c r="L526" s="29"/>
      <c r="M526" s="29"/>
      <c r="N526" s="29"/>
      <c r="O526" s="29"/>
      <c r="P526" s="29"/>
      <c r="Q526" s="29"/>
      <c r="R526" s="29"/>
      <c r="S526" s="29"/>
      <c r="T526" s="29"/>
      <c r="U526" s="29"/>
      <c r="V526" s="29"/>
      <c r="W526" s="29"/>
      <c r="X526" s="29"/>
      <c r="Y526" s="29"/>
      <c r="Z526" s="29"/>
    </row>
    <row r="527" spans="1:26" ht="15">
      <c r="A527" s="29"/>
      <c r="B527" s="29"/>
      <c r="C527" s="29"/>
      <c r="D527" s="33"/>
      <c r="E527" s="33"/>
      <c r="F527" s="33"/>
      <c r="G527" s="33"/>
      <c r="I527" s="29"/>
      <c r="J527" s="29"/>
      <c r="K527" s="29"/>
      <c r="L527" s="29"/>
      <c r="M527" s="29"/>
      <c r="N527" s="29"/>
      <c r="O527" s="29"/>
      <c r="P527" s="29"/>
      <c r="Q527" s="29"/>
      <c r="R527" s="29"/>
      <c r="S527" s="29"/>
      <c r="T527" s="29"/>
      <c r="U527" s="29"/>
      <c r="V527" s="29"/>
      <c r="W527" s="29"/>
      <c r="X527" s="29"/>
      <c r="Y527" s="29"/>
      <c r="Z527" s="29"/>
    </row>
    <row r="528" spans="1:26" ht="15">
      <c r="A528" s="29"/>
      <c r="B528" s="29"/>
      <c r="C528" s="29"/>
      <c r="D528" s="33"/>
      <c r="E528" s="33"/>
      <c r="F528" s="33"/>
      <c r="G528" s="33"/>
      <c r="I528" s="29"/>
      <c r="J528" s="29"/>
      <c r="K528" s="29"/>
      <c r="L528" s="29"/>
      <c r="M528" s="29"/>
      <c r="N528" s="29"/>
      <c r="O528" s="29"/>
      <c r="P528" s="29"/>
      <c r="Q528" s="29"/>
      <c r="R528" s="29"/>
      <c r="S528" s="29"/>
      <c r="T528" s="29"/>
      <c r="U528" s="29"/>
      <c r="V528" s="29"/>
      <c r="W528" s="29"/>
      <c r="X528" s="29"/>
      <c r="Y528" s="29"/>
      <c r="Z528" s="29"/>
    </row>
    <row r="529" spans="1:26" ht="15">
      <c r="A529" s="29"/>
      <c r="B529" s="29"/>
      <c r="C529" s="29"/>
      <c r="D529" s="33"/>
      <c r="E529" s="33"/>
      <c r="F529" s="33"/>
      <c r="G529" s="33"/>
      <c r="I529" s="29"/>
      <c r="J529" s="29"/>
      <c r="K529" s="29"/>
      <c r="L529" s="29"/>
      <c r="M529" s="29"/>
      <c r="N529" s="29"/>
      <c r="O529" s="29"/>
      <c r="P529" s="29"/>
      <c r="Q529" s="29"/>
      <c r="R529" s="29"/>
      <c r="S529" s="29"/>
      <c r="T529" s="29"/>
      <c r="U529" s="29"/>
      <c r="V529" s="29"/>
      <c r="W529" s="29"/>
      <c r="X529" s="29"/>
      <c r="Y529" s="29"/>
      <c r="Z529" s="29"/>
    </row>
    <row r="530" spans="1:26" ht="15">
      <c r="A530" s="29"/>
      <c r="B530" s="29"/>
      <c r="C530" s="29"/>
      <c r="D530" s="33"/>
      <c r="E530" s="33"/>
      <c r="F530" s="33"/>
      <c r="G530" s="33"/>
      <c r="I530" s="29"/>
      <c r="J530" s="29"/>
      <c r="K530" s="29"/>
      <c r="L530" s="29"/>
      <c r="M530" s="29"/>
      <c r="N530" s="29"/>
      <c r="O530" s="29"/>
      <c r="P530" s="29"/>
      <c r="Q530" s="29"/>
      <c r="R530" s="29"/>
      <c r="S530" s="29"/>
      <c r="T530" s="29"/>
      <c r="U530" s="29"/>
      <c r="V530" s="29"/>
      <c r="W530" s="29"/>
      <c r="X530" s="29"/>
      <c r="Y530" s="29"/>
      <c r="Z530" s="29"/>
    </row>
    <row r="531" spans="1:26" ht="15">
      <c r="A531" s="29"/>
      <c r="B531" s="29"/>
      <c r="C531" s="29"/>
      <c r="D531" s="33"/>
      <c r="E531" s="33"/>
      <c r="F531" s="33"/>
      <c r="G531" s="33"/>
      <c r="I531" s="29"/>
      <c r="J531" s="29"/>
      <c r="K531" s="29"/>
      <c r="L531" s="29"/>
      <c r="M531" s="29"/>
      <c r="N531" s="29"/>
      <c r="O531" s="29"/>
      <c r="P531" s="29"/>
      <c r="Q531" s="29"/>
      <c r="R531" s="29"/>
      <c r="S531" s="29"/>
      <c r="T531" s="29"/>
      <c r="U531" s="29"/>
      <c r="V531" s="29"/>
      <c r="W531" s="29"/>
      <c r="X531" s="29"/>
      <c r="Y531" s="29"/>
      <c r="Z531" s="29"/>
    </row>
    <row r="532" spans="1:26" ht="15">
      <c r="A532" s="29"/>
      <c r="B532" s="29"/>
      <c r="C532" s="29"/>
      <c r="D532" s="33"/>
      <c r="E532" s="33"/>
      <c r="F532" s="33"/>
      <c r="G532" s="33"/>
      <c r="I532" s="29"/>
      <c r="J532" s="29"/>
      <c r="K532" s="29"/>
      <c r="L532" s="29"/>
      <c r="M532" s="29"/>
      <c r="N532" s="29"/>
      <c r="O532" s="29"/>
      <c r="P532" s="29"/>
      <c r="Q532" s="29"/>
      <c r="R532" s="29"/>
      <c r="S532" s="29"/>
      <c r="T532" s="29"/>
      <c r="U532" s="29"/>
      <c r="V532" s="29"/>
      <c r="W532" s="29"/>
      <c r="X532" s="29"/>
      <c r="Y532" s="29"/>
      <c r="Z532" s="29"/>
    </row>
    <row r="533" spans="1:26" ht="15">
      <c r="A533" s="29"/>
      <c r="B533" s="29"/>
      <c r="C533" s="29"/>
      <c r="D533" s="33"/>
      <c r="E533" s="33"/>
      <c r="F533" s="33"/>
      <c r="G533" s="33"/>
      <c r="I533" s="29"/>
      <c r="J533" s="29"/>
      <c r="K533" s="29"/>
      <c r="L533" s="29"/>
      <c r="M533" s="29"/>
      <c r="N533" s="29"/>
      <c r="O533" s="29"/>
      <c r="P533" s="29"/>
      <c r="Q533" s="29"/>
      <c r="R533" s="29"/>
      <c r="S533" s="29"/>
      <c r="T533" s="29"/>
      <c r="U533" s="29"/>
      <c r="V533" s="29"/>
      <c r="W533" s="29"/>
      <c r="X533" s="29"/>
      <c r="Y533" s="29"/>
      <c r="Z533" s="29"/>
    </row>
    <row r="534" spans="1:26" ht="15">
      <c r="A534" s="29"/>
      <c r="B534" s="29"/>
      <c r="C534" s="29"/>
      <c r="D534" s="33"/>
      <c r="E534" s="33"/>
      <c r="F534" s="33"/>
      <c r="G534" s="33"/>
      <c r="I534" s="29"/>
      <c r="J534" s="29"/>
      <c r="K534" s="29"/>
      <c r="L534" s="29"/>
      <c r="M534" s="29"/>
      <c r="N534" s="29"/>
      <c r="O534" s="29"/>
      <c r="P534" s="29"/>
      <c r="Q534" s="29"/>
      <c r="R534" s="29"/>
      <c r="S534" s="29"/>
      <c r="T534" s="29"/>
      <c r="U534" s="29"/>
      <c r="V534" s="29"/>
      <c r="W534" s="29"/>
      <c r="X534" s="29"/>
      <c r="Y534" s="29"/>
      <c r="Z534" s="29"/>
    </row>
    <row r="535" spans="1:26" ht="15">
      <c r="A535" s="29"/>
      <c r="B535" s="29"/>
      <c r="C535" s="29"/>
      <c r="D535" s="33"/>
      <c r="E535" s="33"/>
      <c r="F535" s="33"/>
      <c r="G535" s="33"/>
      <c r="I535" s="29"/>
      <c r="J535" s="29"/>
      <c r="K535" s="29"/>
      <c r="L535" s="29"/>
      <c r="M535" s="29"/>
      <c r="N535" s="29"/>
      <c r="O535" s="29"/>
      <c r="P535" s="29"/>
      <c r="Q535" s="29"/>
      <c r="R535" s="29"/>
      <c r="S535" s="29"/>
      <c r="T535" s="29"/>
      <c r="U535" s="29"/>
      <c r="V535" s="29"/>
      <c r="W535" s="29"/>
      <c r="X535" s="29"/>
      <c r="Y535" s="29"/>
      <c r="Z535" s="29"/>
    </row>
    <row r="536" spans="1:26" ht="15">
      <c r="A536" s="29"/>
      <c r="B536" s="29"/>
      <c r="C536" s="29"/>
      <c r="D536" s="33"/>
      <c r="E536" s="33"/>
      <c r="F536" s="33"/>
      <c r="G536" s="33"/>
      <c r="I536" s="29"/>
      <c r="J536" s="29"/>
      <c r="K536" s="29"/>
      <c r="L536" s="29"/>
      <c r="M536" s="29"/>
      <c r="N536" s="29"/>
      <c r="O536" s="29"/>
      <c r="P536" s="29"/>
      <c r="Q536" s="29"/>
      <c r="R536" s="29"/>
      <c r="S536" s="29"/>
      <c r="T536" s="29"/>
      <c r="U536" s="29"/>
      <c r="V536" s="29"/>
      <c r="W536" s="29"/>
      <c r="X536" s="29"/>
      <c r="Y536" s="29"/>
      <c r="Z536" s="29"/>
    </row>
    <row r="537" spans="1:26" ht="15">
      <c r="A537" s="29"/>
      <c r="B537" s="29"/>
      <c r="C537" s="29"/>
      <c r="D537" s="33"/>
      <c r="E537" s="33"/>
      <c r="F537" s="33"/>
      <c r="G537" s="33"/>
      <c r="I537" s="29"/>
      <c r="J537" s="29"/>
      <c r="K537" s="29"/>
      <c r="L537" s="29"/>
      <c r="M537" s="29"/>
      <c r="N537" s="29"/>
      <c r="O537" s="29"/>
      <c r="P537" s="29"/>
      <c r="Q537" s="29"/>
      <c r="R537" s="29"/>
      <c r="S537" s="29"/>
      <c r="T537" s="29"/>
      <c r="U537" s="29"/>
      <c r="V537" s="29"/>
      <c r="W537" s="29"/>
      <c r="X537" s="29"/>
      <c r="Y537" s="29"/>
      <c r="Z537" s="29"/>
    </row>
    <row r="538" spans="1:26" ht="15">
      <c r="A538" s="29"/>
      <c r="B538" s="29"/>
      <c r="C538" s="29"/>
      <c r="D538" s="33"/>
      <c r="E538" s="33"/>
      <c r="F538" s="33"/>
      <c r="G538" s="33"/>
      <c r="I538" s="29"/>
      <c r="J538" s="29"/>
      <c r="K538" s="29"/>
      <c r="L538" s="29"/>
      <c r="M538" s="29"/>
      <c r="N538" s="29"/>
      <c r="O538" s="29"/>
      <c r="P538" s="29"/>
      <c r="Q538" s="29"/>
      <c r="R538" s="29"/>
      <c r="S538" s="29"/>
      <c r="T538" s="29"/>
      <c r="U538" s="29"/>
      <c r="V538" s="29"/>
      <c r="W538" s="29"/>
      <c r="X538" s="29"/>
      <c r="Y538" s="29"/>
      <c r="Z538" s="29"/>
    </row>
    <row r="539" spans="1:26" ht="15">
      <c r="A539" s="29"/>
      <c r="B539" s="29"/>
      <c r="C539" s="29"/>
      <c r="D539" s="33"/>
      <c r="E539" s="33"/>
      <c r="F539" s="33"/>
      <c r="G539" s="33"/>
      <c r="I539" s="29"/>
      <c r="J539" s="29"/>
      <c r="K539" s="29"/>
      <c r="L539" s="29"/>
      <c r="M539" s="29"/>
      <c r="N539" s="29"/>
      <c r="O539" s="29"/>
      <c r="P539" s="29"/>
      <c r="Q539" s="29"/>
      <c r="R539" s="29"/>
      <c r="S539" s="29"/>
      <c r="T539" s="29"/>
      <c r="U539" s="29"/>
      <c r="V539" s="29"/>
      <c r="W539" s="29"/>
      <c r="X539" s="29"/>
      <c r="Y539" s="29"/>
      <c r="Z539" s="29"/>
    </row>
    <row r="540" spans="1:26" ht="15">
      <c r="A540" s="29"/>
      <c r="B540" s="29"/>
      <c r="C540" s="29"/>
      <c r="D540" s="33"/>
      <c r="E540" s="33"/>
      <c r="F540" s="33"/>
      <c r="G540" s="33"/>
      <c r="I540" s="29"/>
      <c r="J540" s="29"/>
      <c r="K540" s="29"/>
      <c r="L540" s="29"/>
      <c r="M540" s="29"/>
      <c r="N540" s="29"/>
      <c r="O540" s="29"/>
      <c r="P540" s="29"/>
      <c r="Q540" s="29"/>
      <c r="R540" s="29"/>
      <c r="S540" s="29"/>
      <c r="T540" s="29"/>
      <c r="U540" s="29"/>
      <c r="V540" s="29"/>
      <c r="W540" s="29"/>
      <c r="X540" s="29"/>
      <c r="Y540" s="29"/>
      <c r="Z540" s="29"/>
    </row>
    <row r="541" spans="1:26" ht="15">
      <c r="A541" s="29"/>
      <c r="B541" s="29"/>
      <c r="C541" s="29"/>
      <c r="D541" s="33"/>
      <c r="E541" s="33"/>
      <c r="F541" s="33"/>
      <c r="G541" s="33"/>
      <c r="I541" s="29"/>
      <c r="J541" s="29"/>
      <c r="K541" s="29"/>
      <c r="L541" s="29"/>
      <c r="M541" s="29"/>
      <c r="N541" s="29"/>
      <c r="O541" s="29"/>
      <c r="P541" s="29"/>
      <c r="Q541" s="29"/>
      <c r="R541" s="29"/>
      <c r="S541" s="29"/>
      <c r="T541" s="29"/>
      <c r="U541" s="29"/>
      <c r="V541" s="29"/>
      <c r="W541" s="29"/>
      <c r="X541" s="29"/>
      <c r="Y541" s="29"/>
      <c r="Z541" s="29"/>
    </row>
    <row r="542" spans="1:26" ht="15">
      <c r="A542" s="29"/>
      <c r="B542" s="29"/>
      <c r="C542" s="29"/>
      <c r="D542" s="33"/>
      <c r="E542" s="33"/>
      <c r="F542" s="33"/>
      <c r="G542" s="33"/>
      <c r="I542" s="29"/>
      <c r="J542" s="29"/>
      <c r="K542" s="29"/>
      <c r="L542" s="29"/>
      <c r="M542" s="29"/>
      <c r="N542" s="29"/>
      <c r="O542" s="29"/>
      <c r="P542" s="29"/>
      <c r="Q542" s="29"/>
      <c r="R542" s="29"/>
      <c r="S542" s="29"/>
      <c r="T542" s="29"/>
      <c r="U542" s="29"/>
      <c r="V542" s="29"/>
      <c r="W542" s="29"/>
      <c r="X542" s="29"/>
      <c r="Y542" s="29"/>
      <c r="Z542" s="29"/>
    </row>
    <row r="543" spans="1:26" ht="15">
      <c r="A543" s="29"/>
      <c r="B543" s="29"/>
      <c r="C543" s="29"/>
      <c r="D543" s="33"/>
      <c r="E543" s="33"/>
      <c r="F543" s="33"/>
      <c r="G543" s="33"/>
      <c r="I543" s="29"/>
      <c r="J543" s="29"/>
      <c r="K543" s="29"/>
      <c r="L543" s="29"/>
      <c r="M543" s="29"/>
      <c r="N543" s="29"/>
      <c r="O543" s="29"/>
      <c r="P543" s="29"/>
      <c r="Q543" s="29"/>
      <c r="R543" s="29"/>
      <c r="S543" s="29"/>
      <c r="T543" s="29"/>
      <c r="U543" s="29"/>
      <c r="V543" s="29"/>
      <c r="W543" s="29"/>
      <c r="X543" s="29"/>
      <c r="Y543" s="29"/>
      <c r="Z543" s="29"/>
    </row>
    <row r="544" spans="1:26" ht="15">
      <c r="A544" s="29"/>
      <c r="B544" s="29"/>
      <c r="C544" s="29"/>
      <c r="D544" s="33"/>
      <c r="E544" s="33"/>
      <c r="F544" s="33"/>
      <c r="G544" s="33"/>
      <c r="I544" s="29"/>
      <c r="J544" s="29"/>
      <c r="K544" s="29"/>
      <c r="L544" s="29"/>
      <c r="M544" s="29"/>
      <c r="N544" s="29"/>
      <c r="O544" s="29"/>
      <c r="P544" s="29"/>
      <c r="Q544" s="29"/>
      <c r="R544" s="29"/>
      <c r="S544" s="29"/>
      <c r="T544" s="29"/>
      <c r="U544" s="29"/>
      <c r="V544" s="29"/>
      <c r="W544" s="29"/>
      <c r="X544" s="29"/>
      <c r="Y544" s="29"/>
      <c r="Z544" s="29"/>
    </row>
    <row r="545" spans="1:26" ht="15">
      <c r="A545" s="29"/>
      <c r="B545" s="29"/>
      <c r="C545" s="29"/>
      <c r="D545" s="33"/>
      <c r="E545" s="33"/>
      <c r="F545" s="33"/>
      <c r="G545" s="33"/>
      <c r="I545" s="29"/>
      <c r="J545" s="29"/>
      <c r="K545" s="29"/>
      <c r="L545" s="29"/>
      <c r="M545" s="29"/>
      <c r="N545" s="29"/>
      <c r="O545" s="29"/>
      <c r="P545" s="29"/>
      <c r="Q545" s="29"/>
      <c r="R545" s="29"/>
      <c r="S545" s="29"/>
      <c r="T545" s="29"/>
      <c r="U545" s="29"/>
      <c r="V545" s="29"/>
      <c r="W545" s="29"/>
      <c r="X545" s="29"/>
      <c r="Y545" s="29"/>
      <c r="Z545" s="29"/>
    </row>
    <row r="546" spans="1:26" ht="15">
      <c r="A546" s="29"/>
      <c r="B546" s="29"/>
      <c r="C546" s="29"/>
      <c r="D546" s="33"/>
      <c r="E546" s="33"/>
      <c r="F546" s="33"/>
      <c r="G546" s="33"/>
      <c r="I546" s="29"/>
      <c r="J546" s="29"/>
      <c r="K546" s="29"/>
      <c r="L546" s="29"/>
      <c r="M546" s="29"/>
      <c r="N546" s="29"/>
      <c r="O546" s="29"/>
      <c r="P546" s="29"/>
      <c r="Q546" s="29"/>
      <c r="R546" s="29"/>
      <c r="S546" s="29"/>
      <c r="T546" s="29"/>
      <c r="U546" s="29"/>
      <c r="V546" s="29"/>
      <c r="W546" s="29"/>
      <c r="X546" s="29"/>
      <c r="Y546" s="29"/>
      <c r="Z546" s="29"/>
    </row>
    <row r="547" spans="1:26" ht="15">
      <c r="A547" s="29"/>
      <c r="B547" s="29"/>
      <c r="C547" s="29"/>
      <c r="D547" s="33"/>
      <c r="E547" s="33"/>
      <c r="F547" s="33"/>
      <c r="G547" s="33"/>
      <c r="I547" s="29"/>
      <c r="J547" s="29"/>
      <c r="K547" s="29"/>
      <c r="L547" s="29"/>
      <c r="M547" s="29"/>
      <c r="N547" s="29"/>
      <c r="O547" s="29"/>
      <c r="P547" s="29"/>
      <c r="Q547" s="29"/>
      <c r="R547" s="29"/>
      <c r="S547" s="29"/>
      <c r="T547" s="29"/>
      <c r="U547" s="29"/>
      <c r="V547" s="29"/>
      <c r="W547" s="29"/>
      <c r="X547" s="29"/>
      <c r="Y547" s="29"/>
      <c r="Z547" s="29"/>
    </row>
    <row r="548" spans="1:26" ht="15">
      <c r="A548" s="29"/>
      <c r="B548" s="29"/>
      <c r="C548" s="29"/>
      <c r="D548" s="33"/>
      <c r="E548" s="33"/>
      <c r="F548" s="33"/>
      <c r="G548" s="33"/>
      <c r="I548" s="29"/>
      <c r="J548" s="29"/>
      <c r="K548" s="29"/>
      <c r="L548" s="29"/>
      <c r="M548" s="29"/>
      <c r="N548" s="29"/>
      <c r="O548" s="29"/>
      <c r="P548" s="29"/>
      <c r="Q548" s="29"/>
      <c r="R548" s="29"/>
      <c r="S548" s="29"/>
      <c r="T548" s="29"/>
      <c r="U548" s="29"/>
      <c r="V548" s="29"/>
      <c r="W548" s="29"/>
      <c r="X548" s="29"/>
      <c r="Y548" s="29"/>
      <c r="Z548" s="29"/>
    </row>
    <row r="549" spans="1:26" ht="15">
      <c r="A549" s="29"/>
      <c r="B549" s="29"/>
      <c r="C549" s="29"/>
      <c r="D549" s="33"/>
      <c r="E549" s="33"/>
      <c r="F549" s="33"/>
      <c r="G549" s="33"/>
      <c r="I549" s="29"/>
      <c r="J549" s="29"/>
      <c r="K549" s="29"/>
      <c r="L549" s="29"/>
      <c r="M549" s="29"/>
      <c r="N549" s="29"/>
      <c r="O549" s="29"/>
      <c r="P549" s="29"/>
      <c r="Q549" s="29"/>
      <c r="R549" s="29"/>
      <c r="S549" s="29"/>
      <c r="T549" s="29"/>
      <c r="U549" s="29"/>
      <c r="V549" s="29"/>
      <c r="W549" s="29"/>
      <c r="X549" s="29"/>
      <c r="Y549" s="29"/>
      <c r="Z549" s="29"/>
    </row>
    <row r="550" spans="1:26" ht="15">
      <c r="A550" s="29"/>
      <c r="B550" s="29"/>
      <c r="C550" s="29"/>
      <c r="D550" s="33"/>
      <c r="E550" s="33"/>
      <c r="F550" s="33"/>
      <c r="G550" s="33"/>
      <c r="I550" s="29"/>
      <c r="J550" s="29"/>
      <c r="K550" s="29"/>
      <c r="L550" s="29"/>
      <c r="M550" s="29"/>
      <c r="N550" s="29"/>
      <c r="O550" s="29"/>
      <c r="P550" s="29"/>
      <c r="Q550" s="29"/>
      <c r="R550" s="29"/>
      <c r="S550" s="29"/>
      <c r="T550" s="29"/>
      <c r="U550" s="29"/>
      <c r="V550" s="29"/>
      <c r="W550" s="29"/>
      <c r="X550" s="29"/>
      <c r="Y550" s="29"/>
      <c r="Z550" s="29"/>
    </row>
    <row r="551" spans="1:26" ht="15">
      <c r="A551" s="29"/>
      <c r="B551" s="29"/>
      <c r="C551" s="29"/>
      <c r="D551" s="33"/>
      <c r="E551" s="33"/>
      <c r="F551" s="33"/>
      <c r="G551" s="33"/>
      <c r="I551" s="29"/>
      <c r="J551" s="29"/>
      <c r="K551" s="29"/>
      <c r="L551" s="29"/>
      <c r="M551" s="29"/>
      <c r="N551" s="29"/>
      <c r="O551" s="29"/>
      <c r="P551" s="29"/>
      <c r="Q551" s="29"/>
      <c r="R551" s="29"/>
      <c r="S551" s="29"/>
      <c r="T551" s="29"/>
      <c r="U551" s="29"/>
      <c r="V551" s="29"/>
      <c r="W551" s="29"/>
      <c r="X551" s="29"/>
      <c r="Y551" s="29"/>
      <c r="Z551" s="29"/>
    </row>
    <row r="552" spans="1:26" ht="15">
      <c r="A552" s="29"/>
      <c r="B552" s="29"/>
      <c r="C552" s="29"/>
      <c r="D552" s="33"/>
      <c r="E552" s="33"/>
      <c r="F552" s="33"/>
      <c r="G552" s="33"/>
      <c r="I552" s="29"/>
      <c r="J552" s="29"/>
      <c r="K552" s="29"/>
      <c r="L552" s="29"/>
      <c r="M552" s="29"/>
      <c r="N552" s="29"/>
      <c r="O552" s="29"/>
      <c r="P552" s="29"/>
      <c r="Q552" s="29"/>
      <c r="R552" s="29"/>
      <c r="S552" s="29"/>
      <c r="T552" s="29"/>
      <c r="U552" s="29"/>
      <c r="V552" s="29"/>
      <c r="W552" s="29"/>
      <c r="X552" s="29"/>
      <c r="Y552" s="29"/>
      <c r="Z552" s="29"/>
    </row>
    <row r="553" spans="1:26" ht="15">
      <c r="A553" s="29"/>
      <c r="B553" s="29"/>
      <c r="C553" s="29"/>
      <c r="D553" s="33"/>
      <c r="E553" s="33"/>
      <c r="F553" s="33"/>
      <c r="G553" s="33"/>
      <c r="I553" s="29"/>
      <c r="J553" s="29"/>
      <c r="K553" s="29"/>
      <c r="L553" s="29"/>
      <c r="M553" s="29"/>
      <c r="N553" s="29"/>
      <c r="O553" s="29"/>
      <c r="P553" s="29"/>
      <c r="Q553" s="29"/>
      <c r="R553" s="29"/>
      <c r="S553" s="29"/>
      <c r="T553" s="29"/>
      <c r="U553" s="29"/>
      <c r="V553" s="29"/>
      <c r="W553" s="29"/>
      <c r="X553" s="29"/>
      <c r="Y553" s="29"/>
      <c r="Z553" s="29"/>
    </row>
    <row r="554" spans="1:26" ht="15">
      <c r="A554" s="29"/>
      <c r="B554" s="29"/>
      <c r="C554" s="29"/>
      <c r="D554" s="33"/>
      <c r="E554" s="33"/>
      <c r="F554" s="33"/>
      <c r="G554" s="33"/>
      <c r="I554" s="29"/>
      <c r="J554" s="29"/>
      <c r="K554" s="29"/>
      <c r="L554" s="29"/>
      <c r="M554" s="29"/>
      <c r="N554" s="29"/>
      <c r="O554" s="29"/>
      <c r="P554" s="29"/>
      <c r="Q554" s="29"/>
      <c r="R554" s="29"/>
      <c r="S554" s="29"/>
      <c r="T554" s="29"/>
      <c r="U554" s="29"/>
      <c r="V554" s="29"/>
      <c r="W554" s="29"/>
      <c r="X554" s="29"/>
      <c r="Y554" s="29"/>
      <c r="Z554" s="29"/>
    </row>
    <row r="555" spans="1:26" ht="15">
      <c r="A555" s="29"/>
      <c r="B555" s="29"/>
      <c r="C555" s="29"/>
      <c r="D555" s="33"/>
      <c r="E555" s="33"/>
      <c r="F555" s="33"/>
      <c r="G555" s="33"/>
      <c r="I555" s="29"/>
      <c r="J555" s="29"/>
      <c r="K555" s="29"/>
      <c r="L555" s="29"/>
      <c r="M555" s="29"/>
      <c r="N555" s="29"/>
      <c r="O555" s="29"/>
      <c r="P555" s="29"/>
      <c r="Q555" s="29"/>
      <c r="R555" s="29"/>
      <c r="S555" s="29"/>
      <c r="T555" s="29"/>
      <c r="U555" s="29"/>
      <c r="V555" s="29"/>
      <c r="W555" s="29"/>
      <c r="X555" s="29"/>
      <c r="Y555" s="29"/>
      <c r="Z555" s="29"/>
    </row>
    <row r="556" spans="1:26" ht="15">
      <c r="A556" s="29"/>
      <c r="B556" s="29"/>
      <c r="C556" s="29"/>
      <c r="D556" s="33"/>
      <c r="E556" s="33"/>
      <c r="F556" s="33"/>
      <c r="G556" s="33"/>
      <c r="I556" s="29"/>
      <c r="J556" s="29"/>
      <c r="K556" s="29"/>
      <c r="L556" s="29"/>
      <c r="M556" s="29"/>
      <c r="N556" s="29"/>
      <c r="O556" s="29"/>
      <c r="P556" s="29"/>
      <c r="Q556" s="29"/>
      <c r="R556" s="29"/>
      <c r="S556" s="29"/>
      <c r="T556" s="29"/>
      <c r="U556" s="29"/>
      <c r="V556" s="29"/>
      <c r="W556" s="29"/>
      <c r="X556" s="29"/>
      <c r="Y556" s="29"/>
      <c r="Z556" s="29"/>
    </row>
    <row r="557" spans="1:26" ht="15">
      <c r="A557" s="29"/>
      <c r="B557" s="29"/>
      <c r="C557" s="29"/>
      <c r="D557" s="33"/>
      <c r="E557" s="33"/>
      <c r="F557" s="33"/>
      <c r="G557" s="33"/>
      <c r="I557" s="29"/>
      <c r="J557" s="29"/>
      <c r="K557" s="29"/>
      <c r="L557" s="29"/>
      <c r="M557" s="29"/>
      <c r="N557" s="29"/>
      <c r="O557" s="29"/>
      <c r="P557" s="29"/>
      <c r="Q557" s="29"/>
      <c r="R557" s="29"/>
      <c r="S557" s="29"/>
      <c r="T557" s="29"/>
      <c r="U557" s="29"/>
      <c r="V557" s="29"/>
      <c r="W557" s="29"/>
      <c r="X557" s="29"/>
      <c r="Y557" s="29"/>
      <c r="Z557" s="29"/>
    </row>
    <row r="558" spans="1:26" ht="15">
      <c r="A558" s="29"/>
      <c r="B558" s="29"/>
      <c r="C558" s="29"/>
      <c r="D558" s="33"/>
      <c r="E558" s="33"/>
      <c r="F558" s="33"/>
      <c r="G558" s="33"/>
      <c r="I558" s="29"/>
      <c r="J558" s="29"/>
      <c r="K558" s="29"/>
      <c r="L558" s="29"/>
      <c r="M558" s="29"/>
      <c r="N558" s="29"/>
      <c r="O558" s="29"/>
      <c r="P558" s="29"/>
      <c r="Q558" s="29"/>
      <c r="R558" s="29"/>
      <c r="S558" s="29"/>
      <c r="T558" s="29"/>
      <c r="U558" s="29"/>
      <c r="V558" s="29"/>
      <c r="W558" s="29"/>
      <c r="X558" s="29"/>
      <c r="Y558" s="29"/>
      <c r="Z558" s="29"/>
    </row>
    <row r="559" spans="1:26" ht="15">
      <c r="A559" s="29"/>
      <c r="B559" s="29"/>
      <c r="C559" s="29"/>
      <c r="D559" s="33"/>
      <c r="E559" s="33"/>
      <c r="F559" s="33"/>
      <c r="G559" s="33"/>
      <c r="I559" s="29"/>
      <c r="J559" s="29"/>
      <c r="K559" s="29"/>
      <c r="L559" s="29"/>
      <c r="M559" s="29"/>
      <c r="N559" s="29"/>
      <c r="O559" s="29"/>
      <c r="P559" s="29"/>
      <c r="Q559" s="29"/>
      <c r="R559" s="29"/>
      <c r="S559" s="29"/>
      <c r="T559" s="29"/>
      <c r="U559" s="29"/>
      <c r="V559" s="29"/>
      <c r="W559" s="29"/>
      <c r="X559" s="29"/>
      <c r="Y559" s="29"/>
      <c r="Z559" s="29"/>
    </row>
    <row r="560" spans="1:26" ht="15">
      <c r="A560" s="29"/>
      <c r="B560" s="29"/>
      <c r="C560" s="29"/>
      <c r="D560" s="33"/>
      <c r="E560" s="33"/>
      <c r="F560" s="33"/>
      <c r="G560" s="33"/>
      <c r="I560" s="29"/>
      <c r="J560" s="29"/>
      <c r="K560" s="29"/>
      <c r="L560" s="29"/>
      <c r="M560" s="29"/>
      <c r="N560" s="29"/>
      <c r="O560" s="29"/>
      <c r="P560" s="29"/>
      <c r="Q560" s="29"/>
      <c r="R560" s="29"/>
      <c r="S560" s="29"/>
      <c r="T560" s="29"/>
      <c r="U560" s="29"/>
      <c r="V560" s="29"/>
      <c r="W560" s="29"/>
      <c r="X560" s="29"/>
      <c r="Y560" s="29"/>
      <c r="Z560" s="29"/>
    </row>
    <row r="561" spans="1:26" ht="15">
      <c r="A561" s="29"/>
      <c r="B561" s="29"/>
      <c r="C561" s="29"/>
      <c r="D561" s="33"/>
      <c r="E561" s="33"/>
      <c r="F561" s="33"/>
      <c r="G561" s="33"/>
      <c r="I561" s="29"/>
      <c r="J561" s="29"/>
      <c r="K561" s="29"/>
      <c r="L561" s="29"/>
      <c r="M561" s="29"/>
      <c r="N561" s="29"/>
      <c r="O561" s="29"/>
      <c r="P561" s="29"/>
      <c r="Q561" s="29"/>
      <c r="R561" s="29"/>
      <c r="S561" s="29"/>
      <c r="T561" s="29"/>
      <c r="U561" s="29"/>
      <c r="V561" s="29"/>
      <c r="W561" s="29"/>
      <c r="X561" s="29"/>
      <c r="Y561" s="29"/>
      <c r="Z561" s="29"/>
    </row>
    <row r="562" spans="1:26" ht="15">
      <c r="A562" s="29"/>
      <c r="B562" s="29"/>
      <c r="C562" s="29"/>
      <c r="D562" s="33"/>
      <c r="E562" s="33"/>
      <c r="F562" s="33"/>
      <c r="G562" s="33"/>
      <c r="I562" s="29"/>
      <c r="J562" s="29"/>
      <c r="K562" s="29"/>
      <c r="L562" s="29"/>
      <c r="M562" s="29"/>
      <c r="N562" s="29"/>
      <c r="O562" s="29"/>
      <c r="P562" s="29"/>
      <c r="Q562" s="29"/>
      <c r="R562" s="29"/>
      <c r="S562" s="29"/>
      <c r="T562" s="29"/>
      <c r="U562" s="29"/>
      <c r="V562" s="29"/>
      <c r="W562" s="29"/>
      <c r="X562" s="29"/>
      <c r="Y562" s="29"/>
      <c r="Z562" s="29"/>
    </row>
    <row r="563" spans="1:26" ht="15">
      <c r="A563" s="29"/>
      <c r="B563" s="29"/>
      <c r="C563" s="29"/>
      <c r="D563" s="33"/>
      <c r="E563" s="33"/>
      <c r="F563" s="33"/>
      <c r="G563" s="33"/>
      <c r="I563" s="29"/>
      <c r="J563" s="29"/>
      <c r="K563" s="29"/>
      <c r="L563" s="29"/>
      <c r="M563" s="29"/>
      <c r="N563" s="29"/>
      <c r="O563" s="29"/>
      <c r="P563" s="29"/>
      <c r="Q563" s="29"/>
      <c r="R563" s="29"/>
      <c r="S563" s="29"/>
      <c r="T563" s="29"/>
      <c r="U563" s="29"/>
      <c r="V563" s="29"/>
      <c r="W563" s="29"/>
      <c r="X563" s="29"/>
      <c r="Y563" s="29"/>
      <c r="Z563" s="29"/>
    </row>
    <row r="564" spans="1:26" ht="15">
      <c r="A564" s="29"/>
      <c r="B564" s="29"/>
      <c r="C564" s="29"/>
      <c r="D564" s="33"/>
      <c r="E564" s="33"/>
      <c r="F564" s="33"/>
      <c r="G564" s="33"/>
      <c r="I564" s="29"/>
      <c r="J564" s="29"/>
      <c r="K564" s="29"/>
      <c r="L564" s="29"/>
      <c r="M564" s="29"/>
      <c r="N564" s="29"/>
      <c r="O564" s="29"/>
      <c r="P564" s="29"/>
      <c r="Q564" s="29"/>
      <c r="R564" s="29"/>
      <c r="S564" s="29"/>
      <c r="T564" s="29"/>
      <c r="U564" s="29"/>
      <c r="V564" s="29"/>
      <c r="W564" s="29"/>
      <c r="X564" s="29"/>
      <c r="Y564" s="29"/>
      <c r="Z564" s="29"/>
    </row>
    <row r="565" spans="1:26" ht="15">
      <c r="A565" s="29"/>
      <c r="B565" s="29"/>
      <c r="C565" s="29"/>
      <c r="D565" s="33"/>
      <c r="E565" s="33"/>
      <c r="F565" s="33"/>
      <c r="G565" s="33"/>
      <c r="I565" s="29"/>
      <c r="J565" s="29"/>
      <c r="K565" s="29"/>
      <c r="L565" s="29"/>
      <c r="M565" s="29"/>
      <c r="N565" s="29"/>
      <c r="O565" s="29"/>
      <c r="P565" s="29"/>
      <c r="Q565" s="29"/>
      <c r="R565" s="29"/>
      <c r="S565" s="29"/>
      <c r="T565" s="29"/>
      <c r="U565" s="29"/>
      <c r="V565" s="29"/>
      <c r="W565" s="29"/>
      <c r="X565" s="29"/>
      <c r="Y565" s="29"/>
      <c r="Z565" s="29"/>
    </row>
    <row r="566" spans="1:26" ht="15">
      <c r="A566" s="29"/>
      <c r="B566" s="29"/>
      <c r="C566" s="29"/>
      <c r="D566" s="33"/>
      <c r="E566" s="33"/>
      <c r="F566" s="33"/>
      <c r="G566" s="33"/>
      <c r="I566" s="29"/>
      <c r="J566" s="29"/>
      <c r="K566" s="29"/>
      <c r="L566" s="29"/>
      <c r="M566" s="29"/>
      <c r="N566" s="29"/>
      <c r="O566" s="29"/>
      <c r="P566" s="29"/>
      <c r="Q566" s="29"/>
      <c r="R566" s="29"/>
      <c r="S566" s="29"/>
      <c r="T566" s="29"/>
      <c r="U566" s="29"/>
      <c r="V566" s="29"/>
      <c r="W566" s="29"/>
      <c r="X566" s="29"/>
      <c r="Y566" s="29"/>
      <c r="Z566" s="29"/>
    </row>
    <row r="567" spans="1:26" ht="15">
      <c r="A567" s="29"/>
      <c r="B567" s="29"/>
      <c r="C567" s="29"/>
      <c r="D567" s="33"/>
      <c r="E567" s="33"/>
      <c r="F567" s="33"/>
      <c r="G567" s="33"/>
      <c r="I567" s="29"/>
      <c r="J567" s="29"/>
      <c r="K567" s="29"/>
      <c r="L567" s="29"/>
      <c r="M567" s="29"/>
      <c r="N567" s="29"/>
      <c r="O567" s="29"/>
      <c r="P567" s="29"/>
      <c r="Q567" s="29"/>
      <c r="R567" s="29"/>
      <c r="S567" s="29"/>
      <c r="T567" s="29"/>
      <c r="U567" s="29"/>
      <c r="V567" s="29"/>
      <c r="W567" s="29"/>
      <c r="X567" s="29"/>
      <c r="Y567" s="29"/>
      <c r="Z567" s="29"/>
    </row>
    <row r="568" spans="1:26" ht="15">
      <c r="A568" s="29"/>
      <c r="B568" s="29"/>
      <c r="C568" s="29"/>
      <c r="D568" s="33"/>
      <c r="E568" s="33"/>
      <c r="F568" s="33"/>
      <c r="G568" s="33"/>
      <c r="I568" s="29"/>
      <c r="J568" s="29"/>
      <c r="K568" s="29"/>
      <c r="L568" s="29"/>
      <c r="M568" s="29"/>
      <c r="N568" s="29"/>
      <c r="O568" s="29"/>
      <c r="P568" s="29"/>
      <c r="Q568" s="29"/>
      <c r="R568" s="29"/>
      <c r="S568" s="29"/>
      <c r="T568" s="29"/>
      <c r="U568" s="29"/>
      <c r="V568" s="29"/>
      <c r="W568" s="29"/>
      <c r="X568" s="29"/>
      <c r="Y568" s="29"/>
      <c r="Z568" s="29"/>
    </row>
    <row r="569" spans="1:26" ht="15">
      <c r="A569" s="29"/>
      <c r="B569" s="29"/>
      <c r="C569" s="29"/>
      <c r="D569" s="33"/>
      <c r="E569" s="33"/>
      <c r="F569" s="33"/>
      <c r="G569" s="33"/>
      <c r="I569" s="29"/>
      <c r="J569" s="29"/>
      <c r="K569" s="29"/>
      <c r="L569" s="29"/>
      <c r="M569" s="29"/>
      <c r="N569" s="29"/>
      <c r="O569" s="29"/>
      <c r="P569" s="29"/>
      <c r="Q569" s="29"/>
      <c r="R569" s="29"/>
      <c r="S569" s="29"/>
      <c r="T569" s="29"/>
      <c r="U569" s="29"/>
      <c r="V569" s="29"/>
      <c r="W569" s="29"/>
      <c r="X569" s="29"/>
      <c r="Y569" s="29"/>
      <c r="Z569" s="29"/>
    </row>
    <row r="570" spans="1:26" ht="15">
      <c r="A570" s="29"/>
      <c r="B570" s="29"/>
      <c r="C570" s="29"/>
      <c r="D570" s="33"/>
      <c r="E570" s="33"/>
      <c r="F570" s="33"/>
      <c r="G570" s="33"/>
      <c r="I570" s="29"/>
      <c r="J570" s="29"/>
      <c r="K570" s="29"/>
      <c r="L570" s="29"/>
      <c r="M570" s="29"/>
      <c r="N570" s="29"/>
      <c r="O570" s="29"/>
      <c r="P570" s="29"/>
      <c r="Q570" s="29"/>
      <c r="R570" s="29"/>
      <c r="S570" s="29"/>
      <c r="T570" s="29"/>
      <c r="U570" s="29"/>
      <c r="V570" s="29"/>
      <c r="W570" s="29"/>
      <c r="X570" s="29"/>
      <c r="Y570" s="29"/>
      <c r="Z570" s="29"/>
    </row>
    <row r="571" spans="1:26" ht="15">
      <c r="A571" s="29"/>
      <c r="B571" s="29"/>
      <c r="C571" s="29"/>
      <c r="D571" s="33"/>
      <c r="E571" s="33"/>
      <c r="F571" s="33"/>
      <c r="G571" s="33"/>
      <c r="I571" s="29"/>
      <c r="J571" s="29"/>
      <c r="K571" s="29"/>
      <c r="L571" s="29"/>
      <c r="M571" s="29"/>
      <c r="N571" s="29"/>
      <c r="O571" s="29"/>
      <c r="P571" s="29"/>
      <c r="Q571" s="29"/>
      <c r="R571" s="29"/>
      <c r="S571" s="29"/>
      <c r="T571" s="29"/>
      <c r="U571" s="29"/>
      <c r="V571" s="29"/>
      <c r="W571" s="29"/>
      <c r="X571" s="29"/>
      <c r="Y571" s="29"/>
      <c r="Z571" s="29"/>
    </row>
    <row r="572" spans="1:26" ht="15">
      <c r="A572" s="29"/>
      <c r="B572" s="29"/>
      <c r="C572" s="29"/>
      <c r="D572" s="33"/>
      <c r="E572" s="33"/>
      <c r="F572" s="33"/>
      <c r="G572" s="33"/>
      <c r="I572" s="29"/>
      <c r="J572" s="29"/>
      <c r="K572" s="29"/>
      <c r="L572" s="29"/>
      <c r="M572" s="29"/>
      <c r="N572" s="29"/>
      <c r="O572" s="29"/>
      <c r="P572" s="29"/>
      <c r="Q572" s="29"/>
      <c r="R572" s="29"/>
      <c r="S572" s="29"/>
      <c r="T572" s="29"/>
      <c r="U572" s="29"/>
      <c r="V572" s="29"/>
      <c r="W572" s="29"/>
      <c r="X572" s="29"/>
      <c r="Y572" s="29"/>
      <c r="Z572" s="29"/>
    </row>
    <row r="573" spans="1:26" ht="15">
      <c r="A573" s="29"/>
      <c r="B573" s="29"/>
      <c r="C573" s="29"/>
      <c r="D573" s="33"/>
      <c r="E573" s="33"/>
      <c r="F573" s="33"/>
      <c r="G573" s="33"/>
      <c r="I573" s="29"/>
      <c r="J573" s="29"/>
      <c r="K573" s="29"/>
      <c r="L573" s="29"/>
      <c r="M573" s="29"/>
      <c r="N573" s="29"/>
      <c r="O573" s="29"/>
      <c r="P573" s="29"/>
      <c r="Q573" s="29"/>
      <c r="R573" s="29"/>
      <c r="S573" s="29"/>
      <c r="T573" s="29"/>
      <c r="U573" s="29"/>
      <c r="V573" s="29"/>
      <c r="W573" s="29"/>
      <c r="X573" s="29"/>
      <c r="Y573" s="29"/>
      <c r="Z573" s="29"/>
    </row>
    <row r="574" spans="1:26" ht="15">
      <c r="A574" s="29"/>
      <c r="B574" s="29"/>
      <c r="C574" s="29"/>
      <c r="D574" s="33"/>
      <c r="E574" s="33"/>
      <c r="F574" s="33"/>
      <c r="G574" s="33"/>
      <c r="I574" s="29"/>
      <c r="J574" s="29"/>
      <c r="K574" s="29"/>
      <c r="L574" s="29"/>
      <c r="M574" s="29"/>
      <c r="N574" s="29"/>
      <c r="O574" s="29"/>
      <c r="P574" s="29"/>
      <c r="Q574" s="29"/>
      <c r="R574" s="29"/>
      <c r="S574" s="29"/>
      <c r="T574" s="29"/>
      <c r="U574" s="29"/>
      <c r="V574" s="29"/>
      <c r="W574" s="29"/>
      <c r="X574" s="29"/>
      <c r="Y574" s="29"/>
      <c r="Z574" s="29"/>
    </row>
    <row r="575" spans="1:26" ht="15">
      <c r="A575" s="29"/>
      <c r="B575" s="29"/>
      <c r="C575" s="29"/>
      <c r="D575" s="33"/>
      <c r="E575" s="33"/>
      <c r="F575" s="33"/>
      <c r="G575" s="33"/>
      <c r="I575" s="29"/>
      <c r="J575" s="29"/>
      <c r="K575" s="29"/>
      <c r="L575" s="29"/>
      <c r="M575" s="29"/>
      <c r="N575" s="29"/>
      <c r="O575" s="29"/>
      <c r="P575" s="29"/>
      <c r="Q575" s="29"/>
      <c r="R575" s="29"/>
      <c r="S575" s="29"/>
      <c r="T575" s="29"/>
      <c r="U575" s="29"/>
      <c r="V575" s="29"/>
      <c r="W575" s="29"/>
      <c r="X575" s="29"/>
      <c r="Y575" s="29"/>
      <c r="Z575" s="29"/>
    </row>
    <row r="576" spans="1:26" ht="15">
      <c r="A576" s="29"/>
      <c r="B576" s="29"/>
      <c r="C576" s="29"/>
      <c r="D576" s="33"/>
      <c r="E576" s="33"/>
      <c r="F576" s="33"/>
      <c r="G576" s="33"/>
      <c r="I576" s="29"/>
      <c r="J576" s="29"/>
      <c r="K576" s="29"/>
      <c r="L576" s="29"/>
      <c r="M576" s="29"/>
      <c r="N576" s="29"/>
      <c r="O576" s="29"/>
      <c r="P576" s="29"/>
      <c r="Q576" s="29"/>
      <c r="R576" s="29"/>
      <c r="S576" s="29"/>
      <c r="T576" s="29"/>
      <c r="U576" s="29"/>
      <c r="V576" s="29"/>
      <c r="W576" s="29"/>
      <c r="X576" s="29"/>
      <c r="Y576" s="29"/>
      <c r="Z576" s="29"/>
    </row>
    <row r="577" spans="1:26" ht="15">
      <c r="A577" s="29"/>
      <c r="B577" s="29"/>
      <c r="C577" s="29"/>
      <c r="D577" s="33"/>
      <c r="E577" s="33"/>
      <c r="F577" s="33"/>
      <c r="G577" s="33"/>
      <c r="I577" s="29"/>
      <c r="J577" s="29"/>
      <c r="K577" s="29"/>
      <c r="L577" s="29"/>
      <c r="M577" s="29"/>
      <c r="N577" s="29"/>
      <c r="O577" s="29"/>
      <c r="P577" s="29"/>
      <c r="Q577" s="29"/>
      <c r="R577" s="29"/>
      <c r="S577" s="29"/>
      <c r="T577" s="29"/>
      <c r="U577" s="29"/>
      <c r="V577" s="29"/>
      <c r="W577" s="29"/>
      <c r="X577" s="29"/>
      <c r="Y577" s="29"/>
      <c r="Z577" s="29"/>
    </row>
    <row r="578" spans="1:26" ht="15">
      <c r="A578" s="29"/>
      <c r="B578" s="29"/>
      <c r="C578" s="29"/>
      <c r="D578" s="33"/>
      <c r="E578" s="33"/>
      <c r="F578" s="33"/>
      <c r="G578" s="33"/>
      <c r="I578" s="29"/>
      <c r="J578" s="29"/>
      <c r="K578" s="29"/>
      <c r="L578" s="29"/>
      <c r="M578" s="29"/>
      <c r="N578" s="29"/>
      <c r="O578" s="29"/>
      <c r="P578" s="29"/>
      <c r="Q578" s="29"/>
      <c r="R578" s="29"/>
      <c r="S578" s="29"/>
      <c r="T578" s="29"/>
      <c r="U578" s="29"/>
      <c r="V578" s="29"/>
      <c r="W578" s="29"/>
      <c r="X578" s="29"/>
      <c r="Y578" s="29"/>
      <c r="Z578" s="29"/>
    </row>
    <row r="579" spans="1:26" ht="15">
      <c r="A579" s="29"/>
      <c r="B579" s="29"/>
      <c r="C579" s="29"/>
      <c r="D579" s="33"/>
      <c r="E579" s="33"/>
      <c r="F579" s="33"/>
      <c r="G579" s="33"/>
      <c r="I579" s="29"/>
      <c r="J579" s="29"/>
      <c r="K579" s="29"/>
      <c r="L579" s="29"/>
      <c r="M579" s="29"/>
      <c r="N579" s="29"/>
      <c r="O579" s="29"/>
      <c r="P579" s="29"/>
      <c r="Q579" s="29"/>
      <c r="R579" s="29"/>
      <c r="S579" s="29"/>
      <c r="T579" s="29"/>
      <c r="U579" s="29"/>
      <c r="V579" s="29"/>
      <c r="W579" s="29"/>
      <c r="X579" s="29"/>
      <c r="Y579" s="29"/>
      <c r="Z579" s="29"/>
    </row>
    <row r="580" spans="1:26" ht="15">
      <c r="A580" s="29"/>
      <c r="B580" s="29"/>
      <c r="C580" s="29"/>
      <c r="D580" s="33"/>
      <c r="E580" s="33"/>
      <c r="F580" s="33"/>
      <c r="G580" s="33"/>
      <c r="I580" s="29"/>
      <c r="J580" s="29"/>
      <c r="K580" s="29"/>
      <c r="L580" s="29"/>
      <c r="M580" s="29"/>
      <c r="N580" s="29"/>
      <c r="O580" s="29"/>
      <c r="P580" s="29"/>
      <c r="Q580" s="29"/>
      <c r="R580" s="29"/>
      <c r="S580" s="29"/>
      <c r="T580" s="29"/>
      <c r="U580" s="29"/>
      <c r="V580" s="29"/>
      <c r="W580" s="29"/>
      <c r="X580" s="29"/>
      <c r="Y580" s="29"/>
      <c r="Z580" s="29"/>
    </row>
    <row r="581" spans="1:26" ht="15">
      <c r="A581" s="29"/>
      <c r="B581" s="29"/>
      <c r="C581" s="29"/>
      <c r="D581" s="33"/>
      <c r="E581" s="33"/>
      <c r="F581" s="33"/>
      <c r="G581" s="33"/>
      <c r="I581" s="29"/>
      <c r="J581" s="29"/>
      <c r="K581" s="29"/>
      <c r="L581" s="29"/>
      <c r="M581" s="29"/>
      <c r="N581" s="29"/>
      <c r="O581" s="29"/>
      <c r="P581" s="29"/>
      <c r="Q581" s="29"/>
      <c r="R581" s="29"/>
      <c r="S581" s="29"/>
      <c r="T581" s="29"/>
      <c r="U581" s="29"/>
      <c r="V581" s="29"/>
      <c r="W581" s="29"/>
      <c r="X581" s="29"/>
      <c r="Y581" s="29"/>
      <c r="Z581" s="29"/>
    </row>
    <row r="582" spans="1:26" ht="15">
      <c r="A582" s="29"/>
      <c r="B582" s="29"/>
      <c r="C582" s="29"/>
      <c r="D582" s="33"/>
      <c r="E582" s="33"/>
      <c r="F582" s="33"/>
      <c r="G582" s="33"/>
      <c r="I582" s="29"/>
      <c r="J582" s="29"/>
      <c r="K582" s="29"/>
      <c r="L582" s="29"/>
      <c r="M582" s="29"/>
      <c r="N582" s="29"/>
      <c r="O582" s="29"/>
      <c r="P582" s="29"/>
      <c r="Q582" s="29"/>
      <c r="R582" s="29"/>
      <c r="S582" s="29"/>
      <c r="T582" s="29"/>
      <c r="U582" s="29"/>
      <c r="V582" s="29"/>
      <c r="W582" s="29"/>
      <c r="X582" s="29"/>
      <c r="Y582" s="29"/>
      <c r="Z582" s="29"/>
    </row>
    <row r="583" spans="1:26" ht="15">
      <c r="A583" s="29"/>
      <c r="B583" s="29"/>
      <c r="C583" s="29"/>
      <c r="D583" s="33"/>
      <c r="E583" s="33"/>
      <c r="F583" s="33"/>
      <c r="G583" s="33"/>
      <c r="I583" s="29"/>
      <c r="J583" s="29"/>
      <c r="K583" s="29"/>
      <c r="L583" s="29"/>
      <c r="M583" s="29"/>
      <c r="N583" s="29"/>
      <c r="O583" s="29"/>
      <c r="P583" s="29"/>
      <c r="Q583" s="29"/>
      <c r="R583" s="29"/>
      <c r="S583" s="29"/>
      <c r="T583" s="29"/>
      <c r="U583" s="29"/>
      <c r="V583" s="29"/>
      <c r="W583" s="29"/>
      <c r="X583" s="29"/>
      <c r="Y583" s="29"/>
      <c r="Z583" s="29"/>
    </row>
    <row r="584" spans="1:26" ht="15">
      <c r="A584" s="29"/>
      <c r="B584" s="29"/>
      <c r="C584" s="29"/>
      <c r="D584" s="33"/>
      <c r="E584" s="33"/>
      <c r="F584" s="33"/>
      <c r="G584" s="33"/>
      <c r="I584" s="29"/>
      <c r="J584" s="29"/>
      <c r="K584" s="29"/>
      <c r="L584" s="29"/>
      <c r="M584" s="29"/>
      <c r="N584" s="29"/>
      <c r="O584" s="29"/>
      <c r="P584" s="29"/>
      <c r="Q584" s="29"/>
      <c r="R584" s="29"/>
      <c r="S584" s="29"/>
      <c r="T584" s="29"/>
      <c r="U584" s="29"/>
      <c r="V584" s="29"/>
      <c r="W584" s="29"/>
      <c r="X584" s="29"/>
      <c r="Y584" s="29"/>
      <c r="Z584" s="29"/>
    </row>
    <row r="585" spans="1:26" ht="15">
      <c r="A585" s="29"/>
      <c r="B585" s="29"/>
      <c r="C585" s="29"/>
      <c r="D585" s="33"/>
      <c r="E585" s="33"/>
      <c r="F585" s="33"/>
      <c r="G585" s="33"/>
      <c r="I585" s="29"/>
      <c r="J585" s="29"/>
      <c r="K585" s="29"/>
      <c r="L585" s="29"/>
      <c r="M585" s="29"/>
      <c r="N585" s="29"/>
      <c r="O585" s="29"/>
      <c r="P585" s="29"/>
      <c r="Q585" s="29"/>
      <c r="R585" s="29"/>
      <c r="S585" s="29"/>
      <c r="T585" s="29"/>
      <c r="U585" s="29"/>
      <c r="V585" s="29"/>
      <c r="W585" s="29"/>
      <c r="X585" s="29"/>
      <c r="Y585" s="29"/>
      <c r="Z585" s="29"/>
    </row>
    <row r="586" spans="1:26" ht="15">
      <c r="A586" s="29"/>
      <c r="B586" s="29"/>
      <c r="C586" s="29"/>
      <c r="D586" s="33"/>
      <c r="E586" s="33"/>
      <c r="F586" s="33"/>
      <c r="G586" s="33"/>
      <c r="I586" s="29"/>
      <c r="J586" s="29"/>
      <c r="K586" s="29"/>
      <c r="L586" s="29"/>
      <c r="M586" s="29"/>
      <c r="N586" s="29"/>
      <c r="O586" s="29"/>
      <c r="P586" s="29"/>
      <c r="Q586" s="29"/>
      <c r="R586" s="29"/>
      <c r="S586" s="29"/>
      <c r="T586" s="29"/>
      <c r="U586" s="29"/>
      <c r="V586" s="29"/>
      <c r="W586" s="29"/>
      <c r="X586" s="29"/>
      <c r="Y586" s="29"/>
      <c r="Z586" s="29"/>
    </row>
    <row r="587" spans="1:26" ht="15">
      <c r="A587" s="29"/>
      <c r="B587" s="29"/>
      <c r="C587" s="29"/>
      <c r="D587" s="33"/>
      <c r="E587" s="33"/>
      <c r="F587" s="33"/>
      <c r="G587" s="33"/>
      <c r="I587" s="29"/>
      <c r="J587" s="29"/>
      <c r="K587" s="29"/>
      <c r="L587" s="29"/>
      <c r="M587" s="29"/>
      <c r="N587" s="29"/>
      <c r="O587" s="29"/>
      <c r="P587" s="29"/>
      <c r="Q587" s="29"/>
      <c r="R587" s="29"/>
      <c r="S587" s="29"/>
      <c r="T587" s="29"/>
      <c r="U587" s="29"/>
      <c r="V587" s="29"/>
      <c r="W587" s="29"/>
      <c r="X587" s="29"/>
      <c r="Y587" s="29"/>
      <c r="Z587" s="29"/>
    </row>
    <row r="588" spans="1:26" ht="15">
      <c r="A588" s="29"/>
      <c r="B588" s="29"/>
      <c r="C588" s="29"/>
      <c r="D588" s="33"/>
      <c r="E588" s="33"/>
      <c r="F588" s="33"/>
      <c r="G588" s="33"/>
      <c r="I588" s="29"/>
      <c r="J588" s="29"/>
      <c r="K588" s="29"/>
      <c r="L588" s="29"/>
      <c r="M588" s="29"/>
      <c r="N588" s="29"/>
      <c r="O588" s="29"/>
      <c r="P588" s="29"/>
      <c r="Q588" s="29"/>
      <c r="R588" s="29"/>
      <c r="S588" s="29"/>
      <c r="T588" s="29"/>
      <c r="U588" s="29"/>
      <c r="V588" s="29"/>
      <c r="W588" s="29"/>
      <c r="X588" s="29"/>
      <c r="Y588" s="29"/>
      <c r="Z588" s="29"/>
    </row>
    <row r="589" spans="1:26" ht="15">
      <c r="A589" s="29"/>
      <c r="B589" s="29"/>
      <c r="C589" s="29"/>
      <c r="D589" s="33"/>
      <c r="E589" s="33"/>
      <c r="F589" s="33"/>
      <c r="G589" s="33"/>
      <c r="I589" s="29"/>
      <c r="J589" s="29"/>
      <c r="K589" s="29"/>
      <c r="L589" s="29"/>
      <c r="M589" s="29"/>
      <c r="N589" s="29"/>
      <c r="O589" s="29"/>
      <c r="P589" s="29"/>
      <c r="Q589" s="29"/>
      <c r="R589" s="29"/>
      <c r="S589" s="29"/>
      <c r="T589" s="29"/>
      <c r="U589" s="29"/>
      <c r="V589" s="29"/>
      <c r="W589" s="29"/>
      <c r="X589" s="29"/>
      <c r="Y589" s="29"/>
      <c r="Z589" s="29"/>
    </row>
    <row r="590" spans="1:26" ht="15">
      <c r="A590" s="29"/>
      <c r="B590" s="29"/>
      <c r="C590" s="29"/>
      <c r="D590" s="33"/>
      <c r="E590" s="33"/>
      <c r="F590" s="33"/>
      <c r="G590" s="33"/>
      <c r="I590" s="29"/>
      <c r="J590" s="29"/>
      <c r="K590" s="29"/>
      <c r="L590" s="29"/>
      <c r="M590" s="29"/>
      <c r="N590" s="29"/>
      <c r="O590" s="29"/>
      <c r="P590" s="29"/>
      <c r="Q590" s="29"/>
      <c r="R590" s="29"/>
      <c r="S590" s="29"/>
      <c r="T590" s="29"/>
      <c r="U590" s="29"/>
      <c r="V590" s="29"/>
      <c r="W590" s="29"/>
      <c r="X590" s="29"/>
      <c r="Y590" s="29"/>
      <c r="Z590" s="29"/>
    </row>
    <row r="591" spans="1:26" ht="15">
      <c r="A591" s="29"/>
      <c r="B591" s="29"/>
      <c r="C591" s="29"/>
      <c r="D591" s="33"/>
      <c r="E591" s="33"/>
      <c r="F591" s="33"/>
      <c r="G591" s="33"/>
      <c r="I591" s="29"/>
      <c r="J591" s="29"/>
      <c r="K591" s="29"/>
      <c r="L591" s="29"/>
      <c r="M591" s="29"/>
      <c r="N591" s="29"/>
      <c r="O591" s="29"/>
      <c r="P591" s="29"/>
      <c r="Q591" s="29"/>
      <c r="R591" s="29"/>
      <c r="S591" s="29"/>
      <c r="T591" s="29"/>
      <c r="U591" s="29"/>
      <c r="V591" s="29"/>
      <c r="W591" s="29"/>
      <c r="X591" s="29"/>
      <c r="Y591" s="29"/>
      <c r="Z591" s="29"/>
    </row>
    <row r="592" spans="1:26" ht="15">
      <c r="A592" s="29"/>
      <c r="B592" s="29"/>
      <c r="C592" s="29"/>
      <c r="D592" s="33"/>
      <c r="E592" s="33"/>
      <c r="F592" s="33"/>
      <c r="G592" s="33"/>
      <c r="I592" s="29"/>
      <c r="J592" s="29"/>
      <c r="K592" s="29"/>
      <c r="L592" s="29"/>
      <c r="M592" s="29"/>
      <c r="N592" s="29"/>
      <c r="O592" s="29"/>
      <c r="P592" s="29"/>
      <c r="Q592" s="29"/>
      <c r="R592" s="29"/>
      <c r="S592" s="29"/>
      <c r="T592" s="29"/>
      <c r="U592" s="29"/>
      <c r="V592" s="29"/>
      <c r="W592" s="29"/>
      <c r="X592" s="29"/>
      <c r="Y592" s="29"/>
      <c r="Z592" s="29"/>
    </row>
    <row r="593" spans="1:26" ht="15">
      <c r="A593" s="29"/>
      <c r="B593" s="29"/>
      <c r="C593" s="29"/>
      <c r="D593" s="33"/>
      <c r="E593" s="33"/>
      <c r="F593" s="33"/>
      <c r="G593" s="33"/>
      <c r="I593" s="29"/>
      <c r="J593" s="29"/>
      <c r="K593" s="29"/>
      <c r="L593" s="29"/>
      <c r="M593" s="29"/>
      <c r="N593" s="29"/>
      <c r="O593" s="29"/>
      <c r="P593" s="29"/>
      <c r="Q593" s="29"/>
      <c r="R593" s="29"/>
      <c r="S593" s="29"/>
      <c r="T593" s="29"/>
      <c r="U593" s="29"/>
      <c r="V593" s="29"/>
      <c r="W593" s="29"/>
      <c r="X593" s="29"/>
      <c r="Y593" s="29"/>
      <c r="Z593" s="29"/>
    </row>
    <row r="594" spans="1:26" ht="15">
      <c r="A594" s="29"/>
      <c r="B594" s="29"/>
      <c r="C594" s="29"/>
      <c r="D594" s="33"/>
      <c r="E594" s="33"/>
      <c r="F594" s="33"/>
      <c r="G594" s="33"/>
      <c r="I594" s="29"/>
      <c r="J594" s="29"/>
      <c r="K594" s="29"/>
      <c r="L594" s="29"/>
      <c r="M594" s="29"/>
      <c r="N594" s="29"/>
      <c r="O594" s="29"/>
      <c r="P594" s="29"/>
      <c r="Q594" s="29"/>
      <c r="R594" s="29"/>
      <c r="S594" s="29"/>
      <c r="T594" s="29"/>
      <c r="U594" s="29"/>
      <c r="V594" s="29"/>
      <c r="W594" s="29"/>
      <c r="X594" s="29"/>
      <c r="Y594" s="29"/>
      <c r="Z594" s="29"/>
    </row>
    <row r="595" spans="1:26" ht="15">
      <c r="A595" s="29"/>
      <c r="B595" s="29"/>
      <c r="C595" s="29"/>
      <c r="D595" s="33"/>
      <c r="E595" s="33"/>
      <c r="F595" s="33"/>
      <c r="G595" s="33"/>
      <c r="I595" s="29"/>
      <c r="J595" s="29"/>
      <c r="K595" s="29"/>
      <c r="L595" s="29"/>
      <c r="M595" s="29"/>
      <c r="N595" s="29"/>
      <c r="O595" s="29"/>
      <c r="P595" s="29"/>
      <c r="Q595" s="29"/>
      <c r="R595" s="29"/>
      <c r="S595" s="29"/>
      <c r="T595" s="29"/>
      <c r="U595" s="29"/>
      <c r="V595" s="29"/>
      <c r="W595" s="29"/>
      <c r="X595" s="29"/>
      <c r="Y595" s="29"/>
      <c r="Z595" s="29"/>
    </row>
    <row r="596" spans="1:26" ht="15">
      <c r="A596" s="29"/>
      <c r="B596" s="29"/>
      <c r="C596" s="29"/>
      <c r="D596" s="33"/>
      <c r="E596" s="33"/>
      <c r="F596" s="33"/>
      <c r="G596" s="33"/>
      <c r="I596" s="29"/>
      <c r="J596" s="29"/>
      <c r="K596" s="29"/>
      <c r="L596" s="29"/>
      <c r="M596" s="29"/>
      <c r="N596" s="29"/>
      <c r="O596" s="29"/>
      <c r="P596" s="29"/>
      <c r="Q596" s="29"/>
      <c r="R596" s="29"/>
      <c r="S596" s="29"/>
      <c r="T596" s="29"/>
      <c r="U596" s="29"/>
      <c r="V596" s="29"/>
      <c r="W596" s="29"/>
      <c r="X596" s="29"/>
      <c r="Y596" s="29"/>
      <c r="Z596" s="29"/>
    </row>
    <row r="597" spans="1:26" ht="15">
      <c r="A597" s="29"/>
      <c r="B597" s="29"/>
      <c r="C597" s="29"/>
      <c r="D597" s="33"/>
      <c r="E597" s="33"/>
      <c r="F597" s="33"/>
      <c r="G597" s="33"/>
      <c r="I597" s="29"/>
      <c r="J597" s="29"/>
      <c r="K597" s="29"/>
      <c r="L597" s="29"/>
      <c r="M597" s="29"/>
      <c r="N597" s="29"/>
      <c r="O597" s="29"/>
      <c r="P597" s="29"/>
      <c r="Q597" s="29"/>
      <c r="R597" s="29"/>
      <c r="S597" s="29"/>
      <c r="T597" s="29"/>
      <c r="U597" s="29"/>
      <c r="V597" s="29"/>
      <c r="W597" s="29"/>
      <c r="X597" s="29"/>
      <c r="Y597" s="29"/>
      <c r="Z597" s="29"/>
    </row>
    <row r="598" spans="1:26" ht="15">
      <c r="A598" s="29"/>
      <c r="B598" s="29"/>
      <c r="C598" s="29"/>
      <c r="D598" s="33"/>
      <c r="E598" s="33"/>
      <c r="F598" s="33"/>
      <c r="G598" s="33"/>
      <c r="I598" s="29"/>
      <c r="J598" s="29"/>
      <c r="K598" s="29"/>
      <c r="L598" s="29"/>
      <c r="M598" s="29"/>
      <c r="N598" s="29"/>
      <c r="O598" s="29"/>
      <c r="P598" s="29"/>
      <c r="Q598" s="29"/>
      <c r="R598" s="29"/>
      <c r="S598" s="29"/>
      <c r="T598" s="29"/>
      <c r="U598" s="29"/>
      <c r="V598" s="29"/>
      <c r="W598" s="29"/>
      <c r="X598" s="29"/>
      <c r="Y598" s="29"/>
      <c r="Z598" s="29"/>
    </row>
    <row r="599" spans="1:26" ht="15">
      <c r="A599" s="29"/>
      <c r="B599" s="29"/>
      <c r="C599" s="29"/>
      <c r="D599" s="33"/>
      <c r="E599" s="33"/>
      <c r="F599" s="33"/>
      <c r="G599" s="33"/>
      <c r="I599" s="29"/>
      <c r="J599" s="29"/>
      <c r="K599" s="29"/>
      <c r="L599" s="29"/>
      <c r="M599" s="29"/>
      <c r="N599" s="29"/>
      <c r="O599" s="29"/>
      <c r="P599" s="29"/>
      <c r="Q599" s="29"/>
      <c r="R599" s="29"/>
      <c r="S599" s="29"/>
      <c r="T599" s="29"/>
      <c r="U599" s="29"/>
      <c r="V599" s="29"/>
      <c r="W599" s="29"/>
      <c r="X599" s="29"/>
      <c r="Y599" s="29"/>
      <c r="Z599" s="29"/>
    </row>
    <row r="600" spans="1:26" ht="15">
      <c r="A600" s="29"/>
      <c r="B600" s="29"/>
      <c r="C600" s="29"/>
      <c r="D600" s="33"/>
      <c r="E600" s="33"/>
      <c r="F600" s="33"/>
      <c r="G600" s="33"/>
      <c r="I600" s="29"/>
      <c r="J600" s="29"/>
      <c r="K600" s="29"/>
      <c r="L600" s="29"/>
      <c r="M600" s="29"/>
      <c r="N600" s="29"/>
      <c r="O600" s="29"/>
      <c r="P600" s="29"/>
      <c r="Q600" s="29"/>
      <c r="R600" s="29"/>
      <c r="S600" s="29"/>
      <c r="T600" s="29"/>
      <c r="U600" s="29"/>
      <c r="V600" s="29"/>
      <c r="W600" s="29"/>
      <c r="X600" s="29"/>
      <c r="Y600" s="29"/>
      <c r="Z600" s="29"/>
    </row>
    <row r="601" spans="1:26" ht="15">
      <c r="A601" s="29"/>
      <c r="B601" s="29"/>
      <c r="C601" s="29"/>
      <c r="D601" s="33"/>
      <c r="E601" s="33"/>
      <c r="F601" s="33"/>
      <c r="G601" s="33"/>
      <c r="I601" s="29"/>
      <c r="J601" s="29"/>
      <c r="K601" s="29"/>
      <c r="L601" s="29"/>
      <c r="M601" s="29"/>
      <c r="N601" s="29"/>
      <c r="O601" s="29"/>
      <c r="P601" s="29"/>
      <c r="Q601" s="29"/>
      <c r="R601" s="29"/>
      <c r="S601" s="29"/>
      <c r="T601" s="29"/>
      <c r="U601" s="29"/>
      <c r="V601" s="29"/>
      <c r="W601" s="29"/>
      <c r="X601" s="29"/>
      <c r="Y601" s="29"/>
      <c r="Z601" s="29"/>
    </row>
    <row r="602" spans="1:26" ht="15">
      <c r="A602" s="29"/>
      <c r="B602" s="29"/>
      <c r="C602" s="29"/>
      <c r="D602" s="33"/>
      <c r="E602" s="33"/>
      <c r="F602" s="33"/>
      <c r="G602" s="33"/>
      <c r="I602" s="29"/>
      <c r="J602" s="29"/>
      <c r="K602" s="29"/>
      <c r="L602" s="29"/>
      <c r="M602" s="29"/>
      <c r="N602" s="29"/>
      <c r="O602" s="29"/>
      <c r="P602" s="29"/>
      <c r="Q602" s="29"/>
      <c r="R602" s="29"/>
      <c r="S602" s="29"/>
      <c r="T602" s="29"/>
      <c r="U602" s="29"/>
      <c r="V602" s="29"/>
      <c r="W602" s="29"/>
      <c r="X602" s="29"/>
      <c r="Y602" s="29"/>
      <c r="Z602" s="29"/>
    </row>
    <row r="603" spans="1:26" ht="15">
      <c r="A603" s="29"/>
      <c r="B603" s="29"/>
      <c r="C603" s="29"/>
      <c r="D603" s="33"/>
      <c r="E603" s="33"/>
      <c r="F603" s="33"/>
      <c r="G603" s="33"/>
      <c r="I603" s="29"/>
      <c r="J603" s="29"/>
      <c r="K603" s="29"/>
      <c r="L603" s="29"/>
      <c r="M603" s="29"/>
      <c r="N603" s="29"/>
      <c r="O603" s="29"/>
      <c r="P603" s="29"/>
      <c r="Q603" s="29"/>
      <c r="R603" s="29"/>
      <c r="S603" s="29"/>
      <c r="T603" s="29"/>
      <c r="U603" s="29"/>
      <c r="V603" s="29"/>
      <c r="W603" s="29"/>
      <c r="X603" s="29"/>
      <c r="Y603" s="29"/>
      <c r="Z603" s="29"/>
    </row>
    <row r="604" spans="1:26" ht="15">
      <c r="A604" s="29"/>
      <c r="B604" s="29"/>
      <c r="C604" s="29"/>
      <c r="D604" s="33"/>
      <c r="E604" s="33"/>
      <c r="F604" s="33"/>
      <c r="G604" s="33"/>
      <c r="I604" s="29"/>
      <c r="J604" s="29"/>
      <c r="K604" s="29"/>
      <c r="L604" s="29"/>
      <c r="M604" s="29"/>
      <c r="N604" s="29"/>
      <c r="O604" s="29"/>
      <c r="P604" s="29"/>
      <c r="Q604" s="29"/>
      <c r="R604" s="29"/>
      <c r="S604" s="29"/>
      <c r="T604" s="29"/>
      <c r="U604" s="29"/>
      <c r="V604" s="29"/>
      <c r="W604" s="29"/>
      <c r="X604" s="29"/>
      <c r="Y604" s="29"/>
      <c r="Z604" s="29"/>
    </row>
    <row r="605" spans="1:26" ht="15">
      <c r="A605" s="29"/>
      <c r="B605" s="29"/>
      <c r="C605" s="29"/>
      <c r="D605" s="33"/>
      <c r="E605" s="33"/>
      <c r="F605" s="33"/>
      <c r="G605" s="33"/>
      <c r="I605" s="29"/>
      <c r="J605" s="29"/>
      <c r="K605" s="29"/>
      <c r="L605" s="29"/>
      <c r="M605" s="29"/>
      <c r="N605" s="29"/>
      <c r="O605" s="29"/>
      <c r="P605" s="29"/>
      <c r="Q605" s="29"/>
      <c r="R605" s="29"/>
      <c r="S605" s="29"/>
      <c r="T605" s="29"/>
      <c r="U605" s="29"/>
      <c r="V605" s="29"/>
      <c r="W605" s="29"/>
      <c r="X605" s="29"/>
      <c r="Y605" s="29"/>
      <c r="Z605" s="29"/>
    </row>
    <row r="606" spans="1:26" ht="15">
      <c r="A606" s="29"/>
      <c r="B606" s="29"/>
      <c r="C606" s="29"/>
      <c r="D606" s="33"/>
      <c r="E606" s="33"/>
      <c r="F606" s="33"/>
      <c r="G606" s="33"/>
      <c r="I606" s="29"/>
      <c r="J606" s="29"/>
      <c r="K606" s="29"/>
      <c r="L606" s="29"/>
      <c r="M606" s="29"/>
      <c r="N606" s="29"/>
      <c r="O606" s="29"/>
      <c r="P606" s="29"/>
      <c r="Q606" s="29"/>
      <c r="R606" s="29"/>
      <c r="S606" s="29"/>
      <c r="T606" s="29"/>
      <c r="U606" s="29"/>
      <c r="V606" s="29"/>
      <c r="W606" s="29"/>
      <c r="X606" s="29"/>
      <c r="Y606" s="29"/>
      <c r="Z606" s="29"/>
    </row>
    <row r="607" spans="1:26" ht="15">
      <c r="A607" s="29"/>
      <c r="B607" s="29"/>
      <c r="C607" s="29"/>
      <c r="D607" s="33"/>
      <c r="E607" s="33"/>
      <c r="F607" s="33"/>
      <c r="G607" s="33"/>
      <c r="I607" s="29"/>
      <c r="J607" s="29"/>
      <c r="K607" s="29"/>
      <c r="L607" s="29"/>
      <c r="M607" s="29"/>
      <c r="N607" s="29"/>
      <c r="O607" s="29"/>
      <c r="P607" s="29"/>
      <c r="Q607" s="29"/>
      <c r="R607" s="29"/>
      <c r="S607" s="29"/>
      <c r="T607" s="29"/>
      <c r="U607" s="29"/>
      <c r="V607" s="29"/>
      <c r="W607" s="29"/>
      <c r="X607" s="29"/>
      <c r="Y607" s="29"/>
      <c r="Z607" s="29"/>
    </row>
    <row r="608" spans="1:26" ht="15">
      <c r="A608" s="29"/>
      <c r="B608" s="29"/>
      <c r="C608" s="29"/>
      <c r="D608" s="33"/>
      <c r="E608" s="33"/>
      <c r="F608" s="33"/>
      <c r="G608" s="33"/>
      <c r="I608" s="29"/>
      <c r="J608" s="29"/>
      <c r="K608" s="29"/>
      <c r="L608" s="29"/>
      <c r="M608" s="29"/>
      <c r="N608" s="29"/>
      <c r="O608" s="29"/>
      <c r="P608" s="29"/>
      <c r="Q608" s="29"/>
      <c r="R608" s="29"/>
      <c r="S608" s="29"/>
      <c r="T608" s="29"/>
      <c r="U608" s="29"/>
      <c r="V608" s="29"/>
      <c r="W608" s="29"/>
      <c r="X608" s="29"/>
      <c r="Y608" s="29"/>
      <c r="Z608" s="29"/>
    </row>
    <row r="609" spans="1:26" ht="15">
      <c r="A609" s="29"/>
      <c r="B609" s="29"/>
      <c r="C609" s="29"/>
      <c r="D609" s="33"/>
      <c r="E609" s="33"/>
      <c r="F609" s="33"/>
      <c r="G609" s="33"/>
      <c r="I609" s="29"/>
      <c r="J609" s="29"/>
      <c r="K609" s="29"/>
      <c r="L609" s="29"/>
      <c r="M609" s="29"/>
      <c r="N609" s="29"/>
      <c r="O609" s="29"/>
      <c r="P609" s="29"/>
      <c r="Q609" s="29"/>
      <c r="R609" s="29"/>
      <c r="S609" s="29"/>
      <c r="T609" s="29"/>
      <c r="U609" s="29"/>
      <c r="V609" s="29"/>
      <c r="W609" s="29"/>
      <c r="X609" s="29"/>
      <c r="Y609" s="29"/>
      <c r="Z609" s="29"/>
    </row>
    <row r="610" spans="1:26" ht="15">
      <c r="A610" s="29"/>
      <c r="B610" s="29"/>
      <c r="C610" s="29"/>
      <c r="D610" s="33"/>
      <c r="E610" s="33"/>
      <c r="F610" s="33"/>
      <c r="G610" s="33"/>
      <c r="I610" s="29"/>
      <c r="J610" s="29"/>
      <c r="K610" s="29"/>
      <c r="L610" s="29"/>
      <c r="M610" s="29"/>
      <c r="N610" s="29"/>
      <c r="O610" s="29"/>
      <c r="P610" s="29"/>
      <c r="Q610" s="29"/>
      <c r="R610" s="29"/>
      <c r="S610" s="29"/>
      <c r="T610" s="29"/>
      <c r="U610" s="29"/>
      <c r="V610" s="29"/>
      <c r="W610" s="29"/>
      <c r="X610" s="29"/>
      <c r="Y610" s="29"/>
      <c r="Z610" s="29"/>
    </row>
    <row r="611" spans="1:26" ht="15">
      <c r="A611" s="29"/>
      <c r="B611" s="29"/>
      <c r="C611" s="29"/>
      <c r="D611" s="33"/>
      <c r="E611" s="33"/>
      <c r="F611" s="33"/>
      <c r="G611" s="33"/>
      <c r="I611" s="29"/>
      <c r="J611" s="29"/>
      <c r="K611" s="29"/>
      <c r="L611" s="29"/>
      <c r="M611" s="29"/>
      <c r="N611" s="29"/>
      <c r="O611" s="29"/>
      <c r="P611" s="29"/>
      <c r="Q611" s="29"/>
      <c r="R611" s="29"/>
      <c r="S611" s="29"/>
      <c r="T611" s="29"/>
      <c r="U611" s="29"/>
      <c r="V611" s="29"/>
      <c r="W611" s="29"/>
      <c r="X611" s="29"/>
      <c r="Y611" s="29"/>
      <c r="Z611" s="29"/>
    </row>
    <row r="612" spans="1:26" ht="15">
      <c r="A612" s="29"/>
      <c r="B612" s="29"/>
      <c r="C612" s="29"/>
      <c r="D612" s="33"/>
      <c r="E612" s="33"/>
      <c r="F612" s="33"/>
      <c r="G612" s="33"/>
      <c r="I612" s="29"/>
      <c r="J612" s="29"/>
      <c r="K612" s="29"/>
      <c r="L612" s="29"/>
      <c r="M612" s="29"/>
      <c r="N612" s="29"/>
      <c r="O612" s="29"/>
      <c r="P612" s="29"/>
      <c r="Q612" s="29"/>
      <c r="R612" s="29"/>
      <c r="S612" s="29"/>
      <c r="T612" s="29"/>
      <c r="U612" s="29"/>
      <c r="V612" s="29"/>
      <c r="W612" s="29"/>
      <c r="X612" s="29"/>
      <c r="Y612" s="29"/>
      <c r="Z612" s="29"/>
    </row>
    <row r="613" spans="1:26" ht="15">
      <c r="A613" s="29"/>
      <c r="B613" s="29"/>
      <c r="C613" s="29"/>
      <c r="D613" s="33"/>
      <c r="E613" s="33"/>
      <c r="F613" s="33"/>
      <c r="G613" s="33"/>
      <c r="I613" s="29"/>
      <c r="J613" s="29"/>
      <c r="K613" s="29"/>
      <c r="L613" s="29"/>
      <c r="M613" s="29"/>
      <c r="N613" s="29"/>
      <c r="O613" s="29"/>
      <c r="P613" s="29"/>
      <c r="Q613" s="29"/>
      <c r="R613" s="29"/>
      <c r="S613" s="29"/>
      <c r="T613" s="29"/>
      <c r="U613" s="29"/>
      <c r="V613" s="29"/>
      <c r="W613" s="29"/>
      <c r="X613" s="29"/>
      <c r="Y613" s="29"/>
      <c r="Z613" s="29"/>
    </row>
    <row r="614" spans="1:26" ht="15">
      <c r="A614" s="29"/>
      <c r="B614" s="29"/>
      <c r="C614" s="29"/>
      <c r="D614" s="33"/>
      <c r="E614" s="33"/>
      <c r="F614" s="33"/>
      <c r="G614" s="33"/>
      <c r="I614" s="29"/>
      <c r="J614" s="29"/>
      <c r="K614" s="29"/>
      <c r="L614" s="29"/>
      <c r="M614" s="29"/>
      <c r="N614" s="29"/>
      <c r="O614" s="29"/>
      <c r="P614" s="29"/>
      <c r="Q614" s="29"/>
      <c r="R614" s="29"/>
      <c r="S614" s="29"/>
      <c r="T614" s="29"/>
      <c r="U614" s="29"/>
      <c r="V614" s="29"/>
      <c r="W614" s="29"/>
      <c r="X614" s="29"/>
      <c r="Y614" s="29"/>
      <c r="Z614" s="29"/>
    </row>
    <row r="615" spans="1:26" ht="15">
      <c r="A615" s="29"/>
      <c r="B615" s="29"/>
      <c r="C615" s="29"/>
      <c r="D615" s="33"/>
      <c r="E615" s="33"/>
      <c r="F615" s="33"/>
      <c r="G615" s="33"/>
      <c r="I615" s="29"/>
      <c r="J615" s="29"/>
      <c r="K615" s="29"/>
      <c r="L615" s="29"/>
      <c r="M615" s="29"/>
      <c r="N615" s="29"/>
      <c r="O615" s="29"/>
      <c r="P615" s="29"/>
      <c r="Q615" s="29"/>
      <c r="R615" s="29"/>
      <c r="S615" s="29"/>
      <c r="T615" s="29"/>
      <c r="U615" s="29"/>
      <c r="V615" s="29"/>
      <c r="W615" s="29"/>
      <c r="X615" s="29"/>
      <c r="Y615" s="29"/>
      <c r="Z615" s="29"/>
    </row>
    <row r="616" spans="1:26" ht="15">
      <c r="A616" s="29"/>
      <c r="B616" s="29"/>
      <c r="C616" s="29"/>
      <c r="D616" s="33"/>
      <c r="E616" s="33"/>
      <c r="F616" s="33"/>
      <c r="G616" s="33"/>
      <c r="I616" s="29"/>
      <c r="J616" s="29"/>
      <c r="K616" s="29"/>
      <c r="L616" s="29"/>
      <c r="M616" s="29"/>
      <c r="N616" s="29"/>
      <c r="O616" s="29"/>
      <c r="P616" s="29"/>
      <c r="Q616" s="29"/>
      <c r="R616" s="29"/>
      <c r="S616" s="29"/>
      <c r="T616" s="29"/>
      <c r="U616" s="29"/>
      <c r="V616" s="29"/>
      <c r="W616" s="29"/>
      <c r="X616" s="29"/>
      <c r="Y616" s="29"/>
      <c r="Z616" s="29"/>
    </row>
    <row r="617" spans="1:26" ht="15">
      <c r="A617" s="29"/>
      <c r="B617" s="29"/>
      <c r="C617" s="29"/>
      <c r="D617" s="33"/>
      <c r="E617" s="33"/>
      <c r="F617" s="33"/>
      <c r="G617" s="33"/>
      <c r="I617" s="29"/>
      <c r="J617" s="29"/>
      <c r="K617" s="29"/>
      <c r="L617" s="29"/>
      <c r="M617" s="29"/>
      <c r="N617" s="29"/>
      <c r="O617" s="29"/>
      <c r="P617" s="29"/>
      <c r="Q617" s="29"/>
      <c r="R617" s="29"/>
      <c r="S617" s="29"/>
      <c r="T617" s="29"/>
      <c r="U617" s="29"/>
      <c r="V617" s="29"/>
      <c r="W617" s="29"/>
      <c r="X617" s="29"/>
      <c r="Y617" s="29"/>
      <c r="Z617" s="29"/>
    </row>
    <row r="618" spans="1:26" ht="15">
      <c r="A618" s="29"/>
      <c r="B618" s="29"/>
      <c r="C618" s="29"/>
      <c r="D618" s="33"/>
      <c r="E618" s="33"/>
      <c r="F618" s="33"/>
      <c r="G618" s="33"/>
      <c r="I618" s="29"/>
      <c r="J618" s="29"/>
      <c r="K618" s="29"/>
      <c r="L618" s="29"/>
      <c r="M618" s="29"/>
      <c r="N618" s="29"/>
      <c r="O618" s="29"/>
      <c r="P618" s="29"/>
      <c r="Q618" s="29"/>
      <c r="R618" s="29"/>
      <c r="S618" s="29"/>
      <c r="T618" s="29"/>
      <c r="U618" s="29"/>
      <c r="V618" s="29"/>
      <c r="W618" s="29"/>
      <c r="X618" s="29"/>
      <c r="Y618" s="29"/>
      <c r="Z618" s="29"/>
    </row>
    <row r="619" spans="1:26" ht="15">
      <c r="A619" s="29"/>
      <c r="B619" s="29"/>
      <c r="C619" s="29"/>
      <c r="D619" s="33"/>
      <c r="E619" s="33"/>
      <c r="F619" s="33"/>
      <c r="G619" s="33"/>
      <c r="I619" s="29"/>
      <c r="J619" s="29"/>
      <c r="K619" s="29"/>
      <c r="L619" s="29"/>
      <c r="M619" s="29"/>
      <c r="N619" s="29"/>
      <c r="O619" s="29"/>
      <c r="P619" s="29"/>
      <c r="Q619" s="29"/>
      <c r="R619" s="29"/>
      <c r="S619" s="29"/>
      <c r="T619" s="29"/>
      <c r="U619" s="29"/>
      <c r="V619" s="29"/>
      <c r="W619" s="29"/>
      <c r="X619" s="29"/>
      <c r="Y619" s="29"/>
      <c r="Z619" s="29"/>
    </row>
    <row r="620" spans="1:26" ht="15">
      <c r="A620" s="29"/>
      <c r="B620" s="29"/>
      <c r="C620" s="29"/>
      <c r="D620" s="33"/>
      <c r="E620" s="33"/>
      <c r="F620" s="33"/>
      <c r="G620" s="33"/>
      <c r="I620" s="29"/>
      <c r="J620" s="29"/>
      <c r="K620" s="29"/>
      <c r="L620" s="29"/>
      <c r="M620" s="29"/>
      <c r="N620" s="29"/>
      <c r="O620" s="29"/>
      <c r="P620" s="29"/>
      <c r="Q620" s="29"/>
      <c r="R620" s="29"/>
      <c r="S620" s="29"/>
      <c r="T620" s="29"/>
      <c r="U620" s="29"/>
      <c r="V620" s="29"/>
      <c r="W620" s="29"/>
      <c r="X620" s="29"/>
      <c r="Y620" s="29"/>
      <c r="Z620" s="29"/>
    </row>
    <row r="621" spans="1:26" ht="15">
      <c r="A621" s="29"/>
      <c r="B621" s="29"/>
      <c r="C621" s="29"/>
      <c r="D621" s="33"/>
      <c r="E621" s="33"/>
      <c r="F621" s="33"/>
      <c r="G621" s="33"/>
      <c r="I621" s="29"/>
      <c r="J621" s="29"/>
      <c r="K621" s="29"/>
      <c r="L621" s="29"/>
      <c r="M621" s="29"/>
      <c r="N621" s="29"/>
      <c r="O621" s="29"/>
      <c r="P621" s="29"/>
      <c r="Q621" s="29"/>
      <c r="R621" s="29"/>
      <c r="S621" s="29"/>
      <c r="T621" s="29"/>
      <c r="U621" s="29"/>
      <c r="V621" s="29"/>
      <c r="W621" s="29"/>
      <c r="X621" s="29"/>
      <c r="Y621" s="29"/>
      <c r="Z621" s="29"/>
    </row>
    <row r="622" spans="1:26" ht="15">
      <c r="A622" s="29"/>
      <c r="B622" s="29"/>
      <c r="C622" s="29"/>
      <c r="D622" s="33"/>
      <c r="E622" s="33"/>
      <c r="F622" s="33"/>
      <c r="G622" s="33"/>
      <c r="I622" s="29"/>
      <c r="J622" s="29"/>
      <c r="K622" s="29"/>
      <c r="L622" s="29"/>
      <c r="M622" s="29"/>
      <c r="N622" s="29"/>
      <c r="O622" s="29"/>
      <c r="P622" s="29"/>
      <c r="Q622" s="29"/>
      <c r="R622" s="29"/>
      <c r="S622" s="29"/>
      <c r="T622" s="29"/>
      <c r="U622" s="29"/>
      <c r="V622" s="29"/>
      <c r="W622" s="29"/>
      <c r="X622" s="29"/>
      <c r="Y622" s="29"/>
      <c r="Z622" s="29"/>
    </row>
    <row r="623" spans="1:26" ht="15">
      <c r="A623" s="29"/>
      <c r="B623" s="29"/>
      <c r="C623" s="29"/>
      <c r="D623" s="33"/>
      <c r="E623" s="33"/>
      <c r="F623" s="33"/>
      <c r="G623" s="33"/>
      <c r="I623" s="29"/>
      <c r="J623" s="29"/>
      <c r="K623" s="29"/>
      <c r="L623" s="29"/>
      <c r="M623" s="29"/>
      <c r="N623" s="29"/>
      <c r="O623" s="29"/>
      <c r="P623" s="29"/>
      <c r="Q623" s="29"/>
      <c r="R623" s="29"/>
      <c r="S623" s="29"/>
      <c r="T623" s="29"/>
      <c r="U623" s="29"/>
      <c r="V623" s="29"/>
      <c r="W623" s="29"/>
      <c r="X623" s="29"/>
      <c r="Y623" s="29"/>
      <c r="Z623" s="29"/>
    </row>
    <row r="624" spans="1:26" ht="15">
      <c r="A624" s="29"/>
      <c r="B624" s="29"/>
      <c r="C624" s="29"/>
      <c r="D624" s="33"/>
      <c r="E624" s="33"/>
      <c r="F624" s="33"/>
      <c r="G624" s="33"/>
      <c r="I624" s="29"/>
      <c r="J624" s="29"/>
      <c r="K624" s="29"/>
      <c r="L624" s="29"/>
      <c r="M624" s="29"/>
      <c r="N624" s="29"/>
      <c r="O624" s="29"/>
      <c r="P624" s="29"/>
      <c r="Q624" s="29"/>
      <c r="R624" s="29"/>
      <c r="S624" s="29"/>
      <c r="T624" s="29"/>
      <c r="U624" s="29"/>
      <c r="V624" s="29"/>
      <c r="W624" s="29"/>
      <c r="X624" s="29"/>
      <c r="Y624" s="29"/>
      <c r="Z624" s="29"/>
    </row>
    <row r="625" spans="1:26" ht="15">
      <c r="A625" s="29"/>
      <c r="B625" s="29"/>
      <c r="C625" s="29"/>
      <c r="D625" s="33"/>
      <c r="E625" s="33"/>
      <c r="F625" s="33"/>
      <c r="G625" s="33"/>
      <c r="I625" s="29"/>
      <c r="J625" s="29"/>
      <c r="K625" s="29"/>
      <c r="L625" s="29"/>
      <c r="M625" s="29"/>
      <c r="N625" s="29"/>
      <c r="O625" s="29"/>
      <c r="P625" s="29"/>
      <c r="Q625" s="29"/>
      <c r="R625" s="29"/>
      <c r="S625" s="29"/>
      <c r="T625" s="29"/>
      <c r="U625" s="29"/>
      <c r="V625" s="29"/>
      <c r="W625" s="29"/>
      <c r="X625" s="29"/>
      <c r="Y625" s="29"/>
      <c r="Z625" s="29"/>
    </row>
    <row r="626" spans="1:26" ht="15">
      <c r="A626" s="29"/>
      <c r="B626" s="29"/>
      <c r="C626" s="29"/>
      <c r="D626" s="33"/>
      <c r="E626" s="33"/>
      <c r="F626" s="33"/>
      <c r="G626" s="33"/>
      <c r="I626" s="29"/>
      <c r="J626" s="29"/>
      <c r="K626" s="29"/>
      <c r="L626" s="29"/>
      <c r="M626" s="29"/>
      <c r="N626" s="29"/>
      <c r="O626" s="29"/>
      <c r="P626" s="29"/>
      <c r="Q626" s="29"/>
      <c r="R626" s="29"/>
      <c r="S626" s="29"/>
      <c r="T626" s="29"/>
      <c r="U626" s="29"/>
      <c r="V626" s="29"/>
      <c r="W626" s="29"/>
      <c r="X626" s="29"/>
      <c r="Y626" s="29"/>
      <c r="Z626" s="29"/>
    </row>
    <row r="627" spans="1:26" ht="15">
      <c r="A627" s="29"/>
      <c r="B627" s="29"/>
      <c r="C627" s="29"/>
      <c r="D627" s="33"/>
      <c r="E627" s="33"/>
      <c r="F627" s="33"/>
      <c r="G627" s="33"/>
      <c r="I627" s="29"/>
      <c r="J627" s="29"/>
      <c r="K627" s="29"/>
      <c r="L627" s="29"/>
      <c r="M627" s="29"/>
      <c r="N627" s="29"/>
      <c r="O627" s="29"/>
      <c r="P627" s="29"/>
      <c r="Q627" s="29"/>
      <c r="R627" s="29"/>
      <c r="S627" s="29"/>
      <c r="T627" s="29"/>
      <c r="U627" s="29"/>
      <c r="V627" s="29"/>
      <c r="W627" s="29"/>
      <c r="X627" s="29"/>
      <c r="Y627" s="29"/>
      <c r="Z627" s="29"/>
    </row>
    <row r="628" spans="1:26" ht="15">
      <c r="A628" s="29"/>
      <c r="B628" s="29"/>
      <c r="C628" s="29"/>
      <c r="D628" s="33"/>
      <c r="E628" s="33"/>
      <c r="F628" s="33"/>
      <c r="G628" s="33"/>
      <c r="I628" s="29"/>
      <c r="J628" s="29"/>
      <c r="K628" s="29"/>
      <c r="L628" s="29"/>
      <c r="M628" s="29"/>
      <c r="N628" s="29"/>
      <c r="O628" s="29"/>
      <c r="P628" s="29"/>
      <c r="Q628" s="29"/>
      <c r="R628" s="29"/>
      <c r="S628" s="29"/>
      <c r="T628" s="29"/>
      <c r="U628" s="29"/>
      <c r="V628" s="29"/>
      <c r="W628" s="29"/>
      <c r="X628" s="29"/>
      <c r="Y628" s="29"/>
      <c r="Z628" s="29"/>
    </row>
    <row r="629" spans="1:26" ht="15">
      <c r="A629" s="29"/>
      <c r="B629" s="29"/>
      <c r="C629" s="29"/>
      <c r="D629" s="33"/>
      <c r="E629" s="33"/>
      <c r="F629" s="33"/>
      <c r="G629" s="33"/>
      <c r="I629" s="29"/>
      <c r="J629" s="29"/>
      <c r="K629" s="29"/>
      <c r="L629" s="29"/>
      <c r="M629" s="29"/>
      <c r="N629" s="29"/>
      <c r="O629" s="29"/>
      <c r="P629" s="29"/>
      <c r="Q629" s="29"/>
      <c r="R629" s="29"/>
      <c r="S629" s="29"/>
      <c r="T629" s="29"/>
      <c r="U629" s="29"/>
      <c r="V629" s="29"/>
      <c r="W629" s="29"/>
      <c r="X629" s="29"/>
      <c r="Y629" s="29"/>
      <c r="Z629" s="29"/>
    </row>
    <row r="630" spans="1:26" ht="15">
      <c r="A630" s="29"/>
      <c r="B630" s="29"/>
      <c r="C630" s="29"/>
      <c r="D630" s="33"/>
      <c r="E630" s="33"/>
      <c r="F630" s="33"/>
      <c r="G630" s="33"/>
      <c r="I630" s="29"/>
      <c r="J630" s="29"/>
      <c r="K630" s="29"/>
      <c r="L630" s="29"/>
      <c r="M630" s="29"/>
      <c r="N630" s="29"/>
      <c r="O630" s="29"/>
      <c r="P630" s="29"/>
      <c r="Q630" s="29"/>
      <c r="R630" s="29"/>
      <c r="S630" s="29"/>
      <c r="T630" s="29"/>
      <c r="U630" s="29"/>
      <c r="V630" s="29"/>
      <c r="W630" s="29"/>
      <c r="X630" s="29"/>
      <c r="Y630" s="29"/>
      <c r="Z630" s="29"/>
    </row>
    <row r="631" spans="1:26" ht="15">
      <c r="A631" s="29"/>
      <c r="B631" s="29"/>
      <c r="C631" s="29"/>
      <c r="D631" s="33"/>
      <c r="E631" s="33"/>
      <c r="F631" s="33"/>
      <c r="G631" s="33"/>
      <c r="I631" s="29"/>
      <c r="J631" s="29"/>
      <c r="K631" s="29"/>
      <c r="L631" s="29"/>
      <c r="M631" s="29"/>
      <c r="N631" s="29"/>
      <c r="O631" s="29"/>
      <c r="P631" s="29"/>
      <c r="Q631" s="29"/>
      <c r="R631" s="29"/>
      <c r="S631" s="29"/>
      <c r="T631" s="29"/>
      <c r="U631" s="29"/>
      <c r="V631" s="29"/>
      <c r="W631" s="29"/>
      <c r="X631" s="29"/>
      <c r="Y631" s="29"/>
      <c r="Z631" s="29"/>
    </row>
    <row r="632" spans="1:26" ht="15">
      <c r="A632" s="29"/>
      <c r="B632" s="29"/>
      <c r="C632" s="29"/>
      <c r="D632" s="33"/>
      <c r="E632" s="33"/>
      <c r="F632" s="33"/>
      <c r="G632" s="33"/>
      <c r="I632" s="29"/>
      <c r="J632" s="29"/>
      <c r="K632" s="29"/>
      <c r="L632" s="29"/>
      <c r="M632" s="29"/>
      <c r="N632" s="29"/>
      <c r="O632" s="29"/>
      <c r="P632" s="29"/>
      <c r="Q632" s="29"/>
      <c r="R632" s="29"/>
      <c r="S632" s="29"/>
      <c r="T632" s="29"/>
      <c r="U632" s="29"/>
      <c r="V632" s="29"/>
      <c r="W632" s="29"/>
      <c r="X632" s="29"/>
      <c r="Y632" s="29"/>
      <c r="Z632" s="29"/>
    </row>
    <row r="633" spans="1:26" ht="15">
      <c r="A633" s="29"/>
      <c r="B633" s="29"/>
      <c r="C633" s="29"/>
      <c r="D633" s="33"/>
      <c r="E633" s="33"/>
      <c r="F633" s="33"/>
      <c r="G633" s="33"/>
      <c r="I633" s="29"/>
      <c r="J633" s="29"/>
      <c r="K633" s="29"/>
      <c r="L633" s="29"/>
      <c r="M633" s="29"/>
      <c r="N633" s="29"/>
      <c r="O633" s="29"/>
      <c r="P633" s="29"/>
      <c r="Q633" s="29"/>
      <c r="R633" s="29"/>
      <c r="S633" s="29"/>
      <c r="T633" s="29"/>
      <c r="U633" s="29"/>
      <c r="V633" s="29"/>
      <c r="W633" s="29"/>
      <c r="X633" s="29"/>
      <c r="Y633" s="29"/>
      <c r="Z633" s="29"/>
    </row>
    <row r="634" spans="1:26" ht="15">
      <c r="A634" s="29"/>
      <c r="B634" s="29"/>
      <c r="C634" s="29"/>
      <c r="D634" s="33"/>
      <c r="E634" s="33"/>
      <c r="F634" s="33"/>
      <c r="G634" s="33"/>
      <c r="I634" s="29"/>
      <c r="J634" s="29"/>
      <c r="K634" s="29"/>
      <c r="L634" s="29"/>
      <c r="M634" s="29"/>
      <c r="N634" s="29"/>
      <c r="O634" s="29"/>
      <c r="P634" s="29"/>
      <c r="Q634" s="29"/>
      <c r="R634" s="29"/>
      <c r="S634" s="29"/>
      <c r="T634" s="29"/>
      <c r="U634" s="29"/>
      <c r="V634" s="29"/>
      <c r="W634" s="29"/>
      <c r="X634" s="29"/>
      <c r="Y634" s="29"/>
      <c r="Z634" s="29"/>
    </row>
    <row r="635" spans="1:26" ht="15">
      <c r="A635" s="29"/>
      <c r="B635" s="29"/>
      <c r="C635" s="29"/>
      <c r="D635" s="33"/>
      <c r="E635" s="33"/>
      <c r="F635" s="33"/>
      <c r="G635" s="33"/>
      <c r="I635" s="29"/>
      <c r="J635" s="29"/>
      <c r="K635" s="29"/>
      <c r="L635" s="29"/>
      <c r="M635" s="29"/>
      <c r="N635" s="29"/>
      <c r="O635" s="29"/>
      <c r="P635" s="29"/>
      <c r="Q635" s="29"/>
      <c r="R635" s="29"/>
      <c r="S635" s="29"/>
      <c r="T635" s="29"/>
      <c r="U635" s="29"/>
      <c r="V635" s="29"/>
      <c r="W635" s="29"/>
      <c r="X635" s="29"/>
      <c r="Y635" s="29"/>
      <c r="Z635" s="29"/>
    </row>
    <row r="636" spans="1:26" ht="15">
      <c r="A636" s="29"/>
      <c r="B636" s="29"/>
      <c r="C636" s="29"/>
      <c r="D636" s="33"/>
      <c r="E636" s="33"/>
      <c r="F636" s="33"/>
      <c r="G636" s="33"/>
      <c r="I636" s="29"/>
      <c r="J636" s="29"/>
      <c r="K636" s="29"/>
      <c r="L636" s="29"/>
      <c r="M636" s="29"/>
      <c r="N636" s="29"/>
      <c r="O636" s="29"/>
      <c r="P636" s="29"/>
      <c r="Q636" s="29"/>
      <c r="R636" s="29"/>
      <c r="S636" s="29"/>
      <c r="T636" s="29"/>
      <c r="U636" s="29"/>
      <c r="V636" s="29"/>
      <c r="W636" s="29"/>
      <c r="X636" s="29"/>
      <c r="Y636" s="29"/>
      <c r="Z636" s="29"/>
    </row>
    <row r="637" spans="1:26" ht="15">
      <c r="A637" s="29"/>
      <c r="B637" s="29"/>
      <c r="C637" s="29"/>
      <c r="D637" s="33"/>
      <c r="E637" s="33"/>
      <c r="F637" s="33"/>
      <c r="G637" s="33"/>
      <c r="I637" s="29"/>
      <c r="J637" s="29"/>
      <c r="K637" s="29"/>
      <c r="L637" s="29"/>
      <c r="M637" s="29"/>
      <c r="N637" s="29"/>
      <c r="O637" s="29"/>
      <c r="P637" s="29"/>
      <c r="Q637" s="29"/>
      <c r="R637" s="29"/>
      <c r="S637" s="29"/>
      <c r="T637" s="29"/>
      <c r="U637" s="29"/>
      <c r="V637" s="29"/>
      <c r="W637" s="29"/>
      <c r="X637" s="29"/>
      <c r="Y637" s="29"/>
      <c r="Z637" s="29"/>
    </row>
    <row r="638" spans="1:26" ht="15">
      <c r="A638" s="29"/>
      <c r="B638" s="29"/>
      <c r="C638" s="29"/>
      <c r="D638" s="33"/>
      <c r="E638" s="33"/>
      <c r="F638" s="33"/>
      <c r="G638" s="33"/>
      <c r="I638" s="29"/>
      <c r="J638" s="29"/>
      <c r="K638" s="29"/>
      <c r="L638" s="29"/>
      <c r="M638" s="29"/>
      <c r="N638" s="29"/>
      <c r="O638" s="29"/>
      <c r="P638" s="29"/>
      <c r="Q638" s="29"/>
      <c r="R638" s="29"/>
      <c r="S638" s="29"/>
      <c r="T638" s="29"/>
      <c r="U638" s="29"/>
      <c r="V638" s="29"/>
      <c r="W638" s="29"/>
      <c r="X638" s="29"/>
      <c r="Y638" s="29"/>
      <c r="Z638" s="29"/>
    </row>
    <row r="639" spans="1:26" ht="15">
      <c r="A639" s="29"/>
      <c r="B639" s="29"/>
      <c r="C639" s="29"/>
      <c r="D639" s="33"/>
      <c r="E639" s="33"/>
      <c r="F639" s="33"/>
      <c r="G639" s="33"/>
      <c r="I639" s="29"/>
      <c r="J639" s="29"/>
      <c r="K639" s="29"/>
      <c r="L639" s="29"/>
      <c r="M639" s="29"/>
      <c r="N639" s="29"/>
      <c r="O639" s="29"/>
      <c r="P639" s="29"/>
      <c r="Q639" s="29"/>
      <c r="R639" s="29"/>
      <c r="S639" s="29"/>
      <c r="T639" s="29"/>
      <c r="U639" s="29"/>
      <c r="V639" s="29"/>
      <c r="W639" s="29"/>
      <c r="X639" s="29"/>
      <c r="Y639" s="29"/>
      <c r="Z639" s="29"/>
    </row>
    <row r="640" spans="1:26" ht="15">
      <c r="A640" s="29"/>
      <c r="B640" s="29"/>
      <c r="C640" s="29"/>
      <c r="D640" s="33"/>
      <c r="E640" s="33"/>
      <c r="F640" s="33"/>
      <c r="G640" s="33"/>
      <c r="I640" s="29"/>
      <c r="J640" s="29"/>
      <c r="K640" s="29"/>
      <c r="L640" s="29"/>
      <c r="M640" s="29"/>
      <c r="N640" s="29"/>
      <c r="O640" s="29"/>
      <c r="P640" s="29"/>
      <c r="Q640" s="29"/>
      <c r="R640" s="29"/>
      <c r="S640" s="29"/>
      <c r="T640" s="29"/>
      <c r="U640" s="29"/>
      <c r="V640" s="29"/>
      <c r="W640" s="29"/>
      <c r="X640" s="29"/>
      <c r="Y640" s="29"/>
      <c r="Z640" s="29"/>
    </row>
    <row r="641" spans="1:26" ht="15">
      <c r="A641" s="29"/>
      <c r="B641" s="29"/>
      <c r="C641" s="29"/>
      <c r="D641" s="33"/>
      <c r="E641" s="33"/>
      <c r="F641" s="33"/>
      <c r="G641" s="33"/>
      <c r="I641" s="29"/>
      <c r="J641" s="29"/>
      <c r="K641" s="29"/>
      <c r="L641" s="29"/>
      <c r="M641" s="29"/>
      <c r="N641" s="29"/>
      <c r="O641" s="29"/>
      <c r="P641" s="29"/>
      <c r="Q641" s="29"/>
      <c r="R641" s="29"/>
      <c r="S641" s="29"/>
      <c r="T641" s="29"/>
      <c r="U641" s="29"/>
      <c r="V641" s="29"/>
      <c r="W641" s="29"/>
      <c r="X641" s="29"/>
      <c r="Y641" s="29"/>
      <c r="Z641" s="29"/>
    </row>
    <row r="642" spans="1:26" ht="15">
      <c r="A642" s="29"/>
      <c r="B642" s="29"/>
      <c r="C642" s="29"/>
      <c r="D642" s="33"/>
      <c r="E642" s="33"/>
      <c r="F642" s="33"/>
      <c r="G642" s="33"/>
      <c r="I642" s="29"/>
      <c r="J642" s="29"/>
      <c r="K642" s="29"/>
      <c r="L642" s="29"/>
      <c r="M642" s="29"/>
      <c r="N642" s="29"/>
      <c r="O642" s="29"/>
      <c r="P642" s="29"/>
      <c r="Q642" s="29"/>
      <c r="R642" s="29"/>
      <c r="S642" s="29"/>
      <c r="T642" s="29"/>
      <c r="U642" s="29"/>
      <c r="V642" s="29"/>
      <c r="W642" s="29"/>
      <c r="X642" s="29"/>
      <c r="Y642" s="29"/>
      <c r="Z642" s="29"/>
    </row>
    <row r="643" spans="1:26" ht="15">
      <c r="A643" s="29"/>
      <c r="B643" s="29"/>
      <c r="C643" s="29"/>
      <c r="D643" s="33"/>
      <c r="E643" s="33"/>
      <c r="F643" s="33"/>
      <c r="G643" s="33"/>
      <c r="I643" s="29"/>
      <c r="J643" s="29"/>
      <c r="K643" s="29"/>
      <c r="L643" s="29"/>
      <c r="M643" s="29"/>
      <c r="N643" s="29"/>
      <c r="O643" s="29"/>
      <c r="P643" s="29"/>
      <c r="Q643" s="29"/>
      <c r="R643" s="29"/>
      <c r="S643" s="29"/>
      <c r="T643" s="29"/>
      <c r="U643" s="29"/>
      <c r="V643" s="29"/>
      <c r="W643" s="29"/>
      <c r="X643" s="29"/>
      <c r="Y643" s="29"/>
      <c r="Z643" s="29"/>
    </row>
    <row r="644" spans="1:26" ht="15">
      <c r="A644" s="29"/>
      <c r="B644" s="29"/>
      <c r="C644" s="29"/>
      <c r="D644" s="33"/>
      <c r="E644" s="33"/>
      <c r="F644" s="33"/>
      <c r="G644" s="33"/>
      <c r="I644" s="29"/>
      <c r="J644" s="29"/>
      <c r="K644" s="29"/>
      <c r="L644" s="29"/>
      <c r="M644" s="29"/>
      <c r="N644" s="29"/>
      <c r="O644" s="29"/>
      <c r="P644" s="29"/>
      <c r="Q644" s="29"/>
      <c r="R644" s="29"/>
      <c r="S644" s="29"/>
      <c r="T644" s="29"/>
      <c r="U644" s="29"/>
      <c r="V644" s="29"/>
      <c r="W644" s="29"/>
      <c r="X644" s="29"/>
      <c r="Y644" s="29"/>
      <c r="Z644" s="29"/>
    </row>
    <row r="645" spans="1:26" ht="15">
      <c r="A645" s="29"/>
      <c r="B645" s="29"/>
      <c r="C645" s="29"/>
      <c r="D645" s="33"/>
      <c r="E645" s="33"/>
      <c r="F645" s="33"/>
      <c r="G645" s="33"/>
      <c r="I645" s="29"/>
      <c r="J645" s="29"/>
      <c r="K645" s="29"/>
      <c r="L645" s="29"/>
      <c r="M645" s="29"/>
      <c r="N645" s="29"/>
      <c r="O645" s="29"/>
      <c r="P645" s="29"/>
      <c r="Q645" s="29"/>
      <c r="R645" s="29"/>
      <c r="S645" s="29"/>
      <c r="T645" s="29"/>
      <c r="U645" s="29"/>
      <c r="V645" s="29"/>
      <c r="W645" s="29"/>
      <c r="X645" s="29"/>
      <c r="Y645" s="29"/>
      <c r="Z645" s="29"/>
    </row>
    <row r="646" spans="1:26" ht="15">
      <c r="A646" s="29"/>
      <c r="B646" s="29"/>
      <c r="C646" s="29"/>
      <c r="D646" s="33"/>
      <c r="E646" s="33"/>
      <c r="F646" s="33"/>
      <c r="G646" s="33"/>
      <c r="I646" s="29"/>
      <c r="J646" s="29"/>
      <c r="K646" s="29"/>
      <c r="L646" s="29"/>
      <c r="M646" s="29"/>
      <c r="N646" s="29"/>
      <c r="O646" s="29"/>
      <c r="P646" s="29"/>
      <c r="Q646" s="29"/>
      <c r="R646" s="29"/>
      <c r="S646" s="29"/>
      <c r="T646" s="29"/>
      <c r="U646" s="29"/>
      <c r="V646" s="29"/>
      <c r="W646" s="29"/>
      <c r="X646" s="29"/>
      <c r="Y646" s="29"/>
      <c r="Z646" s="29"/>
    </row>
    <row r="647" spans="1:26" ht="15">
      <c r="A647" s="29"/>
      <c r="B647" s="29"/>
      <c r="C647" s="29"/>
      <c r="D647" s="33"/>
      <c r="E647" s="33"/>
      <c r="F647" s="33"/>
      <c r="G647" s="33"/>
      <c r="I647" s="29"/>
      <c r="J647" s="29"/>
      <c r="K647" s="29"/>
      <c r="L647" s="29"/>
      <c r="M647" s="29"/>
      <c r="N647" s="29"/>
      <c r="O647" s="29"/>
      <c r="P647" s="29"/>
      <c r="Q647" s="29"/>
      <c r="R647" s="29"/>
      <c r="S647" s="29"/>
      <c r="T647" s="29"/>
      <c r="U647" s="29"/>
      <c r="V647" s="29"/>
      <c r="W647" s="29"/>
      <c r="X647" s="29"/>
      <c r="Y647" s="29"/>
      <c r="Z647" s="29"/>
    </row>
    <row r="648" spans="1:26" ht="15">
      <c r="A648" s="29"/>
      <c r="B648" s="29"/>
      <c r="C648" s="29"/>
      <c r="D648" s="33"/>
      <c r="E648" s="33"/>
      <c r="F648" s="33"/>
      <c r="G648" s="33"/>
      <c r="I648" s="29"/>
      <c r="J648" s="29"/>
      <c r="K648" s="29"/>
      <c r="L648" s="29"/>
      <c r="M648" s="29"/>
      <c r="N648" s="29"/>
      <c r="O648" s="29"/>
      <c r="P648" s="29"/>
      <c r="Q648" s="29"/>
      <c r="R648" s="29"/>
      <c r="S648" s="29"/>
      <c r="T648" s="29"/>
      <c r="U648" s="29"/>
      <c r="V648" s="29"/>
      <c r="W648" s="29"/>
      <c r="X648" s="29"/>
      <c r="Y648" s="29"/>
      <c r="Z648" s="29"/>
    </row>
    <row r="649" spans="1:26" ht="15">
      <c r="A649" s="29"/>
      <c r="B649" s="29"/>
      <c r="C649" s="29"/>
      <c r="D649" s="33"/>
      <c r="E649" s="33"/>
      <c r="F649" s="33"/>
      <c r="G649" s="33"/>
      <c r="I649" s="29"/>
      <c r="J649" s="29"/>
      <c r="K649" s="29"/>
      <c r="L649" s="29"/>
      <c r="M649" s="29"/>
      <c r="N649" s="29"/>
      <c r="O649" s="29"/>
      <c r="P649" s="29"/>
      <c r="Q649" s="29"/>
      <c r="R649" s="29"/>
      <c r="S649" s="29"/>
      <c r="T649" s="29"/>
      <c r="U649" s="29"/>
      <c r="V649" s="29"/>
      <c r="W649" s="29"/>
      <c r="X649" s="29"/>
      <c r="Y649" s="29"/>
      <c r="Z649" s="29"/>
    </row>
    <row r="650" spans="1:26" ht="15">
      <c r="A650" s="29"/>
      <c r="B650" s="29"/>
      <c r="C650" s="29"/>
      <c r="D650" s="33"/>
      <c r="E650" s="33"/>
      <c r="F650" s="33"/>
      <c r="G650" s="33"/>
      <c r="I650" s="29"/>
      <c r="J650" s="29"/>
      <c r="K650" s="29"/>
      <c r="L650" s="29"/>
      <c r="M650" s="29"/>
      <c r="N650" s="29"/>
      <c r="O650" s="29"/>
      <c r="P650" s="29"/>
      <c r="Q650" s="29"/>
      <c r="R650" s="29"/>
      <c r="S650" s="29"/>
      <c r="T650" s="29"/>
      <c r="U650" s="29"/>
      <c r="V650" s="29"/>
      <c r="W650" s="29"/>
      <c r="X650" s="29"/>
      <c r="Y650" s="29"/>
      <c r="Z650" s="29"/>
    </row>
    <row r="651" spans="1:26" ht="15">
      <c r="A651" s="29"/>
      <c r="B651" s="29"/>
      <c r="C651" s="29"/>
      <c r="D651" s="33"/>
      <c r="E651" s="33"/>
      <c r="F651" s="33"/>
      <c r="G651" s="33"/>
      <c r="I651" s="29"/>
      <c r="J651" s="29"/>
      <c r="K651" s="29"/>
      <c r="L651" s="29"/>
      <c r="M651" s="29"/>
      <c r="N651" s="29"/>
      <c r="O651" s="29"/>
      <c r="P651" s="29"/>
      <c r="Q651" s="29"/>
      <c r="R651" s="29"/>
      <c r="S651" s="29"/>
      <c r="T651" s="29"/>
      <c r="U651" s="29"/>
      <c r="V651" s="29"/>
      <c r="W651" s="29"/>
      <c r="X651" s="29"/>
      <c r="Y651" s="29"/>
      <c r="Z651" s="29"/>
    </row>
    <row r="652" spans="1:26" ht="15">
      <c r="A652" s="29"/>
      <c r="B652" s="29"/>
      <c r="C652" s="29"/>
      <c r="D652" s="33"/>
      <c r="E652" s="33"/>
      <c r="F652" s="33"/>
      <c r="G652" s="33"/>
      <c r="I652" s="29"/>
      <c r="J652" s="29"/>
      <c r="K652" s="29"/>
      <c r="L652" s="29"/>
      <c r="M652" s="29"/>
      <c r="N652" s="29"/>
      <c r="O652" s="29"/>
      <c r="P652" s="29"/>
      <c r="Q652" s="29"/>
      <c r="R652" s="29"/>
      <c r="S652" s="29"/>
      <c r="T652" s="29"/>
      <c r="U652" s="29"/>
      <c r="V652" s="29"/>
      <c r="W652" s="29"/>
      <c r="X652" s="29"/>
      <c r="Y652" s="29"/>
      <c r="Z652" s="29"/>
    </row>
    <row r="653" spans="1:26" ht="15">
      <c r="A653" s="29"/>
      <c r="B653" s="29"/>
      <c r="C653" s="29"/>
      <c r="D653" s="33"/>
      <c r="E653" s="33"/>
      <c r="F653" s="33"/>
      <c r="G653" s="33"/>
      <c r="I653" s="29"/>
      <c r="J653" s="29"/>
      <c r="K653" s="29"/>
      <c r="L653" s="29"/>
      <c r="M653" s="29"/>
      <c r="N653" s="29"/>
      <c r="O653" s="29"/>
      <c r="P653" s="29"/>
      <c r="Q653" s="29"/>
      <c r="R653" s="29"/>
      <c r="S653" s="29"/>
      <c r="T653" s="29"/>
      <c r="U653" s="29"/>
      <c r="V653" s="29"/>
      <c r="W653" s="29"/>
      <c r="X653" s="29"/>
      <c r="Y653" s="29"/>
      <c r="Z653" s="29"/>
    </row>
    <row r="654" spans="1:26" ht="15">
      <c r="A654" s="29"/>
      <c r="B654" s="29"/>
      <c r="C654" s="29"/>
      <c r="D654" s="33"/>
      <c r="E654" s="33"/>
      <c r="F654" s="33"/>
      <c r="G654" s="33"/>
      <c r="I654" s="29"/>
      <c r="J654" s="29"/>
      <c r="K654" s="29"/>
      <c r="L654" s="29"/>
      <c r="M654" s="29"/>
      <c r="N654" s="29"/>
      <c r="O654" s="29"/>
      <c r="P654" s="29"/>
      <c r="Q654" s="29"/>
      <c r="R654" s="29"/>
      <c r="S654" s="29"/>
      <c r="T654" s="29"/>
      <c r="U654" s="29"/>
      <c r="V654" s="29"/>
      <c r="W654" s="29"/>
      <c r="X654" s="29"/>
      <c r="Y654" s="29"/>
      <c r="Z654" s="29"/>
    </row>
    <row r="655" spans="1:26" ht="15">
      <c r="A655" s="29"/>
      <c r="B655" s="29"/>
      <c r="C655" s="29"/>
      <c r="D655" s="33"/>
      <c r="E655" s="33"/>
      <c r="F655" s="33"/>
      <c r="G655" s="33"/>
      <c r="I655" s="29"/>
      <c r="J655" s="29"/>
      <c r="K655" s="29"/>
      <c r="L655" s="29"/>
      <c r="M655" s="29"/>
      <c r="N655" s="29"/>
      <c r="O655" s="29"/>
      <c r="P655" s="29"/>
      <c r="Q655" s="29"/>
      <c r="R655" s="29"/>
      <c r="S655" s="29"/>
      <c r="T655" s="29"/>
      <c r="U655" s="29"/>
      <c r="V655" s="29"/>
      <c r="W655" s="29"/>
      <c r="X655" s="29"/>
      <c r="Y655" s="29"/>
      <c r="Z655" s="29"/>
    </row>
    <row r="656" spans="1:26" ht="15">
      <c r="A656" s="29"/>
      <c r="B656" s="29"/>
      <c r="C656" s="29"/>
      <c r="D656" s="33"/>
      <c r="E656" s="33"/>
      <c r="F656" s="33"/>
      <c r="G656" s="33"/>
      <c r="I656" s="29"/>
      <c r="J656" s="29"/>
      <c r="K656" s="29"/>
      <c r="L656" s="29"/>
      <c r="M656" s="29"/>
      <c r="N656" s="29"/>
      <c r="O656" s="29"/>
      <c r="P656" s="29"/>
      <c r="Q656" s="29"/>
      <c r="R656" s="29"/>
      <c r="S656" s="29"/>
      <c r="T656" s="29"/>
      <c r="U656" s="29"/>
      <c r="V656" s="29"/>
      <c r="W656" s="29"/>
      <c r="X656" s="29"/>
      <c r="Y656" s="29"/>
      <c r="Z656" s="29"/>
    </row>
    <row r="657" spans="1:26" ht="15">
      <c r="A657" s="29"/>
      <c r="B657" s="29"/>
      <c r="C657" s="29"/>
      <c r="D657" s="33"/>
      <c r="E657" s="33"/>
      <c r="F657" s="33"/>
      <c r="G657" s="33"/>
      <c r="I657" s="29"/>
      <c r="J657" s="29"/>
      <c r="K657" s="29"/>
      <c r="L657" s="29"/>
      <c r="M657" s="29"/>
      <c r="N657" s="29"/>
      <c r="O657" s="29"/>
      <c r="P657" s="29"/>
      <c r="Q657" s="29"/>
      <c r="R657" s="29"/>
      <c r="S657" s="29"/>
      <c r="T657" s="29"/>
      <c r="U657" s="29"/>
      <c r="V657" s="29"/>
      <c r="W657" s="29"/>
      <c r="X657" s="29"/>
      <c r="Y657" s="29"/>
      <c r="Z657" s="29"/>
    </row>
    <row r="658" spans="1:26" ht="15">
      <c r="A658" s="29"/>
      <c r="B658" s="29"/>
      <c r="C658" s="29"/>
      <c r="D658" s="33"/>
      <c r="E658" s="33"/>
      <c r="F658" s="33"/>
      <c r="G658" s="33"/>
      <c r="I658" s="29"/>
      <c r="J658" s="29"/>
      <c r="K658" s="29"/>
      <c r="L658" s="29"/>
      <c r="M658" s="29"/>
      <c r="N658" s="29"/>
      <c r="O658" s="29"/>
      <c r="P658" s="29"/>
      <c r="Q658" s="29"/>
      <c r="R658" s="29"/>
      <c r="S658" s="29"/>
      <c r="T658" s="29"/>
      <c r="U658" s="29"/>
      <c r="V658" s="29"/>
      <c r="W658" s="29"/>
      <c r="X658" s="29"/>
      <c r="Y658" s="29"/>
      <c r="Z658" s="29"/>
    </row>
    <row r="659" spans="1:26" ht="15">
      <c r="A659" s="29"/>
      <c r="B659" s="29"/>
      <c r="C659" s="29"/>
      <c r="D659" s="33"/>
      <c r="E659" s="33"/>
      <c r="F659" s="33"/>
      <c r="G659" s="33"/>
      <c r="I659" s="29"/>
      <c r="J659" s="29"/>
      <c r="K659" s="29"/>
      <c r="L659" s="29"/>
      <c r="M659" s="29"/>
      <c r="N659" s="29"/>
      <c r="O659" s="29"/>
      <c r="P659" s="29"/>
      <c r="Q659" s="29"/>
      <c r="R659" s="29"/>
      <c r="S659" s="29"/>
      <c r="T659" s="29"/>
      <c r="U659" s="29"/>
      <c r="V659" s="29"/>
      <c r="W659" s="29"/>
      <c r="X659" s="29"/>
      <c r="Y659" s="29"/>
      <c r="Z659" s="29"/>
    </row>
    <row r="660" spans="1:26" ht="15">
      <c r="A660" s="29"/>
      <c r="B660" s="29"/>
      <c r="C660" s="29"/>
      <c r="D660" s="33"/>
      <c r="E660" s="33"/>
      <c r="F660" s="33"/>
      <c r="G660" s="33"/>
      <c r="I660" s="29"/>
      <c r="J660" s="29"/>
      <c r="K660" s="29"/>
      <c r="L660" s="29"/>
      <c r="M660" s="29"/>
      <c r="N660" s="29"/>
      <c r="O660" s="29"/>
      <c r="P660" s="29"/>
      <c r="Q660" s="29"/>
      <c r="R660" s="29"/>
      <c r="S660" s="29"/>
      <c r="T660" s="29"/>
      <c r="U660" s="29"/>
      <c r="V660" s="29"/>
      <c r="W660" s="29"/>
      <c r="X660" s="29"/>
      <c r="Y660" s="29"/>
      <c r="Z660" s="29"/>
    </row>
    <row r="661" spans="1:26" ht="15">
      <c r="A661" s="29"/>
      <c r="B661" s="29"/>
      <c r="C661" s="29"/>
      <c r="D661" s="33"/>
      <c r="E661" s="33"/>
      <c r="F661" s="33"/>
      <c r="G661" s="33"/>
      <c r="I661" s="29"/>
      <c r="J661" s="29"/>
      <c r="K661" s="29"/>
      <c r="L661" s="29"/>
      <c r="M661" s="29"/>
      <c r="N661" s="29"/>
      <c r="O661" s="29"/>
      <c r="P661" s="29"/>
      <c r="Q661" s="29"/>
      <c r="R661" s="29"/>
      <c r="S661" s="29"/>
      <c r="T661" s="29"/>
      <c r="U661" s="29"/>
      <c r="V661" s="29"/>
      <c r="W661" s="29"/>
      <c r="X661" s="29"/>
      <c r="Y661" s="29"/>
      <c r="Z661" s="29"/>
    </row>
    <row r="662" spans="1:26" ht="15">
      <c r="A662" s="29"/>
      <c r="B662" s="29"/>
      <c r="C662" s="29"/>
      <c r="D662" s="33"/>
      <c r="E662" s="33"/>
      <c r="F662" s="33"/>
      <c r="G662" s="33"/>
      <c r="I662" s="29"/>
      <c r="J662" s="29"/>
      <c r="K662" s="29"/>
      <c r="L662" s="29"/>
      <c r="M662" s="29"/>
      <c r="N662" s="29"/>
      <c r="O662" s="29"/>
      <c r="P662" s="29"/>
      <c r="Q662" s="29"/>
      <c r="R662" s="29"/>
      <c r="S662" s="29"/>
      <c r="T662" s="29"/>
      <c r="U662" s="29"/>
      <c r="V662" s="29"/>
      <c r="W662" s="29"/>
      <c r="X662" s="29"/>
      <c r="Y662" s="29"/>
      <c r="Z662" s="29"/>
    </row>
    <row r="663" spans="1:26" ht="15">
      <c r="A663" s="29"/>
      <c r="B663" s="29"/>
      <c r="C663" s="29"/>
      <c r="D663" s="33"/>
      <c r="E663" s="33"/>
      <c r="F663" s="33"/>
      <c r="G663" s="33"/>
      <c r="I663" s="29"/>
      <c r="J663" s="29"/>
      <c r="K663" s="29"/>
      <c r="L663" s="29"/>
      <c r="M663" s="29"/>
      <c r="N663" s="29"/>
      <c r="O663" s="29"/>
      <c r="P663" s="29"/>
      <c r="Q663" s="29"/>
      <c r="R663" s="29"/>
      <c r="S663" s="29"/>
      <c r="T663" s="29"/>
      <c r="U663" s="29"/>
      <c r="V663" s="29"/>
      <c r="W663" s="29"/>
      <c r="X663" s="29"/>
      <c r="Y663" s="29"/>
      <c r="Z663" s="29"/>
    </row>
    <row r="664" spans="1:26" ht="15">
      <c r="A664" s="29"/>
      <c r="B664" s="29"/>
      <c r="C664" s="29"/>
      <c r="D664" s="33"/>
      <c r="E664" s="33"/>
      <c r="F664" s="33"/>
      <c r="G664" s="33"/>
      <c r="I664" s="29"/>
      <c r="J664" s="29"/>
      <c r="K664" s="29"/>
      <c r="L664" s="29"/>
      <c r="M664" s="29"/>
      <c r="N664" s="29"/>
      <c r="O664" s="29"/>
      <c r="P664" s="29"/>
      <c r="Q664" s="29"/>
      <c r="R664" s="29"/>
      <c r="S664" s="29"/>
      <c r="T664" s="29"/>
      <c r="U664" s="29"/>
      <c r="V664" s="29"/>
      <c r="W664" s="29"/>
      <c r="X664" s="29"/>
      <c r="Y664" s="29"/>
      <c r="Z664" s="29"/>
    </row>
    <row r="665" spans="1:26" ht="15">
      <c r="A665" s="29"/>
      <c r="B665" s="29"/>
      <c r="C665" s="29"/>
      <c r="D665" s="33"/>
      <c r="E665" s="33"/>
      <c r="F665" s="33"/>
      <c r="G665" s="33"/>
      <c r="I665" s="29"/>
      <c r="J665" s="29"/>
      <c r="K665" s="29"/>
      <c r="L665" s="29"/>
      <c r="M665" s="29"/>
      <c r="N665" s="29"/>
      <c r="O665" s="29"/>
      <c r="P665" s="29"/>
      <c r="Q665" s="29"/>
      <c r="R665" s="29"/>
      <c r="S665" s="29"/>
      <c r="T665" s="29"/>
      <c r="U665" s="29"/>
      <c r="V665" s="29"/>
      <c r="W665" s="29"/>
      <c r="X665" s="29"/>
      <c r="Y665" s="29"/>
      <c r="Z665" s="29"/>
    </row>
    <row r="666" spans="1:26" ht="15">
      <c r="A666" s="29"/>
      <c r="B666" s="29"/>
      <c r="C666" s="29"/>
      <c r="D666" s="33"/>
      <c r="E666" s="33"/>
      <c r="F666" s="33"/>
      <c r="G666" s="33"/>
      <c r="I666" s="29"/>
      <c r="J666" s="29"/>
      <c r="K666" s="29"/>
      <c r="L666" s="29"/>
      <c r="M666" s="29"/>
      <c r="N666" s="29"/>
      <c r="O666" s="29"/>
      <c r="P666" s="29"/>
      <c r="Q666" s="29"/>
      <c r="R666" s="29"/>
      <c r="S666" s="29"/>
      <c r="T666" s="29"/>
      <c r="U666" s="29"/>
      <c r="V666" s="29"/>
      <c r="W666" s="29"/>
      <c r="X666" s="29"/>
      <c r="Y666" s="29"/>
      <c r="Z666" s="29"/>
    </row>
    <row r="667" spans="1:26" ht="15">
      <c r="A667" s="29"/>
      <c r="B667" s="29"/>
      <c r="C667" s="29"/>
      <c r="D667" s="33"/>
      <c r="E667" s="33"/>
      <c r="F667" s="33"/>
      <c r="G667" s="33"/>
      <c r="I667" s="29"/>
      <c r="J667" s="29"/>
      <c r="K667" s="29"/>
      <c r="L667" s="29"/>
      <c r="M667" s="29"/>
      <c r="N667" s="29"/>
      <c r="O667" s="29"/>
      <c r="P667" s="29"/>
      <c r="Q667" s="29"/>
      <c r="R667" s="29"/>
      <c r="S667" s="29"/>
      <c r="T667" s="29"/>
      <c r="U667" s="29"/>
      <c r="V667" s="29"/>
      <c r="W667" s="29"/>
      <c r="X667" s="29"/>
      <c r="Y667" s="29"/>
      <c r="Z667" s="29"/>
    </row>
    <row r="668" spans="1:26" ht="15">
      <c r="A668" s="29"/>
      <c r="B668" s="29"/>
      <c r="C668" s="29"/>
      <c r="D668" s="33"/>
      <c r="E668" s="33"/>
      <c r="F668" s="33"/>
      <c r="G668" s="33"/>
      <c r="I668" s="29"/>
      <c r="J668" s="29"/>
      <c r="K668" s="29"/>
      <c r="L668" s="29"/>
      <c r="M668" s="29"/>
      <c r="N668" s="29"/>
      <c r="O668" s="29"/>
      <c r="P668" s="29"/>
      <c r="Q668" s="29"/>
      <c r="R668" s="29"/>
      <c r="S668" s="29"/>
      <c r="T668" s="29"/>
      <c r="U668" s="29"/>
      <c r="V668" s="29"/>
      <c r="W668" s="29"/>
      <c r="X668" s="29"/>
      <c r="Y668" s="29"/>
      <c r="Z668" s="29"/>
    </row>
    <row r="669" spans="1:26" ht="15">
      <c r="A669" s="29"/>
      <c r="B669" s="29"/>
      <c r="C669" s="29"/>
      <c r="D669" s="33"/>
      <c r="E669" s="33"/>
      <c r="F669" s="33"/>
      <c r="G669" s="33"/>
      <c r="I669" s="29"/>
      <c r="J669" s="29"/>
      <c r="K669" s="29"/>
      <c r="L669" s="29"/>
      <c r="M669" s="29"/>
      <c r="N669" s="29"/>
      <c r="O669" s="29"/>
      <c r="P669" s="29"/>
      <c r="Q669" s="29"/>
      <c r="R669" s="29"/>
      <c r="S669" s="29"/>
      <c r="T669" s="29"/>
      <c r="U669" s="29"/>
      <c r="V669" s="29"/>
      <c r="W669" s="29"/>
      <c r="X669" s="29"/>
      <c r="Y669" s="29"/>
      <c r="Z669" s="29"/>
    </row>
    <row r="670" spans="1:26" ht="15">
      <c r="A670" s="29"/>
      <c r="B670" s="29"/>
      <c r="C670" s="29"/>
      <c r="D670" s="33"/>
      <c r="E670" s="33"/>
      <c r="F670" s="33"/>
      <c r="G670" s="33"/>
      <c r="I670" s="29"/>
      <c r="J670" s="29"/>
      <c r="K670" s="29"/>
      <c r="L670" s="29"/>
      <c r="M670" s="29"/>
      <c r="N670" s="29"/>
      <c r="O670" s="29"/>
      <c r="P670" s="29"/>
      <c r="Q670" s="29"/>
      <c r="R670" s="29"/>
      <c r="S670" s="29"/>
      <c r="T670" s="29"/>
      <c r="U670" s="29"/>
      <c r="V670" s="29"/>
      <c r="W670" s="29"/>
      <c r="X670" s="29"/>
      <c r="Y670" s="29"/>
      <c r="Z670" s="29"/>
    </row>
    <row r="671" spans="1:26" ht="15">
      <c r="A671" s="29"/>
      <c r="B671" s="29"/>
      <c r="C671" s="29"/>
      <c r="D671" s="33"/>
      <c r="E671" s="33"/>
      <c r="F671" s="33"/>
      <c r="G671" s="33"/>
      <c r="I671" s="29"/>
      <c r="J671" s="29"/>
      <c r="K671" s="29"/>
      <c r="L671" s="29"/>
      <c r="M671" s="29"/>
      <c r="N671" s="29"/>
      <c r="O671" s="29"/>
      <c r="P671" s="29"/>
      <c r="Q671" s="29"/>
      <c r="R671" s="29"/>
      <c r="S671" s="29"/>
      <c r="T671" s="29"/>
      <c r="U671" s="29"/>
      <c r="V671" s="29"/>
      <c r="W671" s="29"/>
      <c r="X671" s="29"/>
      <c r="Y671" s="29"/>
      <c r="Z671" s="29"/>
    </row>
    <row r="672" spans="1:26" ht="15">
      <c r="A672" s="29"/>
      <c r="B672" s="29"/>
      <c r="C672" s="29"/>
      <c r="D672" s="33"/>
      <c r="E672" s="33"/>
      <c r="F672" s="33"/>
      <c r="G672" s="33"/>
      <c r="I672" s="29"/>
      <c r="J672" s="29"/>
      <c r="K672" s="29"/>
      <c r="L672" s="29"/>
      <c r="M672" s="29"/>
      <c r="N672" s="29"/>
      <c r="O672" s="29"/>
      <c r="P672" s="29"/>
      <c r="Q672" s="29"/>
      <c r="R672" s="29"/>
      <c r="S672" s="29"/>
      <c r="T672" s="29"/>
      <c r="U672" s="29"/>
      <c r="V672" s="29"/>
      <c r="W672" s="29"/>
      <c r="X672" s="29"/>
      <c r="Y672" s="29"/>
      <c r="Z672" s="29"/>
    </row>
    <row r="673" spans="1:26" ht="15">
      <c r="A673" s="29"/>
      <c r="B673" s="29"/>
      <c r="C673" s="29"/>
      <c r="D673" s="33"/>
      <c r="E673" s="33"/>
      <c r="F673" s="33"/>
      <c r="G673" s="33"/>
      <c r="I673" s="29"/>
      <c r="J673" s="29"/>
      <c r="K673" s="29"/>
      <c r="L673" s="29"/>
      <c r="M673" s="29"/>
      <c r="N673" s="29"/>
      <c r="O673" s="29"/>
      <c r="P673" s="29"/>
      <c r="Q673" s="29"/>
      <c r="R673" s="29"/>
      <c r="S673" s="29"/>
      <c r="T673" s="29"/>
      <c r="U673" s="29"/>
      <c r="V673" s="29"/>
      <c r="W673" s="29"/>
      <c r="X673" s="29"/>
      <c r="Y673" s="29"/>
      <c r="Z673" s="29"/>
    </row>
    <row r="674" spans="1:26" ht="15">
      <c r="A674" s="29"/>
      <c r="B674" s="29"/>
      <c r="C674" s="29"/>
      <c r="D674" s="33"/>
      <c r="E674" s="33"/>
      <c r="F674" s="33"/>
      <c r="G674" s="33"/>
      <c r="I674" s="29"/>
      <c r="J674" s="29"/>
      <c r="K674" s="29"/>
      <c r="L674" s="29"/>
      <c r="M674" s="29"/>
      <c r="N674" s="29"/>
      <c r="O674" s="29"/>
      <c r="P674" s="29"/>
      <c r="Q674" s="29"/>
      <c r="R674" s="29"/>
      <c r="S674" s="29"/>
      <c r="T674" s="29"/>
      <c r="U674" s="29"/>
      <c r="V674" s="29"/>
      <c r="W674" s="29"/>
      <c r="X674" s="29"/>
      <c r="Y674" s="29"/>
      <c r="Z674" s="29"/>
    </row>
    <row r="675" spans="1:26" ht="15">
      <c r="A675" s="29"/>
      <c r="B675" s="29"/>
      <c r="C675" s="29"/>
      <c r="D675" s="33"/>
      <c r="E675" s="33"/>
      <c r="F675" s="33"/>
      <c r="G675" s="33"/>
      <c r="I675" s="29"/>
      <c r="J675" s="29"/>
      <c r="K675" s="29"/>
      <c r="L675" s="29"/>
      <c r="M675" s="29"/>
      <c r="N675" s="29"/>
      <c r="O675" s="29"/>
      <c r="P675" s="29"/>
      <c r="Q675" s="29"/>
      <c r="R675" s="29"/>
      <c r="S675" s="29"/>
      <c r="T675" s="29"/>
      <c r="U675" s="29"/>
      <c r="V675" s="29"/>
      <c r="W675" s="29"/>
      <c r="X675" s="29"/>
      <c r="Y675" s="29"/>
      <c r="Z675" s="29"/>
    </row>
    <row r="676" spans="1:26" ht="15">
      <c r="A676" s="29"/>
      <c r="B676" s="29"/>
      <c r="C676" s="29"/>
      <c r="D676" s="33"/>
      <c r="E676" s="33"/>
      <c r="F676" s="33"/>
      <c r="G676" s="33"/>
      <c r="I676" s="29"/>
      <c r="J676" s="29"/>
      <c r="K676" s="29"/>
      <c r="L676" s="29"/>
      <c r="M676" s="29"/>
      <c r="N676" s="29"/>
      <c r="O676" s="29"/>
      <c r="P676" s="29"/>
      <c r="Q676" s="29"/>
      <c r="R676" s="29"/>
      <c r="S676" s="29"/>
      <c r="T676" s="29"/>
      <c r="U676" s="29"/>
      <c r="V676" s="29"/>
      <c r="W676" s="29"/>
      <c r="X676" s="29"/>
      <c r="Y676" s="29"/>
      <c r="Z676" s="29"/>
    </row>
  </sheetData>
  <mergeCells count="32">
    <mergeCell ref="E89:E91"/>
    <mergeCell ref="E85:E87"/>
    <mergeCell ref="E17:E18"/>
    <mergeCell ref="E81:E83"/>
    <mergeCell ref="E46:E47"/>
    <mergeCell ref="E77:E79"/>
    <mergeCell ref="E42:E43"/>
    <mergeCell ref="E73:E75"/>
    <mergeCell ref="E39:E40"/>
    <mergeCell ref="E69:E71"/>
    <mergeCell ref="E36:E37"/>
    <mergeCell ref="H2:I2"/>
    <mergeCell ref="E27:E28"/>
    <mergeCell ref="H9:I9"/>
    <mergeCell ref="H44:I44"/>
    <mergeCell ref="E58:E59"/>
    <mergeCell ref="D1:E1"/>
    <mergeCell ref="E65:E67"/>
    <mergeCell ref="F1:G1"/>
    <mergeCell ref="H1:I1"/>
    <mergeCell ref="E30:E31"/>
    <mergeCell ref="E61:E62"/>
    <mergeCell ref="H63:I63"/>
    <mergeCell ref="E24:E25"/>
    <mergeCell ref="E55:E56"/>
    <mergeCell ref="E20:E21"/>
    <mergeCell ref="H22:I22"/>
    <mergeCell ref="E49:E50"/>
    <mergeCell ref="E14:E15"/>
    <mergeCell ref="D2:E2"/>
    <mergeCell ref="F2:G2"/>
    <mergeCell ref="E33:E3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AMJ608"/>
  <sheetViews>
    <sheetView workbookViewId="0"/>
  </sheetViews>
  <sheetFormatPr defaultRowHeight="15.75" customHeight="1"/>
  <cols>
    <col min="1" max="1" width="2.28515625" style="27"/>
    <col min="2" max="2" width="3.140625" style="27"/>
    <col min="3" max="3" width="61.42578125" style="27"/>
    <col min="4" max="4" width="13.42578125" style="28"/>
    <col min="5" max="5" width="19.85546875" style="28"/>
    <col min="6" max="6" width="13.42578125"/>
    <col min="7" max="1024" width="13.42578125" style="27"/>
    <col min="1025" max="1025" width="11.42578125"/>
  </cols>
  <sheetData>
    <row r="1" spans="1:24" ht="15" customHeight="1">
      <c r="A1" s="29"/>
      <c r="B1" s="29"/>
      <c r="C1" s="29"/>
      <c r="D1" s="515" t="s">
        <v>159</v>
      </c>
      <c r="E1" s="515"/>
      <c r="G1" s="29"/>
      <c r="H1" s="29"/>
      <c r="I1" s="29"/>
      <c r="J1" s="29"/>
      <c r="K1" s="29"/>
      <c r="L1" s="29"/>
      <c r="M1" s="29"/>
      <c r="N1" s="29"/>
      <c r="O1" s="29"/>
      <c r="P1" s="29"/>
      <c r="Q1" s="29"/>
      <c r="R1" s="29"/>
      <c r="S1" s="29"/>
      <c r="T1" s="29"/>
      <c r="U1" s="29"/>
      <c r="V1" s="29"/>
      <c r="W1" s="29"/>
      <c r="X1" s="29"/>
    </row>
    <row r="2" spans="1:24" ht="15" customHeight="1">
      <c r="A2" s="29"/>
      <c r="B2" s="31" t="s">
        <v>160</v>
      </c>
      <c r="C2" s="29"/>
      <c r="D2" s="522">
        <f>E5</f>
        <v>75</v>
      </c>
      <c r="E2" s="523"/>
      <c r="G2" s="29"/>
      <c r="H2" s="29"/>
      <c r="I2" s="29"/>
      <c r="J2" s="29"/>
      <c r="K2" s="29"/>
      <c r="L2" s="29"/>
      <c r="M2" s="29"/>
      <c r="N2" s="29"/>
      <c r="O2" s="29"/>
      <c r="P2" s="29"/>
      <c r="Q2" s="29"/>
      <c r="R2" s="29"/>
      <c r="S2" s="29"/>
      <c r="T2" s="29"/>
      <c r="U2" s="29"/>
      <c r="V2" s="29"/>
      <c r="W2" s="29"/>
      <c r="X2" s="29"/>
    </row>
    <row r="3" spans="1:24" ht="15">
      <c r="A3" s="29"/>
      <c r="B3" s="29"/>
      <c r="C3" s="29"/>
      <c r="D3" s="33"/>
      <c r="E3" s="33"/>
      <c r="G3" s="29"/>
      <c r="H3" s="29"/>
      <c r="I3" s="29"/>
      <c r="J3" s="29"/>
      <c r="K3" s="29"/>
      <c r="L3" s="29"/>
      <c r="M3" s="29"/>
      <c r="N3" s="29"/>
      <c r="O3" s="29"/>
      <c r="P3" s="29"/>
      <c r="Q3" s="29"/>
      <c r="R3" s="29"/>
      <c r="S3" s="29"/>
      <c r="T3" s="29"/>
      <c r="U3" s="29"/>
      <c r="V3" s="29"/>
      <c r="W3" s="29"/>
      <c r="X3" s="29"/>
    </row>
    <row r="4" spans="1:24" ht="15">
      <c r="A4" s="29"/>
      <c r="B4" s="34" t="s">
        <v>161</v>
      </c>
      <c r="C4" s="32"/>
      <c r="D4" s="35" t="s">
        <v>162</v>
      </c>
      <c r="E4" s="35" t="s">
        <v>163</v>
      </c>
      <c r="G4" s="29"/>
      <c r="H4" s="29"/>
      <c r="I4" s="29"/>
      <c r="J4" s="29"/>
      <c r="K4" s="29"/>
      <c r="L4" s="29"/>
      <c r="M4" s="29"/>
      <c r="N4" s="29"/>
      <c r="O4" s="29"/>
      <c r="P4" s="29"/>
      <c r="Q4" s="29"/>
      <c r="R4" s="29"/>
      <c r="S4" s="29"/>
      <c r="T4" s="29"/>
      <c r="U4" s="29"/>
      <c r="V4" s="29"/>
      <c r="W4" s="29"/>
      <c r="X4" s="29"/>
    </row>
    <row r="5" spans="1:24" ht="15">
      <c r="A5" s="29"/>
      <c r="B5" s="36" t="s">
        <v>164</v>
      </c>
      <c r="C5" s="36" t="s">
        <v>165</v>
      </c>
      <c r="D5" s="37">
        <v>1</v>
      </c>
      <c r="E5" s="38">
        <f>E9</f>
        <v>75</v>
      </c>
      <c r="G5" s="29"/>
      <c r="H5" s="29"/>
      <c r="I5" s="29"/>
      <c r="J5" s="29"/>
      <c r="K5" s="29"/>
      <c r="L5" s="29"/>
      <c r="M5" s="29"/>
      <c r="N5" s="29"/>
      <c r="O5" s="29"/>
      <c r="P5" s="29"/>
      <c r="Q5" s="29"/>
      <c r="R5" s="29"/>
      <c r="S5" s="29"/>
      <c r="T5" s="29"/>
      <c r="U5" s="29"/>
      <c r="V5" s="29"/>
      <c r="W5" s="29"/>
      <c r="X5" s="29"/>
    </row>
    <row r="6" spans="1:24" ht="15">
      <c r="A6" s="29"/>
      <c r="B6" s="39"/>
      <c r="C6" s="39"/>
      <c r="D6" s="40"/>
      <c r="E6" s="40"/>
      <c r="G6" s="29"/>
      <c r="H6" s="29"/>
      <c r="I6" s="29"/>
      <c r="J6" s="29"/>
      <c r="K6" s="29"/>
      <c r="L6" s="29"/>
      <c r="M6" s="29"/>
      <c r="N6" s="29"/>
      <c r="O6" s="29"/>
      <c r="P6" s="29"/>
      <c r="Q6" s="29"/>
      <c r="R6" s="29"/>
      <c r="S6" s="29"/>
      <c r="T6" s="29"/>
      <c r="U6" s="29"/>
      <c r="V6" s="29"/>
      <c r="W6" s="29"/>
      <c r="X6" s="29"/>
    </row>
    <row r="7" spans="1:24" ht="15">
      <c r="A7" s="29"/>
      <c r="B7" s="41"/>
      <c r="C7" s="42" t="s">
        <v>166</v>
      </c>
      <c r="D7" s="43" t="s">
        <v>167</v>
      </c>
      <c r="E7" s="43" t="s">
        <v>168</v>
      </c>
      <c r="G7" s="29"/>
      <c r="H7" s="29"/>
      <c r="I7" s="29"/>
      <c r="J7" s="29"/>
      <c r="K7" s="29"/>
      <c r="L7" s="29"/>
      <c r="M7" s="29"/>
      <c r="N7" s="29"/>
      <c r="O7" s="29"/>
      <c r="P7" s="29"/>
      <c r="Q7" s="29"/>
      <c r="R7" s="29"/>
      <c r="S7" s="29"/>
      <c r="T7" s="29"/>
      <c r="U7" s="29"/>
      <c r="V7" s="29"/>
      <c r="W7" s="29"/>
      <c r="X7" s="29"/>
    </row>
    <row r="8" spans="1:24" ht="15">
      <c r="A8" s="29"/>
      <c r="B8" s="44" t="s">
        <v>169</v>
      </c>
      <c r="C8" s="45" t="s">
        <v>170</v>
      </c>
      <c r="D8" s="46"/>
      <c r="E8" s="46"/>
      <c r="G8" s="29"/>
      <c r="H8" s="29"/>
      <c r="I8" s="29"/>
      <c r="J8" s="29"/>
      <c r="K8" s="29"/>
      <c r="L8" s="29"/>
      <c r="M8" s="29"/>
      <c r="N8" s="29"/>
      <c r="O8" s="29"/>
      <c r="P8" s="29"/>
      <c r="Q8" s="29"/>
      <c r="R8" s="29"/>
      <c r="S8" s="29"/>
      <c r="T8" s="29"/>
      <c r="U8" s="29"/>
      <c r="V8" s="29"/>
      <c r="W8" s="29"/>
      <c r="X8" s="29"/>
    </row>
    <row r="9" spans="1:24" ht="15">
      <c r="A9" s="29"/>
      <c r="B9" s="42" t="s">
        <v>171</v>
      </c>
      <c r="C9" s="58" t="s">
        <v>172</v>
      </c>
      <c r="D9" s="50"/>
      <c r="E9" s="51">
        <f>SUM(E10,E15,E20,E25)*100/12</f>
        <v>75</v>
      </c>
      <c r="G9" s="29"/>
      <c r="H9" s="29"/>
      <c r="I9" s="29"/>
      <c r="J9" s="29"/>
      <c r="K9" s="29"/>
      <c r="L9" s="29"/>
      <c r="M9" s="29"/>
      <c r="N9" s="29"/>
      <c r="O9" s="29"/>
      <c r="P9" s="29"/>
      <c r="Q9" s="29"/>
      <c r="R9" s="29"/>
      <c r="S9" s="29"/>
      <c r="T9" s="29"/>
      <c r="U9" s="29"/>
      <c r="V9" s="29"/>
      <c r="W9" s="29"/>
      <c r="X9" s="29"/>
    </row>
    <row r="10" spans="1:24" ht="15">
      <c r="A10" s="29"/>
      <c r="B10" s="42" t="s">
        <v>173</v>
      </c>
      <c r="C10" s="42" t="s">
        <v>174</v>
      </c>
      <c r="D10" s="53"/>
      <c r="E10" s="43">
        <f>IF(GST!I29=0,3,IF(GST!I29&lt;=6,2,1))</f>
        <v>3</v>
      </c>
      <c r="G10" s="29"/>
      <c r="H10" s="29"/>
      <c r="I10" s="29"/>
      <c r="J10" s="29"/>
      <c r="K10" s="29"/>
      <c r="L10" s="29"/>
      <c r="M10" s="29"/>
      <c r="N10" s="29"/>
      <c r="O10" s="29"/>
      <c r="P10" s="29"/>
      <c r="Q10" s="29"/>
      <c r="R10" s="29"/>
      <c r="S10" s="29"/>
      <c r="T10" s="29"/>
      <c r="U10" s="29"/>
      <c r="V10" s="29"/>
      <c r="W10" s="29"/>
      <c r="X10" s="29"/>
    </row>
    <row r="11" spans="1:24" ht="15">
      <c r="A11" s="29"/>
      <c r="B11" s="41"/>
      <c r="C11" s="59">
        <v>0</v>
      </c>
      <c r="D11" s="53">
        <v>3</v>
      </c>
      <c r="E11" s="516"/>
      <c r="G11" s="29"/>
      <c r="H11" s="29"/>
      <c r="I11" s="29"/>
      <c r="J11" s="29"/>
      <c r="K11" s="29"/>
      <c r="L11" s="29"/>
      <c r="M11" s="29"/>
      <c r="N11" s="29"/>
      <c r="O11" s="29"/>
      <c r="P11" s="29"/>
      <c r="Q11" s="29"/>
      <c r="R11" s="29"/>
      <c r="S11" s="29"/>
      <c r="T11" s="29"/>
      <c r="U11" s="29"/>
      <c r="V11" s="29"/>
      <c r="W11" s="29"/>
      <c r="X11" s="29"/>
    </row>
    <row r="12" spans="1:24" ht="15">
      <c r="A12" s="29"/>
      <c r="B12" s="41"/>
      <c r="C12" s="41" t="s">
        <v>175</v>
      </c>
      <c r="D12" s="53">
        <v>2</v>
      </c>
      <c r="E12" s="517"/>
      <c r="G12" s="29"/>
      <c r="H12" s="29"/>
      <c r="I12" s="29"/>
      <c r="J12" s="29"/>
      <c r="K12" s="29"/>
      <c r="L12" s="29"/>
      <c r="M12" s="29"/>
      <c r="N12" s="29"/>
      <c r="O12" s="29"/>
      <c r="P12" s="29"/>
      <c r="Q12" s="29"/>
      <c r="R12" s="29"/>
      <c r="S12" s="29"/>
      <c r="T12" s="29"/>
      <c r="U12" s="29"/>
      <c r="V12" s="29"/>
      <c r="W12" s="29"/>
      <c r="X12" s="29"/>
    </row>
    <row r="13" spans="1:24" ht="15">
      <c r="A13" s="29"/>
      <c r="C13" s="41" t="s">
        <v>176</v>
      </c>
      <c r="D13" s="53">
        <v>1</v>
      </c>
      <c r="E13" s="518"/>
      <c r="G13" s="29"/>
      <c r="H13" s="29"/>
      <c r="I13" s="29"/>
      <c r="J13" s="29"/>
      <c r="K13" s="29"/>
      <c r="L13" s="29"/>
      <c r="M13" s="29"/>
      <c r="N13" s="29"/>
      <c r="O13" s="29"/>
      <c r="P13" s="29"/>
      <c r="Q13" s="29"/>
      <c r="R13" s="29"/>
      <c r="S13" s="29"/>
      <c r="T13" s="29"/>
      <c r="U13" s="29"/>
      <c r="V13" s="29"/>
      <c r="W13" s="29"/>
      <c r="X13" s="29"/>
    </row>
    <row r="14" spans="1:24" ht="15">
      <c r="A14" s="29"/>
      <c r="B14" s="41"/>
      <c r="C14" s="60"/>
      <c r="D14" s="60"/>
      <c r="E14" s="60"/>
      <c r="G14" s="29"/>
      <c r="H14" s="29"/>
      <c r="I14" s="29"/>
      <c r="J14" s="29"/>
      <c r="K14" s="29"/>
      <c r="L14" s="29"/>
      <c r="M14" s="29"/>
      <c r="N14" s="29"/>
      <c r="O14" s="29"/>
      <c r="P14" s="29"/>
      <c r="Q14" s="29"/>
      <c r="R14" s="29"/>
      <c r="S14" s="29"/>
      <c r="T14" s="29"/>
      <c r="U14" s="29"/>
      <c r="V14" s="29"/>
      <c r="W14" s="29"/>
      <c r="X14" s="29"/>
    </row>
    <row r="15" spans="1:24" ht="15">
      <c r="A15" s="29"/>
      <c r="B15" s="42" t="s">
        <v>177</v>
      </c>
      <c r="C15" s="42" t="s">
        <v>178</v>
      </c>
      <c r="D15" s="53"/>
      <c r="E15" s="43">
        <f>IF(EPFO!F9=0,3,IF(EPFO!F9&lt;=6,2,1))</f>
        <v>1</v>
      </c>
      <c r="G15" s="29"/>
      <c r="H15" s="29"/>
      <c r="I15" s="29"/>
      <c r="J15" s="29"/>
      <c r="K15" s="29"/>
      <c r="L15" s="29"/>
      <c r="M15" s="29"/>
      <c r="N15" s="29"/>
      <c r="O15" s="29"/>
      <c r="P15" s="29"/>
      <c r="Q15" s="29"/>
      <c r="R15" s="29"/>
      <c r="S15" s="29"/>
      <c r="T15" s="29"/>
      <c r="U15" s="29"/>
      <c r="V15" s="29"/>
      <c r="W15" s="29"/>
      <c r="X15" s="29"/>
    </row>
    <row r="16" spans="1:24" ht="15">
      <c r="A16" s="29"/>
      <c r="C16" s="59">
        <v>0</v>
      </c>
      <c r="D16" s="53">
        <v>3</v>
      </c>
      <c r="E16" s="516"/>
      <c r="G16" s="29"/>
      <c r="H16" s="29"/>
      <c r="I16" s="29"/>
      <c r="J16" s="29"/>
      <c r="K16" s="29"/>
      <c r="L16" s="29"/>
      <c r="M16" s="29"/>
      <c r="N16" s="29"/>
      <c r="O16" s="29"/>
      <c r="P16" s="29"/>
      <c r="Q16" s="29"/>
      <c r="R16" s="29"/>
      <c r="S16" s="29"/>
      <c r="T16" s="29"/>
      <c r="U16" s="29"/>
      <c r="V16" s="29"/>
      <c r="W16" s="29"/>
      <c r="X16" s="29"/>
    </row>
    <row r="17" spans="1:24" ht="15">
      <c r="A17" s="29"/>
      <c r="B17" s="41"/>
      <c r="C17" s="41" t="s">
        <v>179</v>
      </c>
      <c r="D17" s="53">
        <v>2</v>
      </c>
      <c r="E17" s="517"/>
      <c r="G17" s="29"/>
      <c r="H17" s="29"/>
      <c r="I17" s="29"/>
      <c r="J17" s="29"/>
      <c r="K17" s="29"/>
      <c r="L17" s="29"/>
      <c r="M17" s="29"/>
      <c r="N17" s="29"/>
      <c r="O17" s="29"/>
      <c r="P17" s="29"/>
      <c r="Q17" s="29"/>
      <c r="R17" s="29"/>
      <c r="S17" s="29"/>
      <c r="T17" s="29"/>
      <c r="U17" s="29"/>
      <c r="V17" s="29"/>
      <c r="W17" s="29"/>
      <c r="X17" s="29"/>
    </row>
    <row r="18" spans="1:24" ht="15">
      <c r="A18" s="29"/>
      <c r="B18" s="41"/>
      <c r="C18" s="41" t="s">
        <v>180</v>
      </c>
      <c r="D18" s="53">
        <v>1</v>
      </c>
      <c r="E18" s="518"/>
      <c r="G18" s="29"/>
      <c r="H18" s="29"/>
      <c r="I18" s="29"/>
      <c r="J18" s="29"/>
      <c r="K18" s="29"/>
      <c r="L18" s="29"/>
      <c r="M18" s="29"/>
      <c r="N18" s="29"/>
      <c r="O18" s="29"/>
      <c r="P18" s="29"/>
      <c r="Q18" s="29"/>
      <c r="R18" s="29"/>
      <c r="S18" s="29"/>
      <c r="T18" s="29"/>
      <c r="U18" s="29"/>
      <c r="V18" s="29"/>
      <c r="W18" s="29"/>
      <c r="X18" s="29"/>
    </row>
    <row r="19" spans="1:24" ht="15">
      <c r="A19" s="29"/>
      <c r="B19" s="42"/>
      <c r="C19" s="60"/>
      <c r="D19" s="60"/>
      <c r="E19" s="60"/>
      <c r="G19" s="29"/>
      <c r="H19" s="29"/>
      <c r="I19" s="29"/>
      <c r="J19" s="29"/>
      <c r="K19" s="29"/>
      <c r="L19" s="29"/>
      <c r="M19" s="29"/>
      <c r="N19" s="29"/>
      <c r="O19" s="29"/>
      <c r="P19" s="29"/>
      <c r="Q19" s="29"/>
      <c r="R19" s="29"/>
      <c r="S19" s="29"/>
      <c r="T19" s="29"/>
      <c r="U19" s="29"/>
      <c r="V19" s="29"/>
      <c r="W19" s="29"/>
      <c r="X19" s="29"/>
    </row>
    <row r="20" spans="1:24" ht="15">
      <c r="A20" s="29"/>
      <c r="B20" s="42" t="s">
        <v>181</v>
      </c>
      <c r="C20" s="42" t="s">
        <v>182</v>
      </c>
      <c r="D20" s="53"/>
      <c r="E20" s="43">
        <f>IF(EPFO!F12&gt;10%,3,IF(EPFO!F12&gt;(-10)%,2,1))</f>
        <v>3</v>
      </c>
      <c r="G20" s="29"/>
      <c r="H20" s="29"/>
      <c r="I20" s="29"/>
      <c r="J20" s="29"/>
      <c r="K20" s="29"/>
      <c r="L20" s="29"/>
      <c r="M20" s="29"/>
      <c r="N20" s="29"/>
      <c r="O20" s="29"/>
      <c r="P20" s="29"/>
      <c r="Q20" s="29"/>
      <c r="R20" s="29"/>
      <c r="S20" s="29"/>
      <c r="T20" s="29"/>
      <c r="U20" s="29"/>
      <c r="V20" s="29"/>
      <c r="W20" s="29"/>
      <c r="X20" s="29"/>
    </row>
    <row r="21" spans="1:24" ht="15">
      <c r="A21" s="29"/>
      <c r="B21" s="41"/>
      <c r="C21" s="59" t="s">
        <v>183</v>
      </c>
      <c r="D21" s="53">
        <v>3</v>
      </c>
      <c r="E21" s="516"/>
      <c r="G21" s="29"/>
      <c r="H21" s="29"/>
      <c r="I21" s="29"/>
      <c r="J21" s="29"/>
      <c r="K21" s="29"/>
      <c r="L21" s="29"/>
      <c r="M21" s="29"/>
      <c r="N21" s="29"/>
      <c r="O21" s="29"/>
      <c r="P21" s="29"/>
      <c r="Q21" s="29"/>
      <c r="R21" s="29"/>
      <c r="S21" s="29"/>
      <c r="T21" s="29"/>
      <c r="U21" s="29"/>
      <c r="V21" s="29"/>
      <c r="W21" s="29"/>
      <c r="X21" s="29"/>
    </row>
    <row r="22" spans="1:24" ht="15">
      <c r="A22" s="29"/>
      <c r="B22" s="42"/>
      <c r="C22" s="59" t="s">
        <v>184</v>
      </c>
      <c r="D22" s="53">
        <v>2</v>
      </c>
      <c r="E22" s="517"/>
      <c r="G22" s="29"/>
      <c r="H22" s="29"/>
      <c r="I22" s="29"/>
      <c r="J22" s="29"/>
      <c r="K22" s="29"/>
      <c r="L22" s="29"/>
      <c r="M22" s="29"/>
      <c r="N22" s="29"/>
      <c r="O22" s="29"/>
      <c r="P22" s="29"/>
      <c r="Q22" s="29"/>
      <c r="R22" s="29"/>
      <c r="S22" s="29"/>
      <c r="T22" s="29"/>
      <c r="U22" s="29"/>
      <c r="V22" s="29"/>
      <c r="W22" s="29"/>
      <c r="X22" s="29"/>
    </row>
    <row r="23" spans="1:24" ht="15">
      <c r="A23" s="29"/>
      <c r="B23" s="42"/>
      <c r="C23" s="59" t="s">
        <v>185</v>
      </c>
      <c r="D23" s="53">
        <v>1</v>
      </c>
      <c r="E23" s="518"/>
      <c r="G23" s="29"/>
      <c r="H23" s="29"/>
      <c r="I23" s="29"/>
      <c r="J23" s="29"/>
      <c r="K23" s="29"/>
      <c r="L23" s="29"/>
      <c r="M23" s="29"/>
      <c r="N23" s="29"/>
      <c r="O23" s="29"/>
      <c r="P23" s="29"/>
      <c r="Q23" s="29"/>
      <c r="R23" s="29"/>
      <c r="S23" s="29"/>
      <c r="T23" s="29"/>
      <c r="U23" s="29"/>
      <c r="V23" s="29"/>
      <c r="W23" s="29"/>
      <c r="X23" s="29"/>
    </row>
    <row r="24" spans="1:24" ht="15">
      <c r="A24" s="29"/>
      <c r="B24" s="29"/>
      <c r="C24" s="29"/>
      <c r="D24" s="33"/>
      <c r="E24" s="33"/>
      <c r="G24" s="29"/>
      <c r="H24" s="29"/>
      <c r="I24" s="29"/>
      <c r="J24" s="29"/>
      <c r="K24" s="29"/>
      <c r="L24" s="29"/>
      <c r="M24" s="29"/>
      <c r="N24" s="29"/>
      <c r="O24" s="29"/>
      <c r="P24" s="29"/>
      <c r="Q24" s="29"/>
      <c r="R24" s="29"/>
      <c r="S24" s="29"/>
      <c r="T24" s="29"/>
      <c r="U24" s="29"/>
      <c r="V24" s="29"/>
      <c r="W24" s="29"/>
      <c r="X24" s="29"/>
    </row>
    <row r="25" spans="1:24" ht="15">
      <c r="A25" s="29"/>
      <c r="B25" s="29" t="s">
        <v>186</v>
      </c>
      <c r="C25" s="42" t="s">
        <v>187</v>
      </c>
      <c r="D25" s="53"/>
      <c r="E25" s="43">
        <f>IF(ROC!J28=0,3,IF(ROC!J28=1,2,IF(ROC!J28=2,0)))</f>
        <v>2</v>
      </c>
      <c r="G25" s="29"/>
      <c r="H25" s="29"/>
      <c r="I25" s="29"/>
      <c r="J25" s="29"/>
      <c r="K25" s="29"/>
      <c r="L25" s="29"/>
      <c r="M25" s="29"/>
      <c r="N25" s="29"/>
      <c r="O25" s="29"/>
      <c r="P25" s="29"/>
      <c r="Q25" s="29"/>
      <c r="R25" s="29"/>
      <c r="S25" s="29"/>
      <c r="T25" s="29"/>
      <c r="U25" s="29"/>
      <c r="V25" s="29"/>
      <c r="W25" s="29"/>
      <c r="X25" s="29"/>
    </row>
    <row r="26" spans="1:24" ht="15">
      <c r="A26" s="29"/>
      <c r="B26" s="29"/>
      <c r="C26" s="59" t="s">
        <v>188</v>
      </c>
      <c r="D26" s="53">
        <v>3</v>
      </c>
      <c r="E26" s="516"/>
      <c r="G26" s="29"/>
      <c r="H26" s="29"/>
      <c r="I26" s="29"/>
      <c r="J26" s="29"/>
      <c r="K26" s="29"/>
      <c r="L26" s="29"/>
      <c r="M26" s="29"/>
      <c r="N26" s="29"/>
      <c r="O26" s="29"/>
      <c r="P26" s="29"/>
      <c r="Q26" s="29"/>
      <c r="R26" s="29"/>
      <c r="S26" s="29"/>
      <c r="T26" s="29"/>
      <c r="U26" s="29"/>
      <c r="V26" s="29"/>
      <c r="W26" s="29"/>
      <c r="X26" s="29"/>
    </row>
    <row r="27" spans="1:24" ht="15">
      <c r="A27" s="29"/>
      <c r="B27" s="29"/>
      <c r="C27" s="59" t="s">
        <v>189</v>
      </c>
      <c r="D27" s="53">
        <v>2</v>
      </c>
      <c r="E27" s="517"/>
      <c r="G27" s="29"/>
      <c r="H27" s="29"/>
      <c r="I27" s="29"/>
      <c r="J27" s="29"/>
      <c r="K27" s="29"/>
      <c r="L27" s="29"/>
      <c r="M27" s="29"/>
      <c r="N27" s="29"/>
      <c r="O27" s="29"/>
      <c r="P27" s="29"/>
      <c r="Q27" s="29"/>
      <c r="R27" s="29"/>
      <c r="S27" s="29"/>
      <c r="T27" s="29"/>
      <c r="U27" s="29"/>
      <c r="V27" s="29"/>
      <c r="W27" s="29"/>
      <c r="X27" s="29"/>
    </row>
    <row r="28" spans="1:24" ht="15">
      <c r="A28" s="29"/>
      <c r="B28" s="29"/>
      <c r="C28" s="59" t="s">
        <v>190</v>
      </c>
      <c r="D28" s="53">
        <v>1</v>
      </c>
      <c r="E28" s="518"/>
      <c r="G28" s="29"/>
      <c r="H28" s="29"/>
      <c r="I28" s="29"/>
      <c r="J28" s="29"/>
      <c r="K28" s="29"/>
      <c r="L28" s="29"/>
      <c r="M28" s="29"/>
      <c r="N28" s="29"/>
      <c r="O28" s="29"/>
      <c r="P28" s="29"/>
      <c r="Q28" s="29"/>
      <c r="R28" s="29"/>
      <c r="S28" s="29"/>
      <c r="T28" s="29"/>
      <c r="U28" s="29"/>
      <c r="V28" s="29"/>
      <c r="W28" s="29"/>
      <c r="X28" s="29"/>
    </row>
    <row r="29" spans="1:24" ht="15">
      <c r="A29" s="29"/>
      <c r="B29" s="29"/>
      <c r="C29" s="29"/>
      <c r="D29" s="33"/>
      <c r="E29" s="33"/>
      <c r="G29" s="29"/>
      <c r="H29" s="29"/>
      <c r="I29" s="29"/>
      <c r="J29" s="29"/>
      <c r="K29" s="29"/>
      <c r="L29" s="29"/>
      <c r="M29" s="29"/>
      <c r="N29" s="29"/>
      <c r="O29" s="29"/>
      <c r="P29" s="29"/>
      <c r="Q29" s="29"/>
      <c r="R29" s="29"/>
      <c r="S29" s="29"/>
      <c r="T29" s="29"/>
      <c r="U29" s="29"/>
      <c r="V29" s="29"/>
      <c r="W29" s="29"/>
      <c r="X29" s="29"/>
    </row>
    <row r="30" spans="1:24" ht="15">
      <c r="A30" s="29"/>
      <c r="B30" s="29"/>
      <c r="C30" s="29"/>
      <c r="D30" s="33"/>
      <c r="E30" s="33"/>
      <c r="G30" s="29"/>
      <c r="H30" s="29"/>
      <c r="I30" s="29"/>
      <c r="J30" s="29"/>
      <c r="K30" s="29"/>
      <c r="L30" s="29"/>
      <c r="M30" s="29"/>
      <c r="N30" s="29"/>
      <c r="O30" s="29"/>
      <c r="P30" s="29"/>
      <c r="Q30" s="29"/>
      <c r="R30" s="29"/>
      <c r="S30" s="29"/>
      <c r="T30" s="29"/>
      <c r="U30" s="29"/>
      <c r="V30" s="29"/>
      <c r="W30" s="29"/>
      <c r="X30" s="29"/>
    </row>
    <row r="31" spans="1:24" ht="15">
      <c r="A31" s="29"/>
      <c r="B31" s="29"/>
      <c r="C31" s="29"/>
      <c r="D31" s="33"/>
      <c r="E31" s="33"/>
      <c r="G31" s="29"/>
      <c r="H31" s="29"/>
      <c r="I31" s="29"/>
      <c r="J31" s="29"/>
      <c r="K31" s="29"/>
      <c r="L31" s="29"/>
      <c r="M31" s="29"/>
      <c r="N31" s="29"/>
      <c r="O31" s="29"/>
      <c r="P31" s="29"/>
      <c r="Q31" s="29"/>
      <c r="R31" s="29"/>
      <c r="S31" s="29"/>
      <c r="T31" s="29"/>
      <c r="U31" s="29"/>
      <c r="V31" s="29"/>
      <c r="W31" s="29"/>
      <c r="X31" s="29"/>
    </row>
    <row r="32" spans="1:24" ht="15">
      <c r="A32" s="29"/>
      <c r="B32" s="29"/>
      <c r="C32" s="29"/>
      <c r="D32" s="33"/>
      <c r="E32" s="33"/>
      <c r="G32" s="29"/>
      <c r="H32" s="29"/>
      <c r="I32" s="29"/>
      <c r="J32" s="29"/>
      <c r="K32" s="29"/>
      <c r="L32" s="29"/>
      <c r="M32" s="29"/>
      <c r="N32" s="29"/>
      <c r="O32" s="29"/>
      <c r="P32" s="29"/>
      <c r="Q32" s="29"/>
      <c r="R32" s="29"/>
      <c r="S32" s="29"/>
      <c r="T32" s="29"/>
      <c r="U32" s="29"/>
      <c r="V32" s="29"/>
      <c r="W32" s="29"/>
      <c r="X32" s="29"/>
    </row>
    <row r="33" spans="1:24" ht="15">
      <c r="A33" s="29"/>
      <c r="B33" s="29"/>
      <c r="C33" s="29"/>
      <c r="D33" s="33"/>
      <c r="E33" s="33"/>
      <c r="G33" s="29"/>
      <c r="H33" s="29"/>
      <c r="I33" s="29"/>
      <c r="J33" s="29"/>
      <c r="K33" s="29"/>
      <c r="L33" s="29"/>
      <c r="M33" s="29"/>
      <c r="N33" s="29"/>
      <c r="O33" s="29"/>
      <c r="P33" s="29"/>
      <c r="Q33" s="29"/>
      <c r="R33" s="29"/>
      <c r="S33" s="29"/>
      <c r="T33" s="29"/>
      <c r="U33" s="29"/>
      <c r="V33" s="29"/>
      <c r="W33" s="29"/>
      <c r="X33" s="29"/>
    </row>
    <row r="34" spans="1:24" ht="15">
      <c r="A34" s="29"/>
      <c r="B34" s="29"/>
      <c r="C34" s="29"/>
      <c r="D34" s="33"/>
      <c r="E34" s="33"/>
      <c r="G34" s="29"/>
      <c r="H34" s="29"/>
      <c r="I34" s="29"/>
      <c r="J34" s="29"/>
      <c r="K34" s="29"/>
      <c r="L34" s="29"/>
      <c r="M34" s="29"/>
      <c r="N34" s="29"/>
      <c r="O34" s="29"/>
      <c r="P34" s="29"/>
      <c r="Q34" s="29"/>
      <c r="R34" s="29"/>
      <c r="S34" s="29"/>
      <c r="T34" s="29"/>
      <c r="U34" s="29"/>
      <c r="V34" s="29"/>
      <c r="W34" s="29"/>
      <c r="X34" s="29"/>
    </row>
    <row r="35" spans="1:24" ht="15">
      <c r="A35" s="29"/>
      <c r="B35" s="29"/>
      <c r="C35" s="29"/>
      <c r="D35" s="33"/>
      <c r="E35" s="33"/>
      <c r="G35" s="29"/>
      <c r="H35" s="29"/>
      <c r="I35" s="29"/>
      <c r="J35" s="29"/>
      <c r="K35" s="29"/>
      <c r="L35" s="29"/>
      <c r="M35" s="29"/>
      <c r="N35" s="29"/>
      <c r="O35" s="29"/>
      <c r="P35" s="29"/>
      <c r="Q35" s="29"/>
      <c r="R35" s="29"/>
      <c r="S35" s="29"/>
      <c r="T35" s="29"/>
      <c r="U35" s="29"/>
      <c r="V35" s="29"/>
      <c r="W35" s="29"/>
      <c r="X35" s="29"/>
    </row>
    <row r="36" spans="1:24" ht="15">
      <c r="A36" s="29"/>
      <c r="B36" s="29"/>
      <c r="C36" s="29"/>
      <c r="D36" s="33"/>
      <c r="E36" s="33"/>
      <c r="G36" s="29"/>
      <c r="H36" s="29"/>
      <c r="I36" s="29"/>
      <c r="J36" s="29"/>
      <c r="K36" s="29"/>
      <c r="L36" s="29"/>
      <c r="M36" s="29"/>
      <c r="N36" s="29"/>
      <c r="O36" s="29"/>
      <c r="P36" s="29"/>
      <c r="Q36" s="29"/>
      <c r="R36" s="29"/>
      <c r="S36" s="29"/>
      <c r="T36" s="29"/>
      <c r="U36" s="29"/>
      <c r="V36" s="29"/>
      <c r="W36" s="29"/>
      <c r="X36" s="29"/>
    </row>
    <row r="37" spans="1:24" ht="15">
      <c r="A37" s="29"/>
      <c r="B37" s="29"/>
      <c r="C37" s="29"/>
      <c r="D37" s="33"/>
      <c r="E37" s="33"/>
      <c r="G37" s="29"/>
      <c r="H37" s="29"/>
      <c r="I37" s="29"/>
      <c r="J37" s="29"/>
      <c r="K37" s="29"/>
      <c r="L37" s="29"/>
      <c r="M37" s="29"/>
      <c r="N37" s="29"/>
      <c r="O37" s="29"/>
      <c r="P37" s="29"/>
      <c r="Q37" s="29"/>
      <c r="R37" s="29"/>
      <c r="S37" s="29"/>
      <c r="T37" s="29"/>
      <c r="U37" s="29"/>
      <c r="V37" s="29"/>
      <c r="W37" s="29"/>
      <c r="X37" s="29"/>
    </row>
    <row r="38" spans="1:24" ht="15">
      <c r="A38" s="29"/>
      <c r="B38" s="29"/>
      <c r="C38" s="29"/>
      <c r="D38" s="33"/>
      <c r="E38" s="33"/>
      <c r="G38" s="29"/>
      <c r="H38" s="29"/>
      <c r="I38" s="29"/>
      <c r="J38" s="29"/>
      <c r="K38" s="29"/>
      <c r="L38" s="29"/>
      <c r="M38" s="29"/>
      <c r="N38" s="29"/>
      <c r="O38" s="29"/>
      <c r="P38" s="29"/>
      <c r="Q38" s="29"/>
      <c r="R38" s="29"/>
      <c r="S38" s="29"/>
      <c r="T38" s="29"/>
      <c r="U38" s="29"/>
      <c r="V38" s="29"/>
      <c r="W38" s="29"/>
      <c r="X38" s="29"/>
    </row>
    <row r="39" spans="1:24" ht="15">
      <c r="A39" s="29"/>
      <c r="B39" s="29"/>
      <c r="C39" s="29"/>
      <c r="D39" s="33"/>
      <c r="E39" s="33"/>
      <c r="G39" s="29"/>
      <c r="H39" s="29"/>
      <c r="I39" s="29"/>
      <c r="J39" s="29"/>
      <c r="K39" s="29"/>
      <c r="L39" s="29"/>
      <c r="M39" s="29"/>
      <c r="N39" s="29"/>
      <c r="O39" s="29"/>
      <c r="P39" s="29"/>
      <c r="Q39" s="29"/>
      <c r="R39" s="29"/>
      <c r="S39" s="29"/>
      <c r="T39" s="29"/>
      <c r="U39" s="29"/>
      <c r="V39" s="29"/>
      <c r="W39" s="29"/>
      <c r="X39" s="29"/>
    </row>
    <row r="40" spans="1:24" ht="15">
      <c r="A40" s="29"/>
      <c r="B40" s="29"/>
      <c r="C40" s="29"/>
      <c r="D40" s="33"/>
      <c r="E40" s="33"/>
      <c r="G40" s="29"/>
      <c r="H40" s="29"/>
      <c r="I40" s="29"/>
      <c r="J40" s="29"/>
      <c r="K40" s="29"/>
      <c r="L40" s="29"/>
      <c r="M40" s="29"/>
      <c r="N40" s="29"/>
      <c r="O40" s="29"/>
      <c r="P40" s="29"/>
      <c r="Q40" s="29"/>
      <c r="R40" s="29"/>
      <c r="S40" s="29"/>
      <c r="T40" s="29"/>
      <c r="U40" s="29"/>
      <c r="V40" s="29"/>
      <c r="W40" s="29"/>
      <c r="X40" s="29"/>
    </row>
    <row r="41" spans="1:24" ht="15">
      <c r="A41" s="29"/>
      <c r="B41" s="29"/>
      <c r="C41" s="29"/>
      <c r="D41" s="33"/>
      <c r="E41" s="33"/>
      <c r="G41" s="29"/>
      <c r="H41" s="29"/>
      <c r="I41" s="29"/>
      <c r="J41" s="29"/>
      <c r="K41" s="29"/>
      <c r="L41" s="29"/>
      <c r="M41" s="29"/>
      <c r="N41" s="29"/>
      <c r="O41" s="29"/>
      <c r="P41" s="29"/>
      <c r="Q41" s="29"/>
      <c r="R41" s="29"/>
      <c r="S41" s="29"/>
      <c r="T41" s="29"/>
      <c r="U41" s="29"/>
      <c r="V41" s="29"/>
      <c r="W41" s="29"/>
      <c r="X41" s="29"/>
    </row>
    <row r="42" spans="1:24" ht="15">
      <c r="A42" s="29"/>
      <c r="B42" s="29"/>
      <c r="C42" s="29"/>
      <c r="D42" s="33"/>
      <c r="E42" s="33"/>
      <c r="G42" s="29"/>
      <c r="H42" s="29"/>
      <c r="I42" s="29"/>
      <c r="J42" s="29"/>
      <c r="K42" s="29"/>
      <c r="L42" s="29"/>
      <c r="M42" s="29"/>
      <c r="N42" s="29"/>
      <c r="O42" s="29"/>
      <c r="P42" s="29"/>
      <c r="Q42" s="29"/>
      <c r="R42" s="29"/>
      <c r="S42" s="29"/>
      <c r="T42" s="29"/>
      <c r="U42" s="29"/>
      <c r="V42" s="29"/>
      <c r="W42" s="29"/>
      <c r="X42" s="29"/>
    </row>
    <row r="43" spans="1:24" ht="15">
      <c r="A43" s="29"/>
      <c r="B43" s="29"/>
      <c r="C43" s="29"/>
      <c r="D43" s="33"/>
      <c r="E43" s="33"/>
      <c r="G43" s="29"/>
      <c r="H43" s="29"/>
      <c r="I43" s="29"/>
      <c r="J43" s="29"/>
      <c r="K43" s="29"/>
      <c r="L43" s="29"/>
      <c r="M43" s="29"/>
      <c r="N43" s="29"/>
      <c r="O43" s="29"/>
      <c r="P43" s="29"/>
      <c r="Q43" s="29"/>
      <c r="R43" s="29"/>
      <c r="S43" s="29"/>
      <c r="T43" s="29"/>
      <c r="U43" s="29"/>
      <c r="V43" s="29"/>
      <c r="W43" s="29"/>
      <c r="X43" s="29"/>
    </row>
    <row r="44" spans="1:24" ht="15">
      <c r="A44" s="29"/>
      <c r="B44" s="29"/>
      <c r="C44" s="29"/>
      <c r="D44" s="33"/>
      <c r="E44" s="33"/>
      <c r="G44" s="29"/>
      <c r="H44" s="29"/>
      <c r="I44" s="29"/>
      <c r="J44" s="29"/>
      <c r="K44" s="29"/>
      <c r="L44" s="29"/>
      <c r="M44" s="29"/>
      <c r="N44" s="29"/>
      <c r="O44" s="29"/>
      <c r="P44" s="29"/>
      <c r="Q44" s="29"/>
      <c r="R44" s="29"/>
      <c r="S44" s="29"/>
      <c r="T44" s="29"/>
      <c r="U44" s="29"/>
      <c r="V44" s="29"/>
      <c r="W44" s="29"/>
      <c r="X44" s="29"/>
    </row>
    <row r="45" spans="1:24" ht="15">
      <c r="A45" s="29"/>
      <c r="B45" s="29"/>
      <c r="C45" s="29"/>
      <c r="D45" s="33"/>
      <c r="E45" s="33"/>
      <c r="G45" s="29"/>
      <c r="H45" s="29"/>
      <c r="I45" s="29"/>
      <c r="J45" s="29"/>
      <c r="K45" s="29"/>
      <c r="L45" s="29"/>
      <c r="M45" s="29"/>
      <c r="N45" s="29"/>
      <c r="O45" s="29"/>
      <c r="P45" s="29"/>
      <c r="Q45" s="29"/>
      <c r="R45" s="29"/>
      <c r="S45" s="29"/>
      <c r="T45" s="29"/>
      <c r="U45" s="29"/>
      <c r="V45" s="29"/>
      <c r="W45" s="29"/>
      <c r="X45" s="29"/>
    </row>
    <row r="46" spans="1:24" ht="15">
      <c r="A46" s="29"/>
      <c r="B46" s="29"/>
      <c r="C46" s="29"/>
      <c r="D46" s="33"/>
      <c r="E46" s="33"/>
      <c r="G46" s="29"/>
      <c r="H46" s="29"/>
      <c r="I46" s="29"/>
      <c r="J46" s="29"/>
      <c r="K46" s="29"/>
      <c r="L46" s="29"/>
      <c r="M46" s="29"/>
      <c r="N46" s="29"/>
      <c r="O46" s="29"/>
      <c r="P46" s="29"/>
      <c r="Q46" s="29"/>
      <c r="R46" s="29"/>
      <c r="S46" s="29"/>
      <c r="T46" s="29"/>
      <c r="U46" s="29"/>
      <c r="V46" s="29"/>
      <c r="W46" s="29"/>
      <c r="X46" s="29"/>
    </row>
    <row r="47" spans="1:24" ht="15">
      <c r="A47" s="29"/>
      <c r="B47" s="29"/>
      <c r="C47" s="29"/>
      <c r="D47" s="33"/>
      <c r="E47" s="33"/>
      <c r="G47" s="29"/>
      <c r="H47" s="29"/>
      <c r="I47" s="29"/>
      <c r="J47" s="29"/>
      <c r="K47" s="29"/>
      <c r="L47" s="29"/>
      <c r="M47" s="29"/>
      <c r="N47" s="29"/>
      <c r="O47" s="29"/>
      <c r="P47" s="29"/>
      <c r="Q47" s="29"/>
      <c r="R47" s="29"/>
      <c r="S47" s="29"/>
      <c r="T47" s="29"/>
      <c r="U47" s="29"/>
      <c r="V47" s="29"/>
      <c r="W47" s="29"/>
      <c r="X47" s="29"/>
    </row>
    <row r="48" spans="1:24" ht="15">
      <c r="A48" s="29"/>
      <c r="B48" s="29"/>
      <c r="C48" s="29"/>
      <c r="D48" s="33"/>
      <c r="E48" s="33"/>
      <c r="G48" s="29"/>
      <c r="H48" s="29"/>
      <c r="I48" s="29"/>
      <c r="J48" s="29"/>
      <c r="K48" s="29"/>
      <c r="L48" s="29"/>
      <c r="M48" s="29"/>
      <c r="N48" s="29"/>
      <c r="O48" s="29"/>
      <c r="P48" s="29"/>
      <c r="Q48" s="29"/>
      <c r="R48" s="29"/>
      <c r="S48" s="29"/>
      <c r="T48" s="29"/>
      <c r="U48" s="29"/>
      <c r="V48" s="29"/>
      <c r="W48" s="29"/>
      <c r="X48" s="29"/>
    </row>
    <row r="49" spans="1:24" ht="15">
      <c r="A49" s="29"/>
      <c r="B49" s="29"/>
      <c r="C49" s="29"/>
      <c r="D49" s="33"/>
      <c r="E49" s="33"/>
      <c r="G49" s="29"/>
      <c r="H49" s="29"/>
      <c r="I49" s="29"/>
      <c r="J49" s="29"/>
      <c r="K49" s="29"/>
      <c r="L49" s="29"/>
      <c r="M49" s="29"/>
      <c r="N49" s="29"/>
      <c r="O49" s="29"/>
      <c r="P49" s="29"/>
      <c r="Q49" s="29"/>
      <c r="R49" s="29"/>
      <c r="S49" s="29"/>
      <c r="T49" s="29"/>
      <c r="U49" s="29"/>
      <c r="V49" s="29"/>
      <c r="W49" s="29"/>
      <c r="X49" s="29"/>
    </row>
    <row r="50" spans="1:24" ht="15">
      <c r="A50" s="29"/>
      <c r="B50" s="29"/>
      <c r="C50" s="29"/>
      <c r="D50" s="33"/>
      <c r="E50" s="33"/>
      <c r="G50" s="29"/>
      <c r="H50" s="29"/>
      <c r="I50" s="29"/>
      <c r="J50" s="29"/>
      <c r="K50" s="29"/>
      <c r="L50" s="29"/>
      <c r="M50" s="29"/>
      <c r="N50" s="29"/>
      <c r="O50" s="29"/>
      <c r="P50" s="29"/>
      <c r="Q50" s="29"/>
      <c r="R50" s="29"/>
      <c r="S50" s="29"/>
      <c r="T50" s="29"/>
      <c r="U50" s="29"/>
      <c r="V50" s="29"/>
      <c r="W50" s="29"/>
      <c r="X50" s="29"/>
    </row>
    <row r="51" spans="1:24" ht="15">
      <c r="A51" s="29"/>
      <c r="B51" s="29"/>
      <c r="C51" s="29"/>
      <c r="D51" s="33"/>
      <c r="E51" s="33"/>
      <c r="G51" s="29"/>
      <c r="H51" s="29"/>
      <c r="I51" s="29"/>
      <c r="J51" s="29"/>
      <c r="K51" s="29"/>
      <c r="L51" s="29"/>
      <c r="M51" s="29"/>
      <c r="N51" s="29"/>
      <c r="O51" s="29"/>
      <c r="P51" s="29"/>
      <c r="Q51" s="29"/>
      <c r="R51" s="29"/>
      <c r="S51" s="29"/>
      <c r="T51" s="29"/>
      <c r="U51" s="29"/>
      <c r="V51" s="29"/>
      <c r="W51" s="29"/>
      <c r="X51" s="29"/>
    </row>
    <row r="52" spans="1:24" ht="15">
      <c r="A52" s="29"/>
      <c r="B52" s="29"/>
      <c r="C52" s="29"/>
      <c r="D52" s="33"/>
      <c r="E52" s="33"/>
      <c r="G52" s="29"/>
      <c r="H52" s="29"/>
      <c r="I52" s="29"/>
      <c r="J52" s="29"/>
      <c r="K52" s="29"/>
      <c r="L52" s="29"/>
      <c r="M52" s="29"/>
      <c r="N52" s="29"/>
      <c r="O52" s="29"/>
      <c r="P52" s="29"/>
      <c r="Q52" s="29"/>
      <c r="R52" s="29"/>
      <c r="S52" s="29"/>
      <c r="T52" s="29"/>
      <c r="U52" s="29"/>
      <c r="V52" s="29"/>
      <c r="W52" s="29"/>
      <c r="X52" s="29"/>
    </row>
    <row r="53" spans="1:24" ht="15">
      <c r="A53" s="29"/>
      <c r="B53" s="29"/>
      <c r="C53" s="29"/>
      <c r="D53" s="33"/>
      <c r="E53" s="33"/>
      <c r="G53" s="29"/>
      <c r="H53" s="29"/>
      <c r="I53" s="29"/>
      <c r="J53" s="29"/>
      <c r="K53" s="29"/>
      <c r="L53" s="29"/>
      <c r="M53" s="29"/>
      <c r="N53" s="29"/>
      <c r="O53" s="29"/>
      <c r="P53" s="29"/>
      <c r="Q53" s="29"/>
      <c r="R53" s="29"/>
      <c r="S53" s="29"/>
      <c r="T53" s="29"/>
      <c r="U53" s="29"/>
      <c r="V53" s="29"/>
      <c r="W53" s="29"/>
      <c r="X53" s="29"/>
    </row>
    <row r="54" spans="1:24" ht="15">
      <c r="A54" s="29"/>
      <c r="B54" s="29"/>
      <c r="C54" s="29"/>
      <c r="D54" s="33"/>
      <c r="E54" s="33"/>
      <c r="G54" s="29"/>
      <c r="H54" s="29"/>
      <c r="I54" s="29"/>
      <c r="J54" s="29"/>
      <c r="K54" s="29"/>
      <c r="L54" s="29"/>
      <c r="M54" s="29"/>
      <c r="N54" s="29"/>
      <c r="O54" s="29"/>
      <c r="P54" s="29"/>
      <c r="Q54" s="29"/>
      <c r="R54" s="29"/>
      <c r="S54" s="29"/>
      <c r="T54" s="29"/>
      <c r="U54" s="29"/>
      <c r="V54" s="29"/>
      <c r="W54" s="29"/>
      <c r="X54" s="29"/>
    </row>
    <row r="55" spans="1:24" ht="15">
      <c r="A55" s="29"/>
      <c r="B55" s="29"/>
      <c r="C55" s="29"/>
      <c r="D55" s="33"/>
      <c r="E55" s="33"/>
      <c r="G55" s="29"/>
      <c r="H55" s="29"/>
      <c r="I55" s="29"/>
      <c r="J55" s="29"/>
      <c r="K55" s="29"/>
      <c r="L55" s="29"/>
      <c r="M55" s="29"/>
      <c r="N55" s="29"/>
      <c r="O55" s="29"/>
      <c r="P55" s="29"/>
      <c r="Q55" s="29"/>
      <c r="R55" s="29"/>
      <c r="S55" s="29"/>
      <c r="T55" s="29"/>
      <c r="U55" s="29"/>
      <c r="V55" s="29"/>
      <c r="W55" s="29"/>
      <c r="X55" s="29"/>
    </row>
    <row r="56" spans="1:24" ht="15">
      <c r="A56" s="29"/>
      <c r="B56" s="29"/>
      <c r="C56" s="29"/>
      <c r="D56" s="33"/>
      <c r="E56" s="33"/>
      <c r="G56" s="29"/>
      <c r="H56" s="29"/>
      <c r="I56" s="29"/>
      <c r="J56" s="29"/>
      <c r="K56" s="29"/>
      <c r="L56" s="29"/>
      <c r="M56" s="29"/>
      <c r="N56" s="29"/>
      <c r="O56" s="29"/>
      <c r="P56" s="29"/>
      <c r="Q56" s="29"/>
      <c r="R56" s="29"/>
      <c r="S56" s="29"/>
      <c r="T56" s="29"/>
      <c r="U56" s="29"/>
      <c r="V56" s="29"/>
      <c r="W56" s="29"/>
      <c r="X56" s="29"/>
    </row>
    <row r="57" spans="1:24" ht="15">
      <c r="A57" s="29"/>
      <c r="B57" s="29"/>
      <c r="C57" s="29"/>
      <c r="D57" s="33"/>
      <c r="E57" s="33"/>
      <c r="G57" s="29"/>
      <c r="H57" s="29"/>
      <c r="I57" s="29"/>
      <c r="J57" s="29"/>
      <c r="K57" s="29"/>
      <c r="L57" s="29"/>
      <c r="M57" s="29"/>
      <c r="N57" s="29"/>
      <c r="O57" s="29"/>
      <c r="P57" s="29"/>
      <c r="Q57" s="29"/>
      <c r="R57" s="29"/>
      <c r="S57" s="29"/>
      <c r="T57" s="29"/>
      <c r="U57" s="29"/>
      <c r="V57" s="29"/>
      <c r="W57" s="29"/>
      <c r="X57" s="29"/>
    </row>
    <row r="58" spans="1:24" ht="15">
      <c r="A58" s="29"/>
      <c r="B58" s="29"/>
      <c r="C58" s="29"/>
      <c r="D58" s="33"/>
      <c r="E58" s="33"/>
      <c r="G58" s="29"/>
      <c r="H58" s="29"/>
      <c r="I58" s="29"/>
      <c r="J58" s="29"/>
      <c r="K58" s="29"/>
      <c r="L58" s="29"/>
      <c r="M58" s="29"/>
      <c r="N58" s="29"/>
      <c r="O58" s="29"/>
      <c r="P58" s="29"/>
      <c r="Q58" s="29"/>
      <c r="R58" s="29"/>
      <c r="S58" s="29"/>
      <c r="T58" s="29"/>
      <c r="U58" s="29"/>
      <c r="V58" s="29"/>
      <c r="W58" s="29"/>
      <c r="X58" s="29"/>
    </row>
    <row r="59" spans="1:24" ht="15">
      <c r="A59" s="29"/>
      <c r="B59" s="29"/>
      <c r="C59" s="29"/>
      <c r="D59" s="33"/>
      <c r="E59" s="33"/>
      <c r="G59" s="29"/>
      <c r="H59" s="29"/>
      <c r="I59" s="29"/>
      <c r="J59" s="29"/>
      <c r="K59" s="29"/>
      <c r="L59" s="29"/>
      <c r="M59" s="29"/>
      <c r="N59" s="29"/>
      <c r="O59" s="29"/>
      <c r="P59" s="29"/>
      <c r="Q59" s="29"/>
      <c r="R59" s="29"/>
      <c r="S59" s="29"/>
      <c r="T59" s="29"/>
      <c r="U59" s="29"/>
      <c r="V59" s="29"/>
      <c r="W59" s="29"/>
      <c r="X59" s="29"/>
    </row>
    <row r="60" spans="1:24" ht="15">
      <c r="A60" s="29"/>
      <c r="B60" s="29"/>
      <c r="C60" s="29"/>
      <c r="D60" s="33"/>
      <c r="E60" s="33"/>
      <c r="G60" s="29"/>
      <c r="H60" s="29"/>
      <c r="I60" s="29"/>
      <c r="J60" s="29"/>
      <c r="K60" s="29"/>
      <c r="L60" s="29"/>
      <c r="M60" s="29"/>
      <c r="N60" s="29"/>
      <c r="O60" s="29"/>
      <c r="P60" s="29"/>
      <c r="Q60" s="29"/>
      <c r="R60" s="29"/>
      <c r="S60" s="29"/>
      <c r="T60" s="29"/>
      <c r="U60" s="29"/>
      <c r="V60" s="29"/>
      <c r="W60" s="29"/>
      <c r="X60" s="29"/>
    </row>
    <row r="61" spans="1:24" ht="15">
      <c r="A61" s="29"/>
      <c r="B61" s="29"/>
      <c r="C61" s="29"/>
      <c r="D61" s="33"/>
      <c r="E61" s="33"/>
      <c r="G61" s="29"/>
      <c r="H61" s="29"/>
      <c r="I61" s="29"/>
      <c r="J61" s="29"/>
      <c r="K61" s="29"/>
      <c r="L61" s="29"/>
      <c r="M61" s="29"/>
      <c r="N61" s="29"/>
      <c r="O61" s="29"/>
      <c r="P61" s="29"/>
      <c r="Q61" s="29"/>
      <c r="R61" s="29"/>
      <c r="S61" s="29"/>
      <c r="T61" s="29"/>
      <c r="U61" s="29"/>
      <c r="V61" s="29"/>
      <c r="W61" s="29"/>
      <c r="X61" s="29"/>
    </row>
    <row r="62" spans="1:24" ht="15">
      <c r="A62" s="29"/>
      <c r="B62" s="29"/>
      <c r="C62" s="29"/>
      <c r="D62" s="33"/>
      <c r="E62" s="33"/>
      <c r="G62" s="29"/>
      <c r="H62" s="29"/>
      <c r="I62" s="29"/>
      <c r="J62" s="29"/>
      <c r="K62" s="29"/>
      <c r="L62" s="29"/>
      <c r="M62" s="29"/>
      <c r="N62" s="29"/>
      <c r="O62" s="29"/>
      <c r="P62" s="29"/>
      <c r="Q62" s="29"/>
      <c r="R62" s="29"/>
      <c r="S62" s="29"/>
      <c r="T62" s="29"/>
      <c r="U62" s="29"/>
      <c r="V62" s="29"/>
      <c r="W62" s="29"/>
      <c r="X62" s="29"/>
    </row>
    <row r="63" spans="1:24" ht="15">
      <c r="A63" s="29"/>
      <c r="B63" s="29"/>
      <c r="C63" s="29"/>
      <c r="D63" s="33"/>
      <c r="E63" s="33"/>
      <c r="G63" s="29"/>
      <c r="H63" s="29"/>
      <c r="I63" s="29"/>
      <c r="J63" s="29"/>
      <c r="K63" s="29"/>
      <c r="L63" s="29"/>
      <c r="M63" s="29"/>
      <c r="N63" s="29"/>
      <c r="O63" s="29"/>
      <c r="P63" s="29"/>
      <c r="Q63" s="29"/>
      <c r="R63" s="29"/>
      <c r="S63" s="29"/>
      <c r="T63" s="29"/>
      <c r="U63" s="29"/>
      <c r="V63" s="29"/>
      <c r="W63" s="29"/>
      <c r="X63" s="29"/>
    </row>
    <row r="64" spans="1:24" ht="15">
      <c r="A64" s="29"/>
      <c r="B64" s="29"/>
      <c r="C64" s="29"/>
      <c r="D64" s="33"/>
      <c r="E64" s="33"/>
      <c r="G64" s="29"/>
      <c r="H64" s="29"/>
      <c r="I64" s="29"/>
      <c r="J64" s="29"/>
      <c r="K64" s="29"/>
      <c r="L64" s="29"/>
      <c r="M64" s="29"/>
      <c r="N64" s="29"/>
      <c r="O64" s="29"/>
      <c r="P64" s="29"/>
      <c r="Q64" s="29"/>
      <c r="R64" s="29"/>
      <c r="S64" s="29"/>
      <c r="T64" s="29"/>
      <c r="U64" s="29"/>
      <c r="V64" s="29"/>
      <c r="W64" s="29"/>
      <c r="X64" s="29"/>
    </row>
    <row r="65" spans="1:24" ht="15">
      <c r="A65" s="29"/>
      <c r="B65" s="29"/>
      <c r="C65" s="29"/>
      <c r="D65" s="33"/>
      <c r="E65" s="33"/>
      <c r="G65" s="29"/>
      <c r="H65" s="29"/>
      <c r="I65" s="29"/>
      <c r="J65" s="29"/>
      <c r="K65" s="29"/>
      <c r="L65" s="29"/>
      <c r="M65" s="29"/>
      <c r="N65" s="29"/>
      <c r="O65" s="29"/>
      <c r="P65" s="29"/>
      <c r="Q65" s="29"/>
      <c r="R65" s="29"/>
      <c r="S65" s="29"/>
      <c r="T65" s="29"/>
      <c r="U65" s="29"/>
      <c r="V65" s="29"/>
      <c r="W65" s="29"/>
      <c r="X65" s="29"/>
    </row>
    <row r="66" spans="1:24" ht="15">
      <c r="A66" s="29"/>
      <c r="B66" s="29"/>
      <c r="C66" s="29"/>
      <c r="D66" s="33"/>
      <c r="E66" s="33"/>
      <c r="G66" s="29"/>
      <c r="H66" s="29"/>
      <c r="I66" s="29"/>
      <c r="J66" s="29"/>
      <c r="K66" s="29"/>
      <c r="L66" s="29"/>
      <c r="M66" s="29"/>
      <c r="N66" s="29"/>
      <c r="O66" s="29"/>
      <c r="P66" s="29"/>
      <c r="Q66" s="29"/>
      <c r="R66" s="29"/>
      <c r="S66" s="29"/>
      <c r="T66" s="29"/>
      <c r="U66" s="29"/>
      <c r="V66" s="29"/>
      <c r="W66" s="29"/>
      <c r="X66" s="29"/>
    </row>
    <row r="67" spans="1:24" ht="15">
      <c r="A67" s="29"/>
      <c r="B67" s="29"/>
      <c r="C67" s="29"/>
      <c r="D67" s="33"/>
      <c r="E67" s="33"/>
      <c r="G67" s="29"/>
      <c r="H67" s="29"/>
      <c r="I67" s="29"/>
      <c r="J67" s="29"/>
      <c r="K67" s="29"/>
      <c r="L67" s="29"/>
      <c r="M67" s="29"/>
      <c r="N67" s="29"/>
      <c r="O67" s="29"/>
      <c r="P67" s="29"/>
      <c r="Q67" s="29"/>
      <c r="R67" s="29"/>
      <c r="S67" s="29"/>
      <c r="T67" s="29"/>
      <c r="U67" s="29"/>
      <c r="V67" s="29"/>
      <c r="W67" s="29"/>
      <c r="X67" s="29"/>
    </row>
    <row r="68" spans="1:24" ht="15">
      <c r="A68" s="29"/>
      <c r="B68" s="29"/>
      <c r="C68" s="29"/>
      <c r="D68" s="33"/>
      <c r="E68" s="33"/>
      <c r="G68" s="29"/>
      <c r="H68" s="29"/>
      <c r="I68" s="29"/>
      <c r="J68" s="29"/>
      <c r="K68" s="29"/>
      <c r="L68" s="29"/>
      <c r="M68" s="29"/>
      <c r="N68" s="29"/>
      <c r="O68" s="29"/>
      <c r="P68" s="29"/>
      <c r="Q68" s="29"/>
      <c r="R68" s="29"/>
      <c r="S68" s="29"/>
      <c r="T68" s="29"/>
      <c r="U68" s="29"/>
      <c r="V68" s="29"/>
      <c r="W68" s="29"/>
      <c r="X68" s="29"/>
    </row>
    <row r="69" spans="1:24" ht="15">
      <c r="A69" s="29"/>
      <c r="B69" s="29"/>
      <c r="C69" s="29"/>
      <c r="D69" s="33"/>
      <c r="E69" s="33"/>
      <c r="G69" s="29"/>
      <c r="H69" s="29"/>
      <c r="I69" s="29"/>
      <c r="J69" s="29"/>
      <c r="K69" s="29"/>
      <c r="L69" s="29"/>
      <c r="M69" s="29"/>
      <c r="N69" s="29"/>
      <c r="O69" s="29"/>
      <c r="P69" s="29"/>
      <c r="Q69" s="29"/>
      <c r="R69" s="29"/>
      <c r="S69" s="29"/>
      <c r="T69" s="29"/>
      <c r="U69" s="29"/>
      <c r="V69" s="29"/>
      <c r="W69" s="29"/>
      <c r="X69" s="29"/>
    </row>
    <row r="70" spans="1:24" ht="15">
      <c r="A70" s="29"/>
      <c r="B70" s="29"/>
      <c r="C70" s="29"/>
      <c r="D70" s="33"/>
      <c r="E70" s="33"/>
      <c r="G70" s="29"/>
      <c r="H70" s="29"/>
      <c r="I70" s="29"/>
      <c r="J70" s="29"/>
      <c r="K70" s="29"/>
      <c r="L70" s="29"/>
      <c r="M70" s="29"/>
      <c r="N70" s="29"/>
      <c r="O70" s="29"/>
      <c r="P70" s="29"/>
      <c r="Q70" s="29"/>
      <c r="R70" s="29"/>
      <c r="S70" s="29"/>
      <c r="T70" s="29"/>
      <c r="U70" s="29"/>
      <c r="V70" s="29"/>
      <c r="W70" s="29"/>
      <c r="X70" s="29"/>
    </row>
    <row r="71" spans="1:24" ht="15">
      <c r="A71" s="29"/>
      <c r="B71" s="29"/>
      <c r="C71" s="29"/>
      <c r="D71" s="33"/>
      <c r="E71" s="33"/>
      <c r="G71" s="29"/>
      <c r="H71" s="29"/>
      <c r="I71" s="29"/>
      <c r="J71" s="29"/>
      <c r="K71" s="29"/>
      <c r="L71" s="29"/>
      <c r="M71" s="29"/>
      <c r="N71" s="29"/>
      <c r="O71" s="29"/>
      <c r="P71" s="29"/>
      <c r="Q71" s="29"/>
      <c r="R71" s="29"/>
      <c r="S71" s="29"/>
      <c r="T71" s="29"/>
      <c r="U71" s="29"/>
      <c r="V71" s="29"/>
      <c r="W71" s="29"/>
      <c r="X71" s="29"/>
    </row>
    <row r="72" spans="1:24" ht="15">
      <c r="A72" s="29"/>
      <c r="B72" s="29"/>
      <c r="C72" s="29"/>
      <c r="D72" s="33"/>
      <c r="E72" s="33"/>
      <c r="G72" s="29"/>
      <c r="H72" s="29"/>
      <c r="I72" s="29"/>
      <c r="J72" s="29"/>
      <c r="K72" s="29"/>
      <c r="L72" s="29"/>
      <c r="M72" s="29"/>
      <c r="N72" s="29"/>
      <c r="O72" s="29"/>
      <c r="P72" s="29"/>
      <c r="Q72" s="29"/>
      <c r="R72" s="29"/>
      <c r="S72" s="29"/>
      <c r="T72" s="29"/>
      <c r="U72" s="29"/>
      <c r="V72" s="29"/>
      <c r="W72" s="29"/>
      <c r="X72" s="29"/>
    </row>
    <row r="73" spans="1:24" ht="15">
      <c r="A73" s="29"/>
      <c r="B73" s="29"/>
      <c r="C73" s="29"/>
      <c r="D73" s="33"/>
      <c r="E73" s="33"/>
      <c r="G73" s="29"/>
      <c r="H73" s="29"/>
      <c r="I73" s="29"/>
      <c r="J73" s="29"/>
      <c r="K73" s="29"/>
      <c r="L73" s="29"/>
      <c r="M73" s="29"/>
      <c r="N73" s="29"/>
      <c r="O73" s="29"/>
      <c r="P73" s="29"/>
      <c r="Q73" s="29"/>
      <c r="R73" s="29"/>
      <c r="S73" s="29"/>
      <c r="T73" s="29"/>
      <c r="U73" s="29"/>
      <c r="V73" s="29"/>
      <c r="W73" s="29"/>
      <c r="X73" s="29"/>
    </row>
    <row r="74" spans="1:24" ht="15">
      <c r="A74" s="29"/>
      <c r="B74" s="29"/>
      <c r="C74" s="29"/>
      <c r="D74" s="33"/>
      <c r="E74" s="33"/>
      <c r="G74" s="29"/>
      <c r="H74" s="29"/>
      <c r="I74" s="29"/>
      <c r="J74" s="29"/>
      <c r="K74" s="29"/>
      <c r="L74" s="29"/>
      <c r="M74" s="29"/>
      <c r="N74" s="29"/>
      <c r="O74" s="29"/>
      <c r="P74" s="29"/>
      <c r="Q74" s="29"/>
      <c r="R74" s="29"/>
      <c r="S74" s="29"/>
      <c r="T74" s="29"/>
      <c r="U74" s="29"/>
      <c r="V74" s="29"/>
      <c r="W74" s="29"/>
      <c r="X74" s="29"/>
    </row>
    <row r="75" spans="1:24" ht="15">
      <c r="A75" s="29"/>
      <c r="B75" s="29"/>
      <c r="C75" s="29"/>
      <c r="D75" s="33"/>
      <c r="E75" s="33"/>
      <c r="G75" s="29"/>
      <c r="H75" s="29"/>
      <c r="I75" s="29"/>
      <c r="J75" s="29"/>
      <c r="K75" s="29"/>
      <c r="L75" s="29"/>
      <c r="M75" s="29"/>
      <c r="N75" s="29"/>
      <c r="O75" s="29"/>
      <c r="P75" s="29"/>
      <c r="Q75" s="29"/>
      <c r="R75" s="29"/>
      <c r="S75" s="29"/>
      <c r="T75" s="29"/>
      <c r="U75" s="29"/>
      <c r="V75" s="29"/>
      <c r="W75" s="29"/>
      <c r="X75" s="29"/>
    </row>
    <row r="76" spans="1:24" ht="15">
      <c r="A76" s="29"/>
      <c r="B76" s="29"/>
      <c r="C76" s="29"/>
      <c r="D76" s="33"/>
      <c r="E76" s="33"/>
      <c r="G76" s="29"/>
      <c r="H76" s="29"/>
      <c r="I76" s="29"/>
      <c r="J76" s="29"/>
      <c r="K76" s="29"/>
      <c r="L76" s="29"/>
      <c r="M76" s="29"/>
      <c r="N76" s="29"/>
      <c r="O76" s="29"/>
      <c r="P76" s="29"/>
      <c r="Q76" s="29"/>
      <c r="R76" s="29"/>
      <c r="S76" s="29"/>
      <c r="T76" s="29"/>
      <c r="U76" s="29"/>
      <c r="V76" s="29"/>
      <c r="W76" s="29"/>
      <c r="X76" s="29"/>
    </row>
    <row r="77" spans="1:24" ht="15">
      <c r="A77" s="29"/>
      <c r="B77" s="29"/>
      <c r="C77" s="29"/>
      <c r="D77" s="33"/>
      <c r="E77" s="33"/>
      <c r="G77" s="29"/>
      <c r="H77" s="29"/>
      <c r="I77" s="29"/>
      <c r="J77" s="29"/>
      <c r="K77" s="29"/>
      <c r="L77" s="29"/>
      <c r="M77" s="29"/>
      <c r="N77" s="29"/>
      <c r="O77" s="29"/>
      <c r="P77" s="29"/>
      <c r="Q77" s="29"/>
      <c r="R77" s="29"/>
      <c r="S77" s="29"/>
      <c r="T77" s="29"/>
      <c r="U77" s="29"/>
      <c r="V77" s="29"/>
      <c r="W77" s="29"/>
      <c r="X77" s="29"/>
    </row>
    <row r="78" spans="1:24" ht="15">
      <c r="A78" s="29"/>
      <c r="B78" s="29"/>
      <c r="C78" s="29"/>
      <c r="D78" s="33"/>
      <c r="E78" s="33"/>
      <c r="G78" s="29"/>
      <c r="H78" s="29"/>
      <c r="I78" s="29"/>
      <c r="J78" s="29"/>
      <c r="K78" s="29"/>
      <c r="L78" s="29"/>
      <c r="M78" s="29"/>
      <c r="N78" s="29"/>
      <c r="O78" s="29"/>
      <c r="P78" s="29"/>
      <c r="Q78" s="29"/>
      <c r="R78" s="29"/>
      <c r="S78" s="29"/>
      <c r="T78" s="29"/>
      <c r="U78" s="29"/>
      <c r="V78" s="29"/>
      <c r="W78" s="29"/>
      <c r="X78" s="29"/>
    </row>
    <row r="79" spans="1:24" ht="15">
      <c r="A79" s="29"/>
      <c r="B79" s="29"/>
      <c r="C79" s="29"/>
      <c r="D79" s="33"/>
      <c r="E79" s="33"/>
      <c r="G79" s="29"/>
      <c r="H79" s="29"/>
      <c r="I79" s="29"/>
      <c r="J79" s="29"/>
      <c r="K79" s="29"/>
      <c r="L79" s="29"/>
      <c r="M79" s="29"/>
      <c r="N79" s="29"/>
      <c r="O79" s="29"/>
      <c r="P79" s="29"/>
      <c r="Q79" s="29"/>
      <c r="R79" s="29"/>
      <c r="S79" s="29"/>
      <c r="T79" s="29"/>
      <c r="U79" s="29"/>
      <c r="V79" s="29"/>
      <c r="W79" s="29"/>
      <c r="X79" s="29"/>
    </row>
    <row r="80" spans="1:24" ht="15">
      <c r="A80" s="29"/>
      <c r="B80" s="29"/>
      <c r="C80" s="29"/>
      <c r="D80" s="33"/>
      <c r="E80" s="33"/>
      <c r="G80" s="29"/>
      <c r="H80" s="29"/>
      <c r="I80" s="29"/>
      <c r="J80" s="29"/>
      <c r="K80" s="29"/>
      <c r="L80" s="29"/>
      <c r="M80" s="29"/>
      <c r="N80" s="29"/>
      <c r="O80" s="29"/>
      <c r="P80" s="29"/>
      <c r="Q80" s="29"/>
      <c r="R80" s="29"/>
      <c r="S80" s="29"/>
      <c r="T80" s="29"/>
      <c r="U80" s="29"/>
      <c r="V80" s="29"/>
      <c r="W80" s="29"/>
      <c r="X80" s="29"/>
    </row>
    <row r="81" spans="1:24" ht="15">
      <c r="A81" s="29"/>
      <c r="B81" s="29"/>
      <c r="C81" s="29"/>
      <c r="D81" s="33"/>
      <c r="E81" s="33"/>
      <c r="G81" s="29"/>
      <c r="H81" s="29"/>
      <c r="I81" s="29"/>
      <c r="J81" s="29"/>
      <c r="K81" s="29"/>
      <c r="L81" s="29"/>
      <c r="M81" s="29"/>
      <c r="N81" s="29"/>
      <c r="O81" s="29"/>
      <c r="P81" s="29"/>
      <c r="Q81" s="29"/>
      <c r="R81" s="29"/>
      <c r="S81" s="29"/>
      <c r="T81" s="29"/>
      <c r="U81" s="29"/>
      <c r="V81" s="29"/>
      <c r="W81" s="29"/>
      <c r="X81" s="29"/>
    </row>
    <row r="82" spans="1:24" ht="15">
      <c r="A82" s="29"/>
      <c r="B82" s="29"/>
      <c r="C82" s="29"/>
      <c r="D82" s="33"/>
      <c r="E82" s="33"/>
      <c r="G82" s="29"/>
      <c r="H82" s="29"/>
      <c r="I82" s="29"/>
      <c r="J82" s="29"/>
      <c r="K82" s="29"/>
      <c r="L82" s="29"/>
      <c r="M82" s="29"/>
      <c r="N82" s="29"/>
      <c r="O82" s="29"/>
      <c r="P82" s="29"/>
      <c r="Q82" s="29"/>
      <c r="R82" s="29"/>
      <c r="S82" s="29"/>
      <c r="T82" s="29"/>
      <c r="U82" s="29"/>
      <c r="V82" s="29"/>
      <c r="W82" s="29"/>
      <c r="X82" s="29"/>
    </row>
    <row r="83" spans="1:24" ht="15">
      <c r="A83" s="29"/>
      <c r="B83" s="29"/>
      <c r="C83" s="29"/>
      <c r="D83" s="33"/>
      <c r="E83" s="33"/>
      <c r="G83" s="29"/>
      <c r="H83" s="29"/>
      <c r="I83" s="29"/>
      <c r="J83" s="29"/>
      <c r="K83" s="29"/>
      <c r="L83" s="29"/>
      <c r="M83" s="29"/>
      <c r="N83" s="29"/>
      <c r="O83" s="29"/>
      <c r="P83" s="29"/>
      <c r="Q83" s="29"/>
      <c r="R83" s="29"/>
      <c r="S83" s="29"/>
      <c r="T83" s="29"/>
      <c r="U83" s="29"/>
      <c r="V83" s="29"/>
      <c r="W83" s="29"/>
      <c r="X83" s="29"/>
    </row>
    <row r="84" spans="1:24" ht="15">
      <c r="A84" s="29"/>
      <c r="B84" s="29"/>
      <c r="C84" s="29"/>
      <c r="D84" s="33"/>
      <c r="E84" s="33"/>
      <c r="G84" s="29"/>
      <c r="H84" s="29"/>
      <c r="I84" s="29"/>
      <c r="J84" s="29"/>
      <c r="K84" s="29"/>
      <c r="L84" s="29"/>
      <c r="M84" s="29"/>
      <c r="N84" s="29"/>
      <c r="O84" s="29"/>
      <c r="P84" s="29"/>
      <c r="Q84" s="29"/>
      <c r="R84" s="29"/>
      <c r="S84" s="29"/>
      <c r="T84" s="29"/>
      <c r="U84" s="29"/>
      <c r="V84" s="29"/>
      <c r="W84" s="29"/>
      <c r="X84" s="29"/>
    </row>
    <row r="85" spans="1:24" ht="15">
      <c r="A85" s="29"/>
      <c r="B85" s="29"/>
      <c r="C85" s="29"/>
      <c r="D85" s="33"/>
      <c r="E85" s="33"/>
      <c r="G85" s="29"/>
      <c r="H85" s="29"/>
      <c r="I85" s="29"/>
      <c r="J85" s="29"/>
      <c r="K85" s="29"/>
      <c r="L85" s="29"/>
      <c r="M85" s="29"/>
      <c r="N85" s="29"/>
      <c r="O85" s="29"/>
      <c r="P85" s="29"/>
      <c r="Q85" s="29"/>
      <c r="R85" s="29"/>
      <c r="S85" s="29"/>
      <c r="T85" s="29"/>
      <c r="U85" s="29"/>
      <c r="V85" s="29"/>
      <c r="W85" s="29"/>
      <c r="X85" s="29"/>
    </row>
    <row r="86" spans="1:24" ht="15">
      <c r="A86" s="29"/>
      <c r="B86" s="29"/>
      <c r="C86" s="29"/>
      <c r="D86" s="33"/>
      <c r="E86" s="33"/>
      <c r="G86" s="29"/>
      <c r="H86" s="29"/>
      <c r="I86" s="29"/>
      <c r="J86" s="29"/>
      <c r="K86" s="29"/>
      <c r="L86" s="29"/>
      <c r="M86" s="29"/>
      <c r="N86" s="29"/>
      <c r="O86" s="29"/>
      <c r="P86" s="29"/>
      <c r="Q86" s="29"/>
      <c r="R86" s="29"/>
      <c r="S86" s="29"/>
      <c r="T86" s="29"/>
      <c r="U86" s="29"/>
      <c r="V86" s="29"/>
      <c r="W86" s="29"/>
      <c r="X86" s="29"/>
    </row>
    <row r="87" spans="1:24" ht="15">
      <c r="A87" s="29"/>
      <c r="B87" s="29"/>
      <c r="C87" s="29"/>
      <c r="D87" s="33"/>
      <c r="E87" s="33"/>
      <c r="G87" s="29"/>
      <c r="H87" s="29"/>
      <c r="I87" s="29"/>
      <c r="J87" s="29"/>
      <c r="K87" s="29"/>
      <c r="L87" s="29"/>
      <c r="M87" s="29"/>
      <c r="N87" s="29"/>
      <c r="O87" s="29"/>
      <c r="P87" s="29"/>
      <c r="Q87" s="29"/>
      <c r="R87" s="29"/>
      <c r="S87" s="29"/>
      <c r="T87" s="29"/>
      <c r="U87" s="29"/>
      <c r="V87" s="29"/>
      <c r="W87" s="29"/>
      <c r="X87" s="29"/>
    </row>
    <row r="88" spans="1:24" ht="15">
      <c r="A88" s="29"/>
      <c r="B88" s="29"/>
      <c r="C88" s="29"/>
      <c r="D88" s="33"/>
      <c r="E88" s="33"/>
      <c r="G88" s="29"/>
      <c r="H88" s="29"/>
      <c r="I88" s="29"/>
      <c r="J88" s="29"/>
      <c r="K88" s="29"/>
      <c r="L88" s="29"/>
      <c r="M88" s="29"/>
      <c r="N88" s="29"/>
      <c r="O88" s="29"/>
      <c r="P88" s="29"/>
      <c r="Q88" s="29"/>
      <c r="R88" s="29"/>
      <c r="S88" s="29"/>
      <c r="T88" s="29"/>
      <c r="U88" s="29"/>
      <c r="V88" s="29"/>
      <c r="W88" s="29"/>
      <c r="X88" s="29"/>
    </row>
    <row r="89" spans="1:24" ht="15">
      <c r="A89" s="29"/>
      <c r="B89" s="29"/>
      <c r="C89" s="29"/>
      <c r="D89" s="33"/>
      <c r="E89" s="33"/>
      <c r="G89" s="29"/>
      <c r="H89" s="29"/>
      <c r="I89" s="29"/>
      <c r="J89" s="29"/>
      <c r="K89" s="29"/>
      <c r="L89" s="29"/>
      <c r="M89" s="29"/>
      <c r="N89" s="29"/>
      <c r="O89" s="29"/>
      <c r="P89" s="29"/>
      <c r="Q89" s="29"/>
      <c r="R89" s="29"/>
      <c r="S89" s="29"/>
      <c r="T89" s="29"/>
      <c r="U89" s="29"/>
      <c r="V89" s="29"/>
      <c r="W89" s="29"/>
      <c r="X89" s="29"/>
    </row>
    <row r="90" spans="1:24" ht="15">
      <c r="A90" s="29"/>
      <c r="B90" s="29"/>
      <c r="C90" s="29"/>
      <c r="D90" s="33"/>
      <c r="E90" s="33"/>
      <c r="G90" s="29"/>
      <c r="H90" s="29"/>
      <c r="I90" s="29"/>
      <c r="J90" s="29"/>
      <c r="K90" s="29"/>
      <c r="L90" s="29"/>
      <c r="M90" s="29"/>
      <c r="N90" s="29"/>
      <c r="O90" s="29"/>
      <c r="P90" s="29"/>
      <c r="Q90" s="29"/>
      <c r="R90" s="29"/>
      <c r="S90" s="29"/>
      <c r="T90" s="29"/>
      <c r="U90" s="29"/>
      <c r="V90" s="29"/>
      <c r="W90" s="29"/>
      <c r="X90" s="29"/>
    </row>
    <row r="91" spans="1:24" ht="15">
      <c r="A91" s="29"/>
      <c r="B91" s="29"/>
      <c r="C91" s="29"/>
      <c r="D91" s="33"/>
      <c r="E91" s="33"/>
      <c r="G91" s="29"/>
      <c r="H91" s="29"/>
      <c r="I91" s="29"/>
      <c r="J91" s="29"/>
      <c r="K91" s="29"/>
      <c r="L91" s="29"/>
      <c r="M91" s="29"/>
      <c r="N91" s="29"/>
      <c r="O91" s="29"/>
      <c r="P91" s="29"/>
      <c r="Q91" s="29"/>
      <c r="R91" s="29"/>
      <c r="S91" s="29"/>
      <c r="T91" s="29"/>
      <c r="U91" s="29"/>
      <c r="V91" s="29"/>
      <c r="W91" s="29"/>
      <c r="X91" s="29"/>
    </row>
    <row r="92" spans="1:24" ht="15">
      <c r="A92" s="29"/>
      <c r="B92" s="29"/>
      <c r="C92" s="29"/>
      <c r="D92" s="33"/>
      <c r="E92" s="33"/>
      <c r="G92" s="29"/>
      <c r="H92" s="29"/>
      <c r="I92" s="29"/>
      <c r="J92" s="29"/>
      <c r="K92" s="29"/>
      <c r="L92" s="29"/>
      <c r="M92" s="29"/>
      <c r="N92" s="29"/>
      <c r="O92" s="29"/>
      <c r="P92" s="29"/>
      <c r="Q92" s="29"/>
      <c r="R92" s="29"/>
      <c r="S92" s="29"/>
      <c r="T92" s="29"/>
      <c r="U92" s="29"/>
      <c r="V92" s="29"/>
      <c r="W92" s="29"/>
      <c r="X92" s="29"/>
    </row>
    <row r="93" spans="1:24" ht="15">
      <c r="A93" s="29"/>
      <c r="B93" s="29"/>
      <c r="C93" s="29"/>
      <c r="D93" s="33"/>
      <c r="E93" s="33"/>
      <c r="G93" s="29"/>
      <c r="H93" s="29"/>
      <c r="I93" s="29"/>
      <c r="J93" s="29"/>
      <c r="K93" s="29"/>
      <c r="L93" s="29"/>
      <c r="M93" s="29"/>
      <c r="N93" s="29"/>
      <c r="O93" s="29"/>
      <c r="P93" s="29"/>
      <c r="Q93" s="29"/>
      <c r="R93" s="29"/>
      <c r="S93" s="29"/>
      <c r="T93" s="29"/>
      <c r="U93" s="29"/>
      <c r="V93" s="29"/>
      <c r="W93" s="29"/>
      <c r="X93" s="29"/>
    </row>
    <row r="94" spans="1:24" ht="15">
      <c r="A94" s="29"/>
      <c r="B94" s="29"/>
      <c r="C94" s="29"/>
      <c r="D94" s="33"/>
      <c r="E94" s="33"/>
      <c r="G94" s="29"/>
      <c r="H94" s="29"/>
      <c r="I94" s="29"/>
      <c r="J94" s="29"/>
      <c r="K94" s="29"/>
      <c r="L94" s="29"/>
      <c r="M94" s="29"/>
      <c r="N94" s="29"/>
      <c r="O94" s="29"/>
      <c r="P94" s="29"/>
      <c r="Q94" s="29"/>
      <c r="R94" s="29"/>
      <c r="S94" s="29"/>
      <c r="T94" s="29"/>
      <c r="U94" s="29"/>
      <c r="V94" s="29"/>
      <c r="W94" s="29"/>
      <c r="X94" s="29"/>
    </row>
    <row r="95" spans="1:24" ht="15">
      <c r="A95" s="29"/>
      <c r="B95" s="29"/>
      <c r="C95" s="29"/>
      <c r="D95" s="33"/>
      <c r="E95" s="33"/>
      <c r="G95" s="29"/>
      <c r="H95" s="29"/>
      <c r="I95" s="29"/>
      <c r="J95" s="29"/>
      <c r="K95" s="29"/>
      <c r="L95" s="29"/>
      <c r="M95" s="29"/>
      <c r="N95" s="29"/>
      <c r="O95" s="29"/>
      <c r="P95" s="29"/>
      <c r="Q95" s="29"/>
      <c r="R95" s="29"/>
      <c r="S95" s="29"/>
      <c r="T95" s="29"/>
      <c r="U95" s="29"/>
      <c r="V95" s="29"/>
      <c r="W95" s="29"/>
      <c r="X95" s="29"/>
    </row>
    <row r="96" spans="1:24" ht="15">
      <c r="A96" s="29"/>
      <c r="B96" s="29"/>
      <c r="C96" s="29"/>
      <c r="D96" s="33"/>
      <c r="E96" s="33"/>
      <c r="G96" s="29"/>
      <c r="H96" s="29"/>
      <c r="I96" s="29"/>
      <c r="J96" s="29"/>
      <c r="K96" s="29"/>
      <c r="L96" s="29"/>
      <c r="M96" s="29"/>
      <c r="N96" s="29"/>
      <c r="O96" s="29"/>
      <c r="P96" s="29"/>
      <c r="Q96" s="29"/>
      <c r="R96" s="29"/>
      <c r="S96" s="29"/>
      <c r="T96" s="29"/>
      <c r="U96" s="29"/>
      <c r="V96" s="29"/>
      <c r="W96" s="29"/>
      <c r="X96" s="29"/>
    </row>
    <row r="97" spans="1:24" ht="15">
      <c r="A97" s="29"/>
      <c r="B97" s="29"/>
      <c r="C97" s="29"/>
      <c r="D97" s="33"/>
      <c r="E97" s="33"/>
      <c r="G97" s="29"/>
      <c r="H97" s="29"/>
      <c r="I97" s="29"/>
      <c r="J97" s="29"/>
      <c r="K97" s="29"/>
      <c r="L97" s="29"/>
      <c r="M97" s="29"/>
      <c r="N97" s="29"/>
      <c r="O97" s="29"/>
      <c r="P97" s="29"/>
      <c r="Q97" s="29"/>
      <c r="R97" s="29"/>
      <c r="S97" s="29"/>
      <c r="T97" s="29"/>
      <c r="U97" s="29"/>
      <c r="V97" s="29"/>
      <c r="W97" s="29"/>
      <c r="X97" s="29"/>
    </row>
    <row r="98" spans="1:24" ht="15">
      <c r="A98" s="29"/>
      <c r="B98" s="29"/>
      <c r="C98" s="29"/>
      <c r="D98" s="33"/>
      <c r="E98" s="33"/>
      <c r="G98" s="29"/>
      <c r="H98" s="29"/>
      <c r="I98" s="29"/>
      <c r="J98" s="29"/>
      <c r="K98" s="29"/>
      <c r="L98" s="29"/>
      <c r="M98" s="29"/>
      <c r="N98" s="29"/>
      <c r="O98" s="29"/>
      <c r="P98" s="29"/>
      <c r="Q98" s="29"/>
      <c r="R98" s="29"/>
      <c r="S98" s="29"/>
      <c r="T98" s="29"/>
      <c r="U98" s="29"/>
      <c r="V98" s="29"/>
      <c r="W98" s="29"/>
      <c r="X98" s="29"/>
    </row>
    <row r="99" spans="1:24" ht="15">
      <c r="A99" s="29"/>
      <c r="B99" s="29"/>
      <c r="C99" s="29"/>
      <c r="D99" s="33"/>
      <c r="E99" s="33"/>
      <c r="G99" s="29"/>
      <c r="H99" s="29"/>
      <c r="I99" s="29"/>
      <c r="J99" s="29"/>
      <c r="K99" s="29"/>
      <c r="L99" s="29"/>
      <c r="M99" s="29"/>
      <c r="N99" s="29"/>
      <c r="O99" s="29"/>
      <c r="P99" s="29"/>
      <c r="Q99" s="29"/>
      <c r="R99" s="29"/>
      <c r="S99" s="29"/>
      <c r="T99" s="29"/>
      <c r="U99" s="29"/>
      <c r="V99" s="29"/>
      <c r="W99" s="29"/>
      <c r="X99" s="29"/>
    </row>
    <row r="100" spans="1:24" ht="15">
      <c r="A100" s="29"/>
      <c r="B100" s="29"/>
      <c r="C100" s="29"/>
      <c r="D100" s="33"/>
      <c r="E100" s="33"/>
      <c r="G100" s="29"/>
      <c r="H100" s="29"/>
      <c r="I100" s="29"/>
      <c r="J100" s="29"/>
      <c r="K100" s="29"/>
      <c r="L100" s="29"/>
      <c r="M100" s="29"/>
      <c r="N100" s="29"/>
      <c r="O100" s="29"/>
      <c r="P100" s="29"/>
      <c r="Q100" s="29"/>
      <c r="R100" s="29"/>
      <c r="S100" s="29"/>
      <c r="T100" s="29"/>
      <c r="U100" s="29"/>
      <c r="V100" s="29"/>
      <c r="W100" s="29"/>
      <c r="X100" s="29"/>
    </row>
    <row r="101" spans="1:24" ht="15">
      <c r="A101" s="29"/>
      <c r="B101" s="29"/>
      <c r="C101" s="29"/>
      <c r="D101" s="33"/>
      <c r="E101" s="33"/>
      <c r="G101" s="29"/>
      <c r="H101" s="29"/>
      <c r="I101" s="29"/>
      <c r="J101" s="29"/>
      <c r="K101" s="29"/>
      <c r="L101" s="29"/>
      <c r="M101" s="29"/>
      <c r="N101" s="29"/>
      <c r="O101" s="29"/>
      <c r="P101" s="29"/>
      <c r="Q101" s="29"/>
      <c r="R101" s="29"/>
      <c r="S101" s="29"/>
      <c r="T101" s="29"/>
      <c r="U101" s="29"/>
      <c r="V101" s="29"/>
      <c r="W101" s="29"/>
      <c r="X101" s="29"/>
    </row>
    <row r="102" spans="1:24" ht="15">
      <c r="A102" s="29"/>
      <c r="B102" s="29"/>
      <c r="C102" s="29"/>
      <c r="D102" s="33"/>
      <c r="E102" s="33"/>
      <c r="G102" s="29"/>
      <c r="H102" s="29"/>
      <c r="I102" s="29"/>
      <c r="J102" s="29"/>
      <c r="K102" s="29"/>
      <c r="L102" s="29"/>
      <c r="M102" s="29"/>
      <c r="N102" s="29"/>
      <c r="O102" s="29"/>
      <c r="P102" s="29"/>
      <c r="Q102" s="29"/>
      <c r="R102" s="29"/>
      <c r="S102" s="29"/>
      <c r="T102" s="29"/>
      <c r="U102" s="29"/>
      <c r="V102" s="29"/>
      <c r="W102" s="29"/>
      <c r="X102" s="29"/>
    </row>
    <row r="103" spans="1:24" ht="15">
      <c r="A103" s="29"/>
      <c r="B103" s="29"/>
      <c r="C103" s="29"/>
      <c r="D103" s="33"/>
      <c r="E103" s="33"/>
      <c r="G103" s="29"/>
      <c r="H103" s="29"/>
      <c r="I103" s="29"/>
      <c r="J103" s="29"/>
      <c r="K103" s="29"/>
      <c r="L103" s="29"/>
      <c r="M103" s="29"/>
      <c r="N103" s="29"/>
      <c r="O103" s="29"/>
      <c r="P103" s="29"/>
      <c r="Q103" s="29"/>
      <c r="R103" s="29"/>
      <c r="S103" s="29"/>
      <c r="T103" s="29"/>
      <c r="U103" s="29"/>
      <c r="V103" s="29"/>
      <c r="W103" s="29"/>
      <c r="X103" s="29"/>
    </row>
    <row r="104" spans="1:24" ht="15">
      <c r="A104" s="29"/>
      <c r="B104" s="29"/>
      <c r="C104" s="29"/>
      <c r="D104" s="33"/>
      <c r="E104" s="33"/>
      <c r="G104" s="29"/>
      <c r="H104" s="29"/>
      <c r="I104" s="29"/>
      <c r="J104" s="29"/>
      <c r="K104" s="29"/>
      <c r="L104" s="29"/>
      <c r="M104" s="29"/>
      <c r="N104" s="29"/>
      <c r="O104" s="29"/>
      <c r="P104" s="29"/>
      <c r="Q104" s="29"/>
      <c r="R104" s="29"/>
      <c r="S104" s="29"/>
      <c r="T104" s="29"/>
      <c r="U104" s="29"/>
      <c r="V104" s="29"/>
      <c r="W104" s="29"/>
      <c r="X104" s="29"/>
    </row>
    <row r="105" spans="1:24" ht="15">
      <c r="A105" s="29"/>
      <c r="B105" s="29"/>
      <c r="C105" s="29"/>
      <c r="D105" s="33"/>
      <c r="E105" s="33"/>
      <c r="G105" s="29"/>
      <c r="H105" s="29"/>
      <c r="I105" s="29"/>
      <c r="J105" s="29"/>
      <c r="K105" s="29"/>
      <c r="L105" s="29"/>
      <c r="M105" s="29"/>
      <c r="N105" s="29"/>
      <c r="O105" s="29"/>
      <c r="P105" s="29"/>
      <c r="Q105" s="29"/>
      <c r="R105" s="29"/>
      <c r="S105" s="29"/>
      <c r="T105" s="29"/>
      <c r="U105" s="29"/>
      <c r="V105" s="29"/>
      <c r="W105" s="29"/>
      <c r="X105" s="29"/>
    </row>
    <row r="106" spans="1:24" ht="15">
      <c r="A106" s="29"/>
      <c r="B106" s="29"/>
      <c r="C106" s="29"/>
      <c r="D106" s="33"/>
      <c r="E106" s="33"/>
      <c r="G106" s="29"/>
      <c r="H106" s="29"/>
      <c r="I106" s="29"/>
      <c r="J106" s="29"/>
      <c r="K106" s="29"/>
      <c r="L106" s="29"/>
      <c r="M106" s="29"/>
      <c r="N106" s="29"/>
      <c r="O106" s="29"/>
      <c r="P106" s="29"/>
      <c r="Q106" s="29"/>
      <c r="R106" s="29"/>
      <c r="S106" s="29"/>
      <c r="T106" s="29"/>
      <c r="U106" s="29"/>
      <c r="V106" s="29"/>
      <c r="W106" s="29"/>
      <c r="X106" s="29"/>
    </row>
    <row r="107" spans="1:24" ht="15">
      <c r="A107" s="29"/>
      <c r="B107" s="29"/>
      <c r="C107" s="29"/>
      <c r="D107" s="33"/>
      <c r="E107" s="33"/>
      <c r="G107" s="29"/>
      <c r="H107" s="29"/>
      <c r="I107" s="29"/>
      <c r="J107" s="29"/>
      <c r="K107" s="29"/>
      <c r="L107" s="29"/>
      <c r="M107" s="29"/>
      <c r="N107" s="29"/>
      <c r="O107" s="29"/>
      <c r="P107" s="29"/>
      <c r="Q107" s="29"/>
      <c r="R107" s="29"/>
      <c r="S107" s="29"/>
      <c r="T107" s="29"/>
      <c r="U107" s="29"/>
      <c r="V107" s="29"/>
      <c r="W107" s="29"/>
      <c r="X107" s="29"/>
    </row>
    <row r="108" spans="1:24" ht="15">
      <c r="A108" s="29"/>
      <c r="B108" s="29"/>
      <c r="C108" s="29"/>
      <c r="D108" s="33"/>
      <c r="E108" s="33"/>
      <c r="G108" s="29"/>
      <c r="H108" s="29"/>
      <c r="I108" s="29"/>
      <c r="J108" s="29"/>
      <c r="K108" s="29"/>
      <c r="L108" s="29"/>
      <c r="M108" s="29"/>
      <c r="N108" s="29"/>
      <c r="O108" s="29"/>
      <c r="P108" s="29"/>
      <c r="Q108" s="29"/>
      <c r="R108" s="29"/>
      <c r="S108" s="29"/>
      <c r="T108" s="29"/>
      <c r="U108" s="29"/>
      <c r="V108" s="29"/>
      <c r="W108" s="29"/>
      <c r="X108" s="29"/>
    </row>
    <row r="109" spans="1:24" ht="15">
      <c r="A109" s="29"/>
      <c r="B109" s="29"/>
      <c r="C109" s="29"/>
      <c r="D109" s="33"/>
      <c r="E109" s="33"/>
      <c r="G109" s="29"/>
      <c r="H109" s="29"/>
      <c r="I109" s="29"/>
      <c r="J109" s="29"/>
      <c r="K109" s="29"/>
      <c r="L109" s="29"/>
      <c r="M109" s="29"/>
      <c r="N109" s="29"/>
      <c r="O109" s="29"/>
      <c r="P109" s="29"/>
      <c r="Q109" s="29"/>
      <c r="R109" s="29"/>
      <c r="S109" s="29"/>
      <c r="T109" s="29"/>
      <c r="U109" s="29"/>
      <c r="V109" s="29"/>
      <c r="W109" s="29"/>
      <c r="X109" s="29"/>
    </row>
    <row r="110" spans="1:24" ht="15">
      <c r="A110" s="29"/>
      <c r="B110" s="29"/>
      <c r="C110" s="29"/>
      <c r="D110" s="33"/>
      <c r="E110" s="33"/>
      <c r="G110" s="29"/>
      <c r="H110" s="29"/>
      <c r="I110" s="29"/>
      <c r="J110" s="29"/>
      <c r="K110" s="29"/>
      <c r="L110" s="29"/>
      <c r="M110" s="29"/>
      <c r="N110" s="29"/>
      <c r="O110" s="29"/>
      <c r="P110" s="29"/>
      <c r="Q110" s="29"/>
      <c r="R110" s="29"/>
      <c r="S110" s="29"/>
      <c r="T110" s="29"/>
      <c r="U110" s="29"/>
      <c r="V110" s="29"/>
      <c r="W110" s="29"/>
      <c r="X110" s="29"/>
    </row>
    <row r="111" spans="1:24" ht="15">
      <c r="A111" s="29"/>
      <c r="B111" s="29"/>
      <c r="C111" s="29"/>
      <c r="D111" s="33"/>
      <c r="E111" s="33"/>
      <c r="G111" s="29"/>
      <c r="H111" s="29"/>
      <c r="I111" s="29"/>
      <c r="J111" s="29"/>
      <c r="K111" s="29"/>
      <c r="L111" s="29"/>
      <c r="M111" s="29"/>
      <c r="N111" s="29"/>
      <c r="O111" s="29"/>
      <c r="P111" s="29"/>
      <c r="Q111" s="29"/>
      <c r="R111" s="29"/>
      <c r="S111" s="29"/>
      <c r="T111" s="29"/>
      <c r="U111" s="29"/>
      <c r="V111" s="29"/>
      <c r="W111" s="29"/>
      <c r="X111" s="29"/>
    </row>
    <row r="112" spans="1:24" ht="15">
      <c r="A112" s="29"/>
      <c r="B112" s="29"/>
      <c r="C112" s="29"/>
      <c r="D112" s="33"/>
      <c r="E112" s="33"/>
      <c r="G112" s="29"/>
      <c r="H112" s="29"/>
      <c r="I112" s="29"/>
      <c r="J112" s="29"/>
      <c r="K112" s="29"/>
      <c r="L112" s="29"/>
      <c r="M112" s="29"/>
      <c r="N112" s="29"/>
      <c r="O112" s="29"/>
      <c r="P112" s="29"/>
      <c r="Q112" s="29"/>
      <c r="R112" s="29"/>
      <c r="S112" s="29"/>
      <c r="T112" s="29"/>
      <c r="U112" s="29"/>
      <c r="V112" s="29"/>
      <c r="W112" s="29"/>
      <c r="X112" s="29"/>
    </row>
    <row r="113" spans="1:24" ht="15">
      <c r="A113" s="29"/>
      <c r="B113" s="29"/>
      <c r="C113" s="29"/>
      <c r="D113" s="33"/>
      <c r="E113" s="33"/>
      <c r="G113" s="29"/>
      <c r="H113" s="29"/>
      <c r="I113" s="29"/>
      <c r="J113" s="29"/>
      <c r="K113" s="29"/>
      <c r="L113" s="29"/>
      <c r="M113" s="29"/>
      <c r="N113" s="29"/>
      <c r="O113" s="29"/>
      <c r="P113" s="29"/>
      <c r="Q113" s="29"/>
      <c r="R113" s="29"/>
      <c r="S113" s="29"/>
      <c r="T113" s="29"/>
      <c r="U113" s="29"/>
      <c r="V113" s="29"/>
      <c r="W113" s="29"/>
      <c r="X113" s="29"/>
    </row>
    <row r="114" spans="1:24" ht="15">
      <c r="A114" s="29"/>
      <c r="B114" s="29"/>
      <c r="C114" s="29"/>
      <c r="D114" s="33"/>
      <c r="E114" s="33"/>
      <c r="G114" s="29"/>
      <c r="H114" s="29"/>
      <c r="I114" s="29"/>
      <c r="J114" s="29"/>
      <c r="K114" s="29"/>
      <c r="L114" s="29"/>
      <c r="M114" s="29"/>
      <c r="N114" s="29"/>
      <c r="O114" s="29"/>
      <c r="P114" s="29"/>
      <c r="Q114" s="29"/>
      <c r="R114" s="29"/>
      <c r="S114" s="29"/>
      <c r="T114" s="29"/>
      <c r="U114" s="29"/>
      <c r="V114" s="29"/>
      <c r="W114" s="29"/>
      <c r="X114" s="29"/>
    </row>
    <row r="115" spans="1:24" ht="15">
      <c r="A115" s="29"/>
      <c r="B115" s="29"/>
      <c r="C115" s="29"/>
      <c r="D115" s="33"/>
      <c r="E115" s="33"/>
      <c r="G115" s="29"/>
      <c r="H115" s="29"/>
      <c r="I115" s="29"/>
      <c r="J115" s="29"/>
      <c r="K115" s="29"/>
      <c r="L115" s="29"/>
      <c r="M115" s="29"/>
      <c r="N115" s="29"/>
      <c r="O115" s="29"/>
      <c r="P115" s="29"/>
      <c r="Q115" s="29"/>
      <c r="R115" s="29"/>
      <c r="S115" s="29"/>
      <c r="T115" s="29"/>
      <c r="U115" s="29"/>
      <c r="V115" s="29"/>
      <c r="W115" s="29"/>
      <c r="X115" s="29"/>
    </row>
    <row r="116" spans="1:24" ht="15">
      <c r="A116" s="29"/>
      <c r="B116" s="29"/>
      <c r="C116" s="29"/>
      <c r="D116" s="33"/>
      <c r="E116" s="33"/>
      <c r="G116" s="29"/>
      <c r="H116" s="29"/>
      <c r="I116" s="29"/>
      <c r="J116" s="29"/>
      <c r="K116" s="29"/>
      <c r="L116" s="29"/>
      <c r="M116" s="29"/>
      <c r="N116" s="29"/>
      <c r="O116" s="29"/>
      <c r="P116" s="29"/>
      <c r="Q116" s="29"/>
      <c r="R116" s="29"/>
      <c r="S116" s="29"/>
      <c r="T116" s="29"/>
      <c r="U116" s="29"/>
      <c r="V116" s="29"/>
      <c r="W116" s="29"/>
      <c r="X116" s="29"/>
    </row>
    <row r="117" spans="1:24" ht="15">
      <c r="A117" s="29"/>
      <c r="B117" s="29"/>
      <c r="C117" s="29"/>
      <c r="D117" s="33"/>
      <c r="E117" s="33"/>
      <c r="G117" s="29"/>
      <c r="H117" s="29"/>
      <c r="I117" s="29"/>
      <c r="J117" s="29"/>
      <c r="K117" s="29"/>
      <c r="L117" s="29"/>
      <c r="M117" s="29"/>
      <c r="N117" s="29"/>
      <c r="O117" s="29"/>
      <c r="P117" s="29"/>
      <c r="Q117" s="29"/>
      <c r="R117" s="29"/>
      <c r="S117" s="29"/>
      <c r="T117" s="29"/>
      <c r="U117" s="29"/>
      <c r="V117" s="29"/>
      <c r="W117" s="29"/>
      <c r="X117" s="29"/>
    </row>
    <row r="118" spans="1:24" ht="15">
      <c r="A118" s="29"/>
      <c r="B118" s="29"/>
      <c r="C118" s="29"/>
      <c r="D118" s="33"/>
      <c r="E118" s="33"/>
      <c r="G118" s="29"/>
      <c r="H118" s="29"/>
      <c r="I118" s="29"/>
      <c r="J118" s="29"/>
      <c r="K118" s="29"/>
      <c r="L118" s="29"/>
      <c r="M118" s="29"/>
      <c r="N118" s="29"/>
      <c r="O118" s="29"/>
      <c r="P118" s="29"/>
      <c r="Q118" s="29"/>
      <c r="R118" s="29"/>
      <c r="S118" s="29"/>
      <c r="T118" s="29"/>
      <c r="U118" s="29"/>
      <c r="V118" s="29"/>
      <c r="W118" s="29"/>
      <c r="X118" s="29"/>
    </row>
    <row r="119" spans="1:24" ht="15">
      <c r="A119" s="29"/>
      <c r="B119" s="29"/>
      <c r="C119" s="29"/>
      <c r="D119" s="33"/>
      <c r="E119" s="33"/>
      <c r="G119" s="29"/>
      <c r="H119" s="29"/>
      <c r="I119" s="29"/>
      <c r="J119" s="29"/>
      <c r="K119" s="29"/>
      <c r="L119" s="29"/>
      <c r="M119" s="29"/>
      <c r="N119" s="29"/>
      <c r="O119" s="29"/>
      <c r="P119" s="29"/>
      <c r="Q119" s="29"/>
      <c r="R119" s="29"/>
      <c r="S119" s="29"/>
      <c r="T119" s="29"/>
      <c r="U119" s="29"/>
      <c r="V119" s="29"/>
      <c r="W119" s="29"/>
      <c r="X119" s="29"/>
    </row>
    <row r="120" spans="1:24" ht="15">
      <c r="A120" s="29"/>
      <c r="B120" s="29"/>
      <c r="C120" s="29"/>
      <c r="D120" s="33"/>
      <c r="E120" s="33"/>
      <c r="G120" s="29"/>
      <c r="H120" s="29"/>
      <c r="I120" s="29"/>
      <c r="J120" s="29"/>
      <c r="K120" s="29"/>
      <c r="L120" s="29"/>
      <c r="M120" s="29"/>
      <c r="N120" s="29"/>
      <c r="O120" s="29"/>
      <c r="P120" s="29"/>
      <c r="Q120" s="29"/>
      <c r="R120" s="29"/>
      <c r="S120" s="29"/>
      <c r="T120" s="29"/>
      <c r="U120" s="29"/>
      <c r="V120" s="29"/>
      <c r="W120" s="29"/>
      <c r="X120" s="29"/>
    </row>
    <row r="121" spans="1:24" ht="15">
      <c r="A121" s="29"/>
      <c r="B121" s="29"/>
      <c r="C121" s="29"/>
      <c r="D121" s="33"/>
      <c r="E121" s="33"/>
      <c r="G121" s="29"/>
      <c r="H121" s="29"/>
      <c r="I121" s="29"/>
      <c r="J121" s="29"/>
      <c r="K121" s="29"/>
      <c r="L121" s="29"/>
      <c r="M121" s="29"/>
      <c r="N121" s="29"/>
      <c r="O121" s="29"/>
      <c r="P121" s="29"/>
      <c r="Q121" s="29"/>
      <c r="R121" s="29"/>
      <c r="S121" s="29"/>
      <c r="T121" s="29"/>
      <c r="U121" s="29"/>
      <c r="V121" s="29"/>
      <c r="W121" s="29"/>
      <c r="X121" s="29"/>
    </row>
    <row r="122" spans="1:24" ht="15">
      <c r="A122" s="29"/>
      <c r="B122" s="29"/>
      <c r="C122" s="29"/>
      <c r="D122" s="33"/>
      <c r="E122" s="33"/>
      <c r="G122" s="29"/>
      <c r="H122" s="29"/>
      <c r="I122" s="29"/>
      <c r="J122" s="29"/>
      <c r="K122" s="29"/>
      <c r="L122" s="29"/>
      <c r="M122" s="29"/>
      <c r="N122" s="29"/>
      <c r="O122" s="29"/>
      <c r="P122" s="29"/>
      <c r="Q122" s="29"/>
      <c r="R122" s="29"/>
      <c r="S122" s="29"/>
      <c r="T122" s="29"/>
      <c r="U122" s="29"/>
      <c r="V122" s="29"/>
      <c r="W122" s="29"/>
      <c r="X122" s="29"/>
    </row>
    <row r="123" spans="1:24" ht="15">
      <c r="A123" s="29"/>
      <c r="B123" s="29"/>
      <c r="C123" s="29"/>
      <c r="D123" s="33"/>
      <c r="E123" s="33"/>
      <c r="G123" s="29"/>
      <c r="H123" s="29"/>
      <c r="I123" s="29"/>
      <c r="J123" s="29"/>
      <c r="K123" s="29"/>
      <c r="L123" s="29"/>
      <c r="M123" s="29"/>
      <c r="N123" s="29"/>
      <c r="O123" s="29"/>
      <c r="P123" s="29"/>
      <c r="Q123" s="29"/>
      <c r="R123" s="29"/>
      <c r="S123" s="29"/>
      <c r="T123" s="29"/>
      <c r="U123" s="29"/>
      <c r="V123" s="29"/>
      <c r="W123" s="29"/>
      <c r="X123" s="29"/>
    </row>
    <row r="124" spans="1:24" ht="15">
      <c r="A124" s="29"/>
      <c r="B124" s="29"/>
      <c r="C124" s="29"/>
      <c r="D124" s="33"/>
      <c r="E124" s="33"/>
      <c r="G124" s="29"/>
      <c r="H124" s="29"/>
      <c r="I124" s="29"/>
      <c r="J124" s="29"/>
      <c r="K124" s="29"/>
      <c r="L124" s="29"/>
      <c r="M124" s="29"/>
      <c r="N124" s="29"/>
      <c r="O124" s="29"/>
      <c r="P124" s="29"/>
      <c r="Q124" s="29"/>
      <c r="R124" s="29"/>
      <c r="S124" s="29"/>
      <c r="T124" s="29"/>
      <c r="U124" s="29"/>
      <c r="V124" s="29"/>
      <c r="W124" s="29"/>
      <c r="X124" s="29"/>
    </row>
    <row r="125" spans="1:24" ht="15">
      <c r="A125" s="29"/>
      <c r="B125" s="29"/>
      <c r="C125" s="29"/>
      <c r="D125" s="33"/>
      <c r="E125" s="33"/>
      <c r="G125" s="29"/>
      <c r="H125" s="29"/>
      <c r="I125" s="29"/>
      <c r="J125" s="29"/>
      <c r="K125" s="29"/>
      <c r="L125" s="29"/>
      <c r="M125" s="29"/>
      <c r="N125" s="29"/>
      <c r="O125" s="29"/>
      <c r="P125" s="29"/>
      <c r="Q125" s="29"/>
      <c r="R125" s="29"/>
      <c r="S125" s="29"/>
      <c r="T125" s="29"/>
      <c r="U125" s="29"/>
      <c r="V125" s="29"/>
      <c r="W125" s="29"/>
      <c r="X125" s="29"/>
    </row>
    <row r="126" spans="1:24" ht="15">
      <c r="A126" s="29"/>
      <c r="B126" s="29"/>
      <c r="C126" s="29"/>
      <c r="D126" s="33"/>
      <c r="E126" s="33"/>
      <c r="G126" s="29"/>
      <c r="H126" s="29"/>
      <c r="I126" s="29"/>
      <c r="J126" s="29"/>
      <c r="K126" s="29"/>
      <c r="L126" s="29"/>
      <c r="M126" s="29"/>
      <c r="N126" s="29"/>
      <c r="O126" s="29"/>
      <c r="P126" s="29"/>
      <c r="Q126" s="29"/>
      <c r="R126" s="29"/>
      <c r="S126" s="29"/>
      <c r="T126" s="29"/>
      <c r="U126" s="29"/>
      <c r="V126" s="29"/>
      <c r="W126" s="29"/>
      <c r="X126" s="29"/>
    </row>
    <row r="127" spans="1:24" ht="15">
      <c r="A127" s="29"/>
      <c r="B127" s="29"/>
      <c r="C127" s="29"/>
      <c r="D127" s="33"/>
      <c r="E127" s="33"/>
      <c r="G127" s="29"/>
      <c r="H127" s="29"/>
      <c r="I127" s="29"/>
      <c r="J127" s="29"/>
      <c r="K127" s="29"/>
      <c r="L127" s="29"/>
      <c r="M127" s="29"/>
      <c r="N127" s="29"/>
      <c r="O127" s="29"/>
      <c r="P127" s="29"/>
      <c r="Q127" s="29"/>
      <c r="R127" s="29"/>
      <c r="S127" s="29"/>
      <c r="T127" s="29"/>
      <c r="U127" s="29"/>
      <c r="V127" s="29"/>
      <c r="W127" s="29"/>
      <c r="X127" s="29"/>
    </row>
    <row r="128" spans="1:24" ht="15">
      <c r="A128" s="29"/>
      <c r="B128" s="29"/>
      <c r="C128" s="29"/>
      <c r="D128" s="33"/>
      <c r="E128" s="33"/>
      <c r="G128" s="29"/>
      <c r="H128" s="29"/>
      <c r="I128" s="29"/>
      <c r="J128" s="29"/>
      <c r="K128" s="29"/>
      <c r="L128" s="29"/>
      <c r="M128" s="29"/>
      <c r="N128" s="29"/>
      <c r="O128" s="29"/>
      <c r="P128" s="29"/>
      <c r="Q128" s="29"/>
      <c r="R128" s="29"/>
      <c r="S128" s="29"/>
      <c r="T128" s="29"/>
      <c r="U128" s="29"/>
      <c r="V128" s="29"/>
      <c r="W128" s="29"/>
      <c r="X128" s="29"/>
    </row>
    <row r="129" spans="1:24" ht="15">
      <c r="A129" s="29"/>
      <c r="B129" s="29"/>
      <c r="C129" s="29"/>
      <c r="D129" s="33"/>
      <c r="E129" s="33"/>
      <c r="G129" s="29"/>
      <c r="H129" s="29"/>
      <c r="I129" s="29"/>
      <c r="J129" s="29"/>
      <c r="K129" s="29"/>
      <c r="L129" s="29"/>
      <c r="M129" s="29"/>
      <c r="N129" s="29"/>
      <c r="O129" s="29"/>
      <c r="P129" s="29"/>
      <c r="Q129" s="29"/>
      <c r="R129" s="29"/>
      <c r="S129" s="29"/>
      <c r="T129" s="29"/>
      <c r="U129" s="29"/>
      <c r="V129" s="29"/>
      <c r="W129" s="29"/>
      <c r="X129" s="29"/>
    </row>
    <row r="130" spans="1:24" ht="15">
      <c r="A130" s="29"/>
      <c r="B130" s="29"/>
      <c r="C130" s="29"/>
      <c r="D130" s="33"/>
      <c r="E130" s="33"/>
      <c r="G130" s="29"/>
      <c r="H130" s="29"/>
      <c r="I130" s="29"/>
      <c r="J130" s="29"/>
      <c r="K130" s="29"/>
      <c r="L130" s="29"/>
      <c r="M130" s="29"/>
      <c r="N130" s="29"/>
      <c r="O130" s="29"/>
      <c r="P130" s="29"/>
      <c r="Q130" s="29"/>
      <c r="R130" s="29"/>
      <c r="S130" s="29"/>
      <c r="T130" s="29"/>
      <c r="U130" s="29"/>
      <c r="V130" s="29"/>
      <c r="W130" s="29"/>
      <c r="X130" s="29"/>
    </row>
    <row r="131" spans="1:24" ht="15">
      <c r="A131" s="29"/>
      <c r="B131" s="29"/>
      <c r="C131" s="29"/>
      <c r="D131" s="33"/>
      <c r="E131" s="33"/>
      <c r="G131" s="29"/>
      <c r="H131" s="29"/>
      <c r="I131" s="29"/>
      <c r="J131" s="29"/>
      <c r="K131" s="29"/>
      <c r="L131" s="29"/>
      <c r="M131" s="29"/>
      <c r="N131" s="29"/>
      <c r="O131" s="29"/>
      <c r="P131" s="29"/>
      <c r="Q131" s="29"/>
      <c r="R131" s="29"/>
      <c r="S131" s="29"/>
      <c r="T131" s="29"/>
      <c r="U131" s="29"/>
      <c r="V131" s="29"/>
      <c r="W131" s="29"/>
      <c r="X131" s="29"/>
    </row>
    <row r="132" spans="1:24" ht="15">
      <c r="A132" s="29"/>
      <c r="B132" s="29"/>
      <c r="C132" s="29"/>
      <c r="D132" s="33"/>
      <c r="E132" s="33"/>
      <c r="G132" s="29"/>
      <c r="H132" s="29"/>
      <c r="I132" s="29"/>
      <c r="J132" s="29"/>
      <c r="K132" s="29"/>
      <c r="L132" s="29"/>
      <c r="M132" s="29"/>
      <c r="N132" s="29"/>
      <c r="O132" s="29"/>
      <c r="P132" s="29"/>
      <c r="Q132" s="29"/>
      <c r="R132" s="29"/>
      <c r="S132" s="29"/>
      <c r="T132" s="29"/>
      <c r="U132" s="29"/>
      <c r="V132" s="29"/>
      <c r="W132" s="29"/>
      <c r="X132" s="29"/>
    </row>
    <row r="133" spans="1:24" ht="15">
      <c r="A133" s="29"/>
      <c r="B133" s="29"/>
      <c r="C133" s="29"/>
      <c r="D133" s="33"/>
      <c r="E133" s="33"/>
      <c r="G133" s="29"/>
      <c r="H133" s="29"/>
      <c r="I133" s="29"/>
      <c r="J133" s="29"/>
      <c r="K133" s="29"/>
      <c r="L133" s="29"/>
      <c r="M133" s="29"/>
      <c r="N133" s="29"/>
      <c r="O133" s="29"/>
      <c r="P133" s="29"/>
      <c r="Q133" s="29"/>
      <c r="R133" s="29"/>
      <c r="S133" s="29"/>
      <c r="T133" s="29"/>
      <c r="U133" s="29"/>
      <c r="V133" s="29"/>
      <c r="W133" s="29"/>
      <c r="X133" s="29"/>
    </row>
    <row r="134" spans="1:24" ht="15">
      <c r="A134" s="29"/>
      <c r="B134" s="29"/>
      <c r="C134" s="29"/>
      <c r="D134" s="33"/>
      <c r="E134" s="33"/>
      <c r="G134" s="29"/>
      <c r="H134" s="29"/>
      <c r="I134" s="29"/>
      <c r="J134" s="29"/>
      <c r="K134" s="29"/>
      <c r="L134" s="29"/>
      <c r="M134" s="29"/>
      <c r="N134" s="29"/>
      <c r="O134" s="29"/>
      <c r="P134" s="29"/>
      <c r="Q134" s="29"/>
      <c r="R134" s="29"/>
      <c r="S134" s="29"/>
      <c r="T134" s="29"/>
      <c r="U134" s="29"/>
      <c r="V134" s="29"/>
      <c r="W134" s="29"/>
      <c r="X134" s="29"/>
    </row>
    <row r="135" spans="1:24" ht="15">
      <c r="A135" s="29"/>
      <c r="B135" s="29"/>
      <c r="C135" s="29"/>
      <c r="D135" s="33"/>
      <c r="E135" s="33"/>
      <c r="G135" s="29"/>
      <c r="H135" s="29"/>
      <c r="I135" s="29"/>
      <c r="J135" s="29"/>
      <c r="K135" s="29"/>
      <c r="L135" s="29"/>
      <c r="M135" s="29"/>
      <c r="N135" s="29"/>
      <c r="O135" s="29"/>
      <c r="P135" s="29"/>
      <c r="Q135" s="29"/>
      <c r="R135" s="29"/>
      <c r="S135" s="29"/>
      <c r="T135" s="29"/>
      <c r="U135" s="29"/>
      <c r="V135" s="29"/>
      <c r="W135" s="29"/>
      <c r="X135" s="29"/>
    </row>
    <row r="136" spans="1:24" ht="15">
      <c r="A136" s="29"/>
      <c r="B136" s="29"/>
      <c r="C136" s="29"/>
      <c r="D136" s="33"/>
      <c r="E136" s="33"/>
      <c r="G136" s="29"/>
      <c r="H136" s="29"/>
      <c r="I136" s="29"/>
      <c r="J136" s="29"/>
      <c r="K136" s="29"/>
      <c r="L136" s="29"/>
      <c r="M136" s="29"/>
      <c r="N136" s="29"/>
      <c r="O136" s="29"/>
      <c r="P136" s="29"/>
      <c r="Q136" s="29"/>
      <c r="R136" s="29"/>
      <c r="S136" s="29"/>
      <c r="T136" s="29"/>
      <c r="U136" s="29"/>
      <c r="V136" s="29"/>
      <c r="W136" s="29"/>
      <c r="X136" s="29"/>
    </row>
    <row r="137" spans="1:24" ht="15">
      <c r="A137" s="29"/>
      <c r="B137" s="29"/>
      <c r="C137" s="29"/>
      <c r="D137" s="33"/>
      <c r="E137" s="33"/>
      <c r="G137" s="29"/>
      <c r="H137" s="29"/>
      <c r="I137" s="29"/>
      <c r="J137" s="29"/>
      <c r="K137" s="29"/>
      <c r="L137" s="29"/>
      <c r="M137" s="29"/>
      <c r="N137" s="29"/>
      <c r="O137" s="29"/>
      <c r="P137" s="29"/>
      <c r="Q137" s="29"/>
      <c r="R137" s="29"/>
      <c r="S137" s="29"/>
      <c r="T137" s="29"/>
      <c r="U137" s="29"/>
      <c r="V137" s="29"/>
      <c r="W137" s="29"/>
      <c r="X137" s="29"/>
    </row>
    <row r="138" spans="1:24" ht="15">
      <c r="A138" s="29"/>
      <c r="B138" s="29"/>
      <c r="C138" s="29"/>
      <c r="D138" s="33"/>
      <c r="E138" s="33"/>
      <c r="G138" s="29"/>
      <c r="H138" s="29"/>
      <c r="I138" s="29"/>
      <c r="J138" s="29"/>
      <c r="K138" s="29"/>
      <c r="L138" s="29"/>
      <c r="M138" s="29"/>
      <c r="N138" s="29"/>
      <c r="O138" s="29"/>
      <c r="P138" s="29"/>
      <c r="Q138" s="29"/>
      <c r="R138" s="29"/>
      <c r="S138" s="29"/>
      <c r="T138" s="29"/>
      <c r="U138" s="29"/>
      <c r="V138" s="29"/>
      <c r="W138" s="29"/>
      <c r="X138" s="29"/>
    </row>
    <row r="139" spans="1:24" ht="15">
      <c r="A139" s="29"/>
      <c r="B139" s="29"/>
      <c r="C139" s="29"/>
      <c r="D139" s="33"/>
      <c r="E139" s="33"/>
      <c r="G139" s="29"/>
      <c r="H139" s="29"/>
      <c r="I139" s="29"/>
      <c r="J139" s="29"/>
      <c r="K139" s="29"/>
      <c r="L139" s="29"/>
      <c r="M139" s="29"/>
      <c r="N139" s="29"/>
      <c r="O139" s="29"/>
      <c r="P139" s="29"/>
      <c r="Q139" s="29"/>
      <c r="R139" s="29"/>
      <c r="S139" s="29"/>
      <c r="T139" s="29"/>
      <c r="U139" s="29"/>
      <c r="V139" s="29"/>
      <c r="W139" s="29"/>
      <c r="X139" s="29"/>
    </row>
    <row r="140" spans="1:24" ht="15">
      <c r="A140" s="29"/>
      <c r="B140" s="29"/>
      <c r="C140" s="29"/>
      <c r="D140" s="33"/>
      <c r="E140" s="33"/>
      <c r="G140" s="29"/>
      <c r="H140" s="29"/>
      <c r="I140" s="29"/>
      <c r="J140" s="29"/>
      <c r="K140" s="29"/>
      <c r="L140" s="29"/>
      <c r="M140" s="29"/>
      <c r="N140" s="29"/>
      <c r="O140" s="29"/>
      <c r="P140" s="29"/>
      <c r="Q140" s="29"/>
      <c r="R140" s="29"/>
      <c r="S140" s="29"/>
      <c r="T140" s="29"/>
      <c r="U140" s="29"/>
      <c r="V140" s="29"/>
      <c r="W140" s="29"/>
      <c r="X140" s="29"/>
    </row>
    <row r="141" spans="1:24" ht="15">
      <c r="A141" s="29"/>
      <c r="B141" s="29"/>
      <c r="C141" s="29"/>
      <c r="D141" s="33"/>
      <c r="E141" s="33"/>
      <c r="G141" s="29"/>
      <c r="H141" s="29"/>
      <c r="I141" s="29"/>
      <c r="J141" s="29"/>
      <c r="K141" s="29"/>
      <c r="L141" s="29"/>
      <c r="M141" s="29"/>
      <c r="N141" s="29"/>
      <c r="O141" s="29"/>
      <c r="P141" s="29"/>
      <c r="Q141" s="29"/>
      <c r="R141" s="29"/>
      <c r="S141" s="29"/>
      <c r="T141" s="29"/>
      <c r="U141" s="29"/>
      <c r="V141" s="29"/>
      <c r="W141" s="29"/>
      <c r="X141" s="29"/>
    </row>
    <row r="142" spans="1:24" ht="15">
      <c r="A142" s="29"/>
      <c r="B142" s="29"/>
      <c r="C142" s="29"/>
      <c r="D142" s="33"/>
      <c r="E142" s="33"/>
      <c r="G142" s="29"/>
      <c r="H142" s="29"/>
      <c r="I142" s="29"/>
      <c r="J142" s="29"/>
      <c r="K142" s="29"/>
      <c r="L142" s="29"/>
      <c r="M142" s="29"/>
      <c r="N142" s="29"/>
      <c r="O142" s="29"/>
      <c r="P142" s="29"/>
      <c r="Q142" s="29"/>
      <c r="R142" s="29"/>
      <c r="S142" s="29"/>
      <c r="T142" s="29"/>
      <c r="U142" s="29"/>
      <c r="V142" s="29"/>
      <c r="W142" s="29"/>
      <c r="X142" s="29"/>
    </row>
    <row r="143" spans="1:24" ht="15">
      <c r="A143" s="29"/>
      <c r="B143" s="29"/>
      <c r="C143" s="29"/>
      <c r="D143" s="33"/>
      <c r="E143" s="33"/>
      <c r="G143" s="29"/>
      <c r="H143" s="29"/>
      <c r="I143" s="29"/>
      <c r="J143" s="29"/>
      <c r="K143" s="29"/>
      <c r="L143" s="29"/>
      <c r="M143" s="29"/>
      <c r="N143" s="29"/>
      <c r="O143" s="29"/>
      <c r="P143" s="29"/>
      <c r="Q143" s="29"/>
      <c r="R143" s="29"/>
      <c r="S143" s="29"/>
      <c r="T143" s="29"/>
      <c r="U143" s="29"/>
      <c r="V143" s="29"/>
      <c r="W143" s="29"/>
      <c r="X143" s="29"/>
    </row>
    <row r="144" spans="1:24" ht="15">
      <c r="A144" s="29"/>
      <c r="B144" s="29"/>
      <c r="C144" s="29"/>
      <c r="D144" s="33"/>
      <c r="E144" s="33"/>
      <c r="G144" s="29"/>
      <c r="H144" s="29"/>
      <c r="I144" s="29"/>
      <c r="J144" s="29"/>
      <c r="K144" s="29"/>
      <c r="L144" s="29"/>
      <c r="M144" s="29"/>
      <c r="N144" s="29"/>
      <c r="O144" s="29"/>
      <c r="P144" s="29"/>
      <c r="Q144" s="29"/>
      <c r="R144" s="29"/>
      <c r="S144" s="29"/>
      <c r="T144" s="29"/>
      <c r="U144" s="29"/>
      <c r="V144" s="29"/>
      <c r="W144" s="29"/>
      <c r="X144" s="29"/>
    </row>
    <row r="145" spans="1:24" ht="15">
      <c r="A145" s="29"/>
      <c r="B145" s="29"/>
      <c r="C145" s="29"/>
      <c r="D145" s="33"/>
      <c r="E145" s="33"/>
      <c r="G145" s="29"/>
      <c r="H145" s="29"/>
      <c r="I145" s="29"/>
      <c r="J145" s="29"/>
      <c r="K145" s="29"/>
      <c r="L145" s="29"/>
      <c r="M145" s="29"/>
      <c r="N145" s="29"/>
      <c r="O145" s="29"/>
      <c r="P145" s="29"/>
      <c r="Q145" s="29"/>
      <c r="R145" s="29"/>
      <c r="S145" s="29"/>
      <c r="T145" s="29"/>
      <c r="U145" s="29"/>
      <c r="V145" s="29"/>
      <c r="W145" s="29"/>
      <c r="X145" s="29"/>
    </row>
    <row r="146" spans="1:24" ht="15">
      <c r="A146" s="29"/>
      <c r="B146" s="29"/>
      <c r="C146" s="29"/>
      <c r="D146" s="33"/>
      <c r="E146" s="33"/>
      <c r="G146" s="29"/>
      <c r="H146" s="29"/>
      <c r="I146" s="29"/>
      <c r="J146" s="29"/>
      <c r="K146" s="29"/>
      <c r="L146" s="29"/>
      <c r="M146" s="29"/>
      <c r="N146" s="29"/>
      <c r="O146" s="29"/>
      <c r="P146" s="29"/>
      <c r="Q146" s="29"/>
      <c r="R146" s="29"/>
      <c r="S146" s="29"/>
      <c r="T146" s="29"/>
      <c r="U146" s="29"/>
      <c r="V146" s="29"/>
      <c r="W146" s="29"/>
      <c r="X146" s="29"/>
    </row>
    <row r="147" spans="1:24" ht="15">
      <c r="A147" s="29"/>
      <c r="B147" s="29"/>
      <c r="C147" s="29"/>
      <c r="D147" s="33"/>
      <c r="E147" s="33"/>
      <c r="G147" s="29"/>
      <c r="H147" s="29"/>
      <c r="I147" s="29"/>
      <c r="J147" s="29"/>
      <c r="K147" s="29"/>
      <c r="L147" s="29"/>
      <c r="M147" s="29"/>
      <c r="N147" s="29"/>
      <c r="O147" s="29"/>
      <c r="P147" s="29"/>
      <c r="Q147" s="29"/>
      <c r="R147" s="29"/>
      <c r="S147" s="29"/>
      <c r="T147" s="29"/>
      <c r="U147" s="29"/>
      <c r="V147" s="29"/>
      <c r="W147" s="29"/>
      <c r="X147" s="29"/>
    </row>
    <row r="148" spans="1:24" ht="15">
      <c r="A148" s="29"/>
      <c r="B148" s="29"/>
      <c r="C148" s="29"/>
      <c r="D148" s="33"/>
      <c r="E148" s="33"/>
      <c r="G148" s="29"/>
      <c r="H148" s="29"/>
      <c r="I148" s="29"/>
      <c r="J148" s="29"/>
      <c r="K148" s="29"/>
      <c r="L148" s="29"/>
      <c r="M148" s="29"/>
      <c r="N148" s="29"/>
      <c r="O148" s="29"/>
      <c r="P148" s="29"/>
      <c r="Q148" s="29"/>
      <c r="R148" s="29"/>
      <c r="S148" s="29"/>
      <c r="T148" s="29"/>
      <c r="U148" s="29"/>
      <c r="V148" s="29"/>
      <c r="W148" s="29"/>
      <c r="X148" s="29"/>
    </row>
    <row r="149" spans="1:24" ht="15">
      <c r="A149" s="29"/>
      <c r="B149" s="29"/>
      <c r="C149" s="29"/>
      <c r="D149" s="33"/>
      <c r="E149" s="33"/>
      <c r="G149" s="29"/>
      <c r="H149" s="29"/>
      <c r="I149" s="29"/>
      <c r="J149" s="29"/>
      <c r="K149" s="29"/>
      <c r="L149" s="29"/>
      <c r="M149" s="29"/>
      <c r="N149" s="29"/>
      <c r="O149" s="29"/>
      <c r="P149" s="29"/>
      <c r="Q149" s="29"/>
      <c r="R149" s="29"/>
      <c r="S149" s="29"/>
      <c r="T149" s="29"/>
      <c r="U149" s="29"/>
      <c r="V149" s="29"/>
      <c r="W149" s="29"/>
      <c r="X149" s="29"/>
    </row>
    <row r="150" spans="1:24" ht="15">
      <c r="A150" s="29"/>
      <c r="B150" s="29"/>
      <c r="C150" s="29"/>
      <c r="D150" s="33"/>
      <c r="E150" s="33"/>
      <c r="G150" s="29"/>
      <c r="H150" s="29"/>
      <c r="I150" s="29"/>
      <c r="J150" s="29"/>
      <c r="K150" s="29"/>
      <c r="L150" s="29"/>
      <c r="M150" s="29"/>
      <c r="N150" s="29"/>
      <c r="O150" s="29"/>
      <c r="P150" s="29"/>
      <c r="Q150" s="29"/>
      <c r="R150" s="29"/>
      <c r="S150" s="29"/>
      <c r="T150" s="29"/>
      <c r="U150" s="29"/>
      <c r="V150" s="29"/>
      <c r="W150" s="29"/>
      <c r="X150" s="29"/>
    </row>
    <row r="151" spans="1:24" ht="15">
      <c r="A151" s="29"/>
      <c r="B151" s="29"/>
      <c r="C151" s="29"/>
      <c r="D151" s="33"/>
      <c r="E151" s="33"/>
      <c r="G151" s="29"/>
      <c r="H151" s="29"/>
      <c r="I151" s="29"/>
      <c r="J151" s="29"/>
      <c r="K151" s="29"/>
      <c r="L151" s="29"/>
      <c r="M151" s="29"/>
      <c r="N151" s="29"/>
      <c r="O151" s="29"/>
      <c r="P151" s="29"/>
      <c r="Q151" s="29"/>
      <c r="R151" s="29"/>
      <c r="S151" s="29"/>
      <c r="T151" s="29"/>
      <c r="U151" s="29"/>
      <c r="V151" s="29"/>
      <c r="W151" s="29"/>
      <c r="X151" s="29"/>
    </row>
    <row r="152" spans="1:24" ht="15">
      <c r="A152" s="29"/>
      <c r="B152" s="29"/>
      <c r="C152" s="29"/>
      <c r="D152" s="33"/>
      <c r="E152" s="33"/>
      <c r="G152" s="29"/>
      <c r="H152" s="29"/>
      <c r="I152" s="29"/>
      <c r="J152" s="29"/>
      <c r="K152" s="29"/>
      <c r="L152" s="29"/>
      <c r="M152" s="29"/>
      <c r="N152" s="29"/>
      <c r="O152" s="29"/>
      <c r="P152" s="29"/>
      <c r="Q152" s="29"/>
      <c r="R152" s="29"/>
      <c r="S152" s="29"/>
      <c r="T152" s="29"/>
      <c r="U152" s="29"/>
      <c r="V152" s="29"/>
      <c r="W152" s="29"/>
      <c r="X152" s="29"/>
    </row>
    <row r="153" spans="1:24" ht="15">
      <c r="A153" s="29"/>
      <c r="B153" s="29"/>
      <c r="C153" s="29"/>
      <c r="D153" s="33"/>
      <c r="E153" s="33"/>
      <c r="G153" s="29"/>
      <c r="H153" s="29"/>
      <c r="I153" s="29"/>
      <c r="J153" s="29"/>
      <c r="K153" s="29"/>
      <c r="L153" s="29"/>
      <c r="M153" s="29"/>
      <c r="N153" s="29"/>
      <c r="O153" s="29"/>
      <c r="P153" s="29"/>
      <c r="Q153" s="29"/>
      <c r="R153" s="29"/>
      <c r="S153" s="29"/>
      <c r="T153" s="29"/>
      <c r="U153" s="29"/>
      <c r="V153" s="29"/>
      <c r="W153" s="29"/>
      <c r="X153" s="29"/>
    </row>
    <row r="154" spans="1:24" ht="15">
      <c r="A154" s="29"/>
      <c r="B154" s="29"/>
      <c r="C154" s="29"/>
      <c r="D154" s="33"/>
      <c r="E154" s="33"/>
      <c r="G154" s="29"/>
      <c r="H154" s="29"/>
      <c r="I154" s="29"/>
      <c r="J154" s="29"/>
      <c r="K154" s="29"/>
      <c r="L154" s="29"/>
      <c r="M154" s="29"/>
      <c r="N154" s="29"/>
      <c r="O154" s="29"/>
      <c r="P154" s="29"/>
      <c r="Q154" s="29"/>
      <c r="R154" s="29"/>
      <c r="S154" s="29"/>
      <c r="T154" s="29"/>
      <c r="U154" s="29"/>
      <c r="V154" s="29"/>
      <c r="W154" s="29"/>
      <c r="X154" s="29"/>
    </row>
    <row r="155" spans="1:24" ht="15">
      <c r="A155" s="29"/>
      <c r="B155" s="29"/>
      <c r="C155" s="29"/>
      <c r="D155" s="33"/>
      <c r="E155" s="33"/>
      <c r="G155" s="29"/>
      <c r="H155" s="29"/>
      <c r="I155" s="29"/>
      <c r="J155" s="29"/>
      <c r="K155" s="29"/>
      <c r="L155" s="29"/>
      <c r="M155" s="29"/>
      <c r="N155" s="29"/>
      <c r="O155" s="29"/>
      <c r="P155" s="29"/>
      <c r="Q155" s="29"/>
      <c r="R155" s="29"/>
      <c r="S155" s="29"/>
      <c r="T155" s="29"/>
      <c r="U155" s="29"/>
      <c r="V155" s="29"/>
      <c r="W155" s="29"/>
      <c r="X155" s="29"/>
    </row>
    <row r="156" spans="1:24" ht="15">
      <c r="A156" s="29"/>
      <c r="B156" s="29"/>
      <c r="C156" s="29"/>
      <c r="D156" s="33"/>
      <c r="E156" s="33"/>
      <c r="G156" s="29"/>
      <c r="H156" s="29"/>
      <c r="I156" s="29"/>
      <c r="J156" s="29"/>
      <c r="K156" s="29"/>
      <c r="L156" s="29"/>
      <c r="M156" s="29"/>
      <c r="N156" s="29"/>
      <c r="O156" s="29"/>
      <c r="P156" s="29"/>
      <c r="Q156" s="29"/>
      <c r="R156" s="29"/>
      <c r="S156" s="29"/>
      <c r="T156" s="29"/>
      <c r="U156" s="29"/>
      <c r="V156" s="29"/>
      <c r="W156" s="29"/>
      <c r="X156" s="29"/>
    </row>
    <row r="157" spans="1:24" ht="15">
      <c r="A157" s="29"/>
      <c r="B157" s="29"/>
      <c r="C157" s="29"/>
      <c r="D157" s="33"/>
      <c r="E157" s="33"/>
      <c r="G157" s="29"/>
      <c r="H157" s="29"/>
      <c r="I157" s="29"/>
      <c r="J157" s="29"/>
      <c r="K157" s="29"/>
      <c r="L157" s="29"/>
      <c r="M157" s="29"/>
      <c r="N157" s="29"/>
      <c r="O157" s="29"/>
      <c r="P157" s="29"/>
      <c r="Q157" s="29"/>
      <c r="R157" s="29"/>
      <c r="S157" s="29"/>
      <c r="T157" s="29"/>
      <c r="U157" s="29"/>
      <c r="V157" s="29"/>
      <c r="W157" s="29"/>
      <c r="X157" s="29"/>
    </row>
    <row r="158" spans="1:24" ht="15">
      <c r="A158" s="29"/>
      <c r="B158" s="29"/>
      <c r="C158" s="29"/>
      <c r="D158" s="33"/>
      <c r="E158" s="33"/>
      <c r="G158" s="29"/>
      <c r="H158" s="29"/>
      <c r="I158" s="29"/>
      <c r="J158" s="29"/>
      <c r="K158" s="29"/>
      <c r="L158" s="29"/>
      <c r="M158" s="29"/>
      <c r="N158" s="29"/>
      <c r="O158" s="29"/>
      <c r="P158" s="29"/>
      <c r="Q158" s="29"/>
      <c r="R158" s="29"/>
      <c r="S158" s="29"/>
      <c r="T158" s="29"/>
      <c r="U158" s="29"/>
      <c r="V158" s="29"/>
      <c r="W158" s="29"/>
      <c r="X158" s="29"/>
    </row>
    <row r="159" spans="1:24" ht="15">
      <c r="A159" s="29"/>
      <c r="B159" s="29"/>
      <c r="C159" s="29"/>
      <c r="D159" s="33"/>
      <c r="E159" s="33"/>
      <c r="G159" s="29"/>
      <c r="H159" s="29"/>
      <c r="I159" s="29"/>
      <c r="J159" s="29"/>
      <c r="K159" s="29"/>
      <c r="L159" s="29"/>
      <c r="M159" s="29"/>
      <c r="N159" s="29"/>
      <c r="O159" s="29"/>
      <c r="P159" s="29"/>
      <c r="Q159" s="29"/>
      <c r="R159" s="29"/>
      <c r="S159" s="29"/>
      <c r="T159" s="29"/>
      <c r="U159" s="29"/>
      <c r="V159" s="29"/>
      <c r="W159" s="29"/>
      <c r="X159" s="29"/>
    </row>
    <row r="160" spans="1:24" ht="15">
      <c r="A160" s="29"/>
      <c r="B160" s="29"/>
      <c r="C160" s="29"/>
      <c r="D160" s="33"/>
      <c r="E160" s="33"/>
      <c r="G160" s="29"/>
      <c r="H160" s="29"/>
      <c r="I160" s="29"/>
      <c r="J160" s="29"/>
      <c r="K160" s="29"/>
      <c r="L160" s="29"/>
      <c r="M160" s="29"/>
      <c r="N160" s="29"/>
      <c r="O160" s="29"/>
      <c r="P160" s="29"/>
      <c r="Q160" s="29"/>
      <c r="R160" s="29"/>
      <c r="S160" s="29"/>
      <c r="T160" s="29"/>
      <c r="U160" s="29"/>
      <c r="V160" s="29"/>
      <c r="W160" s="29"/>
      <c r="X160" s="29"/>
    </row>
    <row r="161" spans="1:24" ht="15">
      <c r="A161" s="29"/>
      <c r="B161" s="29"/>
      <c r="C161" s="29"/>
      <c r="D161" s="33"/>
      <c r="E161" s="33"/>
      <c r="G161" s="29"/>
      <c r="H161" s="29"/>
      <c r="I161" s="29"/>
      <c r="J161" s="29"/>
      <c r="K161" s="29"/>
      <c r="L161" s="29"/>
      <c r="M161" s="29"/>
      <c r="N161" s="29"/>
      <c r="O161" s="29"/>
      <c r="P161" s="29"/>
      <c r="Q161" s="29"/>
      <c r="R161" s="29"/>
      <c r="S161" s="29"/>
      <c r="T161" s="29"/>
      <c r="U161" s="29"/>
      <c r="V161" s="29"/>
      <c r="W161" s="29"/>
      <c r="X161" s="29"/>
    </row>
    <row r="162" spans="1:24" ht="15">
      <c r="A162" s="29"/>
      <c r="B162" s="29"/>
      <c r="C162" s="29"/>
      <c r="D162" s="33"/>
      <c r="E162" s="33"/>
      <c r="G162" s="29"/>
      <c r="H162" s="29"/>
      <c r="I162" s="29"/>
      <c r="J162" s="29"/>
      <c r="K162" s="29"/>
      <c r="L162" s="29"/>
      <c r="M162" s="29"/>
      <c r="N162" s="29"/>
      <c r="O162" s="29"/>
      <c r="P162" s="29"/>
      <c r="Q162" s="29"/>
      <c r="R162" s="29"/>
      <c r="S162" s="29"/>
      <c r="T162" s="29"/>
      <c r="U162" s="29"/>
      <c r="V162" s="29"/>
      <c r="W162" s="29"/>
      <c r="X162" s="29"/>
    </row>
    <row r="163" spans="1:24" ht="15">
      <c r="A163" s="29"/>
      <c r="B163" s="29"/>
      <c r="C163" s="29"/>
      <c r="D163" s="33"/>
      <c r="E163" s="33"/>
      <c r="G163" s="29"/>
      <c r="H163" s="29"/>
      <c r="I163" s="29"/>
      <c r="J163" s="29"/>
      <c r="K163" s="29"/>
      <c r="L163" s="29"/>
      <c r="M163" s="29"/>
      <c r="N163" s="29"/>
      <c r="O163" s="29"/>
      <c r="P163" s="29"/>
      <c r="Q163" s="29"/>
      <c r="R163" s="29"/>
      <c r="S163" s="29"/>
      <c r="T163" s="29"/>
      <c r="U163" s="29"/>
      <c r="V163" s="29"/>
      <c r="W163" s="29"/>
      <c r="X163" s="29"/>
    </row>
    <row r="164" spans="1:24" ht="15">
      <c r="A164" s="29"/>
      <c r="B164" s="29"/>
      <c r="C164" s="29"/>
      <c r="D164" s="33"/>
      <c r="E164" s="33"/>
      <c r="G164" s="29"/>
      <c r="H164" s="29"/>
      <c r="I164" s="29"/>
      <c r="J164" s="29"/>
      <c r="K164" s="29"/>
      <c r="L164" s="29"/>
      <c r="M164" s="29"/>
      <c r="N164" s="29"/>
      <c r="O164" s="29"/>
      <c r="P164" s="29"/>
      <c r="Q164" s="29"/>
      <c r="R164" s="29"/>
      <c r="S164" s="29"/>
      <c r="T164" s="29"/>
      <c r="U164" s="29"/>
      <c r="V164" s="29"/>
      <c r="W164" s="29"/>
      <c r="X164" s="29"/>
    </row>
    <row r="165" spans="1:24" ht="15">
      <c r="A165" s="29"/>
      <c r="B165" s="29"/>
      <c r="C165" s="29"/>
      <c r="D165" s="33"/>
      <c r="E165" s="33"/>
      <c r="G165" s="29"/>
      <c r="H165" s="29"/>
      <c r="I165" s="29"/>
      <c r="J165" s="29"/>
      <c r="K165" s="29"/>
      <c r="L165" s="29"/>
      <c r="M165" s="29"/>
      <c r="N165" s="29"/>
      <c r="O165" s="29"/>
      <c r="P165" s="29"/>
      <c r="Q165" s="29"/>
      <c r="R165" s="29"/>
      <c r="S165" s="29"/>
      <c r="T165" s="29"/>
      <c r="U165" s="29"/>
      <c r="V165" s="29"/>
      <c r="W165" s="29"/>
      <c r="X165" s="29"/>
    </row>
    <row r="166" spans="1:24" ht="15">
      <c r="A166" s="29"/>
      <c r="B166" s="29"/>
      <c r="C166" s="29"/>
      <c r="D166" s="33"/>
      <c r="E166" s="33"/>
      <c r="G166" s="29"/>
      <c r="H166" s="29"/>
      <c r="I166" s="29"/>
      <c r="J166" s="29"/>
      <c r="K166" s="29"/>
      <c r="L166" s="29"/>
      <c r="M166" s="29"/>
      <c r="N166" s="29"/>
      <c r="O166" s="29"/>
      <c r="P166" s="29"/>
      <c r="Q166" s="29"/>
      <c r="R166" s="29"/>
      <c r="S166" s="29"/>
      <c r="T166" s="29"/>
      <c r="U166" s="29"/>
      <c r="V166" s="29"/>
      <c r="W166" s="29"/>
      <c r="X166" s="29"/>
    </row>
    <row r="167" spans="1:24" ht="15">
      <c r="A167" s="29"/>
      <c r="B167" s="29"/>
      <c r="C167" s="29"/>
      <c r="D167" s="33"/>
      <c r="E167" s="33"/>
      <c r="G167" s="29"/>
      <c r="H167" s="29"/>
      <c r="I167" s="29"/>
      <c r="J167" s="29"/>
      <c r="K167" s="29"/>
      <c r="L167" s="29"/>
      <c r="M167" s="29"/>
      <c r="N167" s="29"/>
      <c r="O167" s="29"/>
      <c r="P167" s="29"/>
      <c r="Q167" s="29"/>
      <c r="R167" s="29"/>
      <c r="S167" s="29"/>
      <c r="T167" s="29"/>
      <c r="U167" s="29"/>
      <c r="V167" s="29"/>
      <c r="W167" s="29"/>
      <c r="X167" s="29"/>
    </row>
    <row r="168" spans="1:24" ht="15">
      <c r="A168" s="29"/>
      <c r="B168" s="29"/>
      <c r="C168" s="29"/>
      <c r="D168" s="33"/>
      <c r="E168" s="33"/>
      <c r="G168" s="29"/>
      <c r="H168" s="29"/>
      <c r="I168" s="29"/>
      <c r="J168" s="29"/>
      <c r="K168" s="29"/>
      <c r="L168" s="29"/>
      <c r="M168" s="29"/>
      <c r="N168" s="29"/>
      <c r="O168" s="29"/>
      <c r="P168" s="29"/>
      <c r="Q168" s="29"/>
      <c r="R168" s="29"/>
      <c r="S168" s="29"/>
      <c r="T168" s="29"/>
      <c r="U168" s="29"/>
      <c r="V168" s="29"/>
      <c r="W168" s="29"/>
      <c r="X168" s="29"/>
    </row>
    <row r="169" spans="1:24" ht="15">
      <c r="A169" s="29"/>
      <c r="B169" s="29"/>
      <c r="C169" s="29"/>
      <c r="D169" s="33"/>
      <c r="E169" s="33"/>
      <c r="G169" s="29"/>
      <c r="H169" s="29"/>
      <c r="I169" s="29"/>
      <c r="J169" s="29"/>
      <c r="K169" s="29"/>
      <c r="L169" s="29"/>
      <c r="M169" s="29"/>
      <c r="N169" s="29"/>
      <c r="O169" s="29"/>
      <c r="P169" s="29"/>
      <c r="Q169" s="29"/>
      <c r="R169" s="29"/>
      <c r="S169" s="29"/>
      <c r="T169" s="29"/>
      <c r="U169" s="29"/>
      <c r="V169" s="29"/>
      <c r="W169" s="29"/>
      <c r="X169" s="29"/>
    </row>
    <row r="170" spans="1:24" ht="15">
      <c r="A170" s="29"/>
      <c r="B170" s="29"/>
      <c r="C170" s="29"/>
      <c r="D170" s="33"/>
      <c r="E170" s="33"/>
      <c r="G170" s="29"/>
      <c r="H170" s="29"/>
      <c r="I170" s="29"/>
      <c r="J170" s="29"/>
      <c r="K170" s="29"/>
      <c r="L170" s="29"/>
      <c r="M170" s="29"/>
      <c r="N170" s="29"/>
      <c r="O170" s="29"/>
      <c r="P170" s="29"/>
      <c r="Q170" s="29"/>
      <c r="R170" s="29"/>
      <c r="S170" s="29"/>
      <c r="T170" s="29"/>
      <c r="U170" s="29"/>
      <c r="V170" s="29"/>
      <c r="W170" s="29"/>
      <c r="X170" s="29"/>
    </row>
    <row r="171" spans="1:24" ht="15">
      <c r="A171" s="29"/>
      <c r="B171" s="29"/>
      <c r="C171" s="29"/>
      <c r="D171" s="33"/>
      <c r="E171" s="33"/>
      <c r="G171" s="29"/>
      <c r="H171" s="29"/>
      <c r="I171" s="29"/>
      <c r="J171" s="29"/>
      <c r="K171" s="29"/>
      <c r="L171" s="29"/>
      <c r="M171" s="29"/>
      <c r="N171" s="29"/>
      <c r="O171" s="29"/>
      <c r="P171" s="29"/>
      <c r="Q171" s="29"/>
      <c r="R171" s="29"/>
      <c r="S171" s="29"/>
      <c r="T171" s="29"/>
      <c r="U171" s="29"/>
      <c r="V171" s="29"/>
      <c r="W171" s="29"/>
      <c r="X171" s="29"/>
    </row>
    <row r="172" spans="1:24" ht="15">
      <c r="A172" s="29"/>
      <c r="B172" s="29"/>
      <c r="C172" s="29"/>
      <c r="D172" s="33"/>
      <c r="E172" s="33"/>
      <c r="G172" s="29"/>
      <c r="H172" s="29"/>
      <c r="I172" s="29"/>
      <c r="J172" s="29"/>
      <c r="K172" s="29"/>
      <c r="L172" s="29"/>
      <c r="M172" s="29"/>
      <c r="N172" s="29"/>
      <c r="O172" s="29"/>
      <c r="P172" s="29"/>
      <c r="Q172" s="29"/>
      <c r="R172" s="29"/>
      <c r="S172" s="29"/>
      <c r="T172" s="29"/>
      <c r="U172" s="29"/>
      <c r="V172" s="29"/>
      <c r="W172" s="29"/>
      <c r="X172" s="29"/>
    </row>
    <row r="173" spans="1:24" ht="15">
      <c r="A173" s="29"/>
      <c r="B173" s="29"/>
      <c r="C173" s="29"/>
      <c r="D173" s="33"/>
      <c r="E173" s="33"/>
      <c r="G173" s="29"/>
      <c r="H173" s="29"/>
      <c r="I173" s="29"/>
      <c r="J173" s="29"/>
      <c r="K173" s="29"/>
      <c r="L173" s="29"/>
      <c r="M173" s="29"/>
      <c r="N173" s="29"/>
      <c r="O173" s="29"/>
      <c r="P173" s="29"/>
      <c r="Q173" s="29"/>
      <c r="R173" s="29"/>
      <c r="S173" s="29"/>
      <c r="T173" s="29"/>
      <c r="U173" s="29"/>
      <c r="V173" s="29"/>
      <c r="W173" s="29"/>
      <c r="X173" s="29"/>
    </row>
    <row r="174" spans="1:24" ht="15">
      <c r="A174" s="29"/>
      <c r="B174" s="29"/>
      <c r="C174" s="29"/>
      <c r="D174" s="33"/>
      <c r="E174" s="33"/>
      <c r="G174" s="29"/>
      <c r="H174" s="29"/>
      <c r="I174" s="29"/>
      <c r="J174" s="29"/>
      <c r="K174" s="29"/>
      <c r="L174" s="29"/>
      <c r="M174" s="29"/>
      <c r="N174" s="29"/>
      <c r="O174" s="29"/>
      <c r="P174" s="29"/>
      <c r="Q174" s="29"/>
      <c r="R174" s="29"/>
      <c r="S174" s="29"/>
      <c r="T174" s="29"/>
      <c r="U174" s="29"/>
      <c r="V174" s="29"/>
      <c r="W174" s="29"/>
      <c r="X174" s="29"/>
    </row>
    <row r="175" spans="1:24" ht="15">
      <c r="A175" s="29"/>
      <c r="B175" s="29"/>
      <c r="C175" s="29"/>
      <c r="D175" s="33"/>
      <c r="E175" s="33"/>
      <c r="G175" s="29"/>
      <c r="H175" s="29"/>
      <c r="I175" s="29"/>
      <c r="J175" s="29"/>
      <c r="K175" s="29"/>
      <c r="L175" s="29"/>
      <c r="M175" s="29"/>
      <c r="N175" s="29"/>
      <c r="O175" s="29"/>
      <c r="P175" s="29"/>
      <c r="Q175" s="29"/>
      <c r="R175" s="29"/>
      <c r="S175" s="29"/>
      <c r="T175" s="29"/>
      <c r="U175" s="29"/>
      <c r="V175" s="29"/>
      <c r="W175" s="29"/>
      <c r="X175" s="29"/>
    </row>
    <row r="176" spans="1:24" ht="15">
      <c r="A176" s="29"/>
      <c r="B176" s="29"/>
      <c r="C176" s="29"/>
      <c r="D176" s="33"/>
      <c r="E176" s="33"/>
      <c r="G176" s="29"/>
      <c r="H176" s="29"/>
      <c r="I176" s="29"/>
      <c r="J176" s="29"/>
      <c r="K176" s="29"/>
      <c r="L176" s="29"/>
      <c r="M176" s="29"/>
      <c r="N176" s="29"/>
      <c r="O176" s="29"/>
      <c r="P176" s="29"/>
      <c r="Q176" s="29"/>
      <c r="R176" s="29"/>
      <c r="S176" s="29"/>
      <c r="T176" s="29"/>
      <c r="U176" s="29"/>
      <c r="V176" s="29"/>
      <c r="W176" s="29"/>
      <c r="X176" s="29"/>
    </row>
    <row r="177" spans="1:24" ht="15">
      <c r="A177" s="29"/>
      <c r="B177" s="29"/>
      <c r="C177" s="29"/>
      <c r="D177" s="33"/>
      <c r="E177" s="33"/>
      <c r="G177" s="29"/>
      <c r="H177" s="29"/>
      <c r="I177" s="29"/>
      <c r="J177" s="29"/>
      <c r="K177" s="29"/>
      <c r="L177" s="29"/>
      <c r="M177" s="29"/>
      <c r="N177" s="29"/>
      <c r="O177" s="29"/>
      <c r="P177" s="29"/>
      <c r="Q177" s="29"/>
      <c r="R177" s="29"/>
      <c r="S177" s="29"/>
      <c r="T177" s="29"/>
      <c r="U177" s="29"/>
      <c r="V177" s="29"/>
      <c r="W177" s="29"/>
      <c r="X177" s="29"/>
    </row>
    <row r="178" spans="1:24" ht="15">
      <c r="A178" s="29"/>
      <c r="B178" s="29"/>
      <c r="C178" s="29"/>
      <c r="D178" s="33"/>
      <c r="E178" s="33"/>
      <c r="G178" s="29"/>
      <c r="H178" s="29"/>
      <c r="I178" s="29"/>
      <c r="J178" s="29"/>
      <c r="K178" s="29"/>
      <c r="L178" s="29"/>
      <c r="M178" s="29"/>
      <c r="N178" s="29"/>
      <c r="O178" s="29"/>
      <c r="P178" s="29"/>
      <c r="Q178" s="29"/>
      <c r="R178" s="29"/>
      <c r="S178" s="29"/>
      <c r="T178" s="29"/>
      <c r="U178" s="29"/>
      <c r="V178" s="29"/>
      <c r="W178" s="29"/>
      <c r="X178" s="29"/>
    </row>
    <row r="179" spans="1:24" ht="15">
      <c r="A179" s="29"/>
      <c r="B179" s="29"/>
      <c r="C179" s="29"/>
      <c r="D179" s="33"/>
      <c r="E179" s="33"/>
      <c r="G179" s="29"/>
      <c r="H179" s="29"/>
      <c r="I179" s="29"/>
      <c r="J179" s="29"/>
      <c r="K179" s="29"/>
      <c r="L179" s="29"/>
      <c r="M179" s="29"/>
      <c r="N179" s="29"/>
      <c r="O179" s="29"/>
      <c r="P179" s="29"/>
      <c r="Q179" s="29"/>
      <c r="R179" s="29"/>
      <c r="S179" s="29"/>
      <c r="T179" s="29"/>
      <c r="U179" s="29"/>
      <c r="V179" s="29"/>
      <c r="W179" s="29"/>
      <c r="X179" s="29"/>
    </row>
    <row r="180" spans="1:24" ht="15">
      <c r="A180" s="29"/>
      <c r="B180" s="29"/>
      <c r="C180" s="29"/>
      <c r="D180" s="33"/>
      <c r="E180" s="33"/>
      <c r="G180" s="29"/>
      <c r="H180" s="29"/>
      <c r="I180" s="29"/>
      <c r="J180" s="29"/>
      <c r="K180" s="29"/>
      <c r="L180" s="29"/>
      <c r="M180" s="29"/>
      <c r="N180" s="29"/>
      <c r="O180" s="29"/>
      <c r="P180" s="29"/>
      <c r="Q180" s="29"/>
      <c r="R180" s="29"/>
      <c r="S180" s="29"/>
      <c r="T180" s="29"/>
      <c r="U180" s="29"/>
      <c r="V180" s="29"/>
      <c r="W180" s="29"/>
      <c r="X180" s="29"/>
    </row>
    <row r="181" spans="1:24" ht="15">
      <c r="A181" s="29"/>
      <c r="B181" s="29"/>
      <c r="C181" s="29"/>
      <c r="D181" s="33"/>
      <c r="E181" s="33"/>
      <c r="G181" s="29"/>
      <c r="H181" s="29"/>
      <c r="I181" s="29"/>
      <c r="J181" s="29"/>
      <c r="K181" s="29"/>
      <c r="L181" s="29"/>
      <c r="M181" s="29"/>
      <c r="N181" s="29"/>
      <c r="O181" s="29"/>
      <c r="P181" s="29"/>
      <c r="Q181" s="29"/>
      <c r="R181" s="29"/>
      <c r="S181" s="29"/>
      <c r="T181" s="29"/>
      <c r="U181" s="29"/>
      <c r="V181" s="29"/>
      <c r="W181" s="29"/>
      <c r="X181" s="29"/>
    </row>
    <row r="182" spans="1:24" ht="15">
      <c r="A182" s="29"/>
      <c r="B182" s="29"/>
      <c r="C182" s="29"/>
      <c r="D182" s="33"/>
      <c r="E182" s="33"/>
      <c r="G182" s="29"/>
      <c r="H182" s="29"/>
      <c r="I182" s="29"/>
      <c r="J182" s="29"/>
      <c r="K182" s="29"/>
      <c r="L182" s="29"/>
      <c r="M182" s="29"/>
      <c r="N182" s="29"/>
      <c r="O182" s="29"/>
      <c r="P182" s="29"/>
      <c r="Q182" s="29"/>
      <c r="R182" s="29"/>
      <c r="S182" s="29"/>
      <c r="T182" s="29"/>
      <c r="U182" s="29"/>
      <c r="V182" s="29"/>
      <c r="W182" s="29"/>
      <c r="X182" s="29"/>
    </row>
    <row r="183" spans="1:24" ht="15">
      <c r="A183" s="29"/>
      <c r="B183" s="29"/>
      <c r="C183" s="29"/>
      <c r="D183" s="33"/>
      <c r="E183" s="33"/>
      <c r="G183" s="29"/>
      <c r="H183" s="29"/>
      <c r="I183" s="29"/>
      <c r="J183" s="29"/>
      <c r="K183" s="29"/>
      <c r="L183" s="29"/>
      <c r="M183" s="29"/>
      <c r="N183" s="29"/>
      <c r="O183" s="29"/>
      <c r="P183" s="29"/>
      <c r="Q183" s="29"/>
      <c r="R183" s="29"/>
      <c r="S183" s="29"/>
      <c r="T183" s="29"/>
      <c r="U183" s="29"/>
      <c r="V183" s="29"/>
      <c r="W183" s="29"/>
      <c r="X183" s="29"/>
    </row>
    <row r="184" spans="1:24" ht="15">
      <c r="A184" s="29"/>
      <c r="B184" s="29"/>
      <c r="C184" s="29"/>
      <c r="D184" s="33"/>
      <c r="E184" s="33"/>
      <c r="G184" s="29"/>
      <c r="H184" s="29"/>
      <c r="I184" s="29"/>
      <c r="J184" s="29"/>
      <c r="K184" s="29"/>
      <c r="L184" s="29"/>
      <c r="M184" s="29"/>
      <c r="N184" s="29"/>
      <c r="O184" s="29"/>
      <c r="P184" s="29"/>
      <c r="Q184" s="29"/>
      <c r="R184" s="29"/>
      <c r="S184" s="29"/>
      <c r="T184" s="29"/>
      <c r="U184" s="29"/>
      <c r="V184" s="29"/>
      <c r="W184" s="29"/>
      <c r="X184" s="29"/>
    </row>
    <row r="185" spans="1:24" ht="15">
      <c r="A185" s="29"/>
      <c r="B185" s="29"/>
      <c r="C185" s="29"/>
      <c r="D185" s="33"/>
      <c r="E185" s="33"/>
      <c r="G185" s="29"/>
      <c r="H185" s="29"/>
      <c r="I185" s="29"/>
      <c r="J185" s="29"/>
      <c r="K185" s="29"/>
      <c r="L185" s="29"/>
      <c r="M185" s="29"/>
      <c r="N185" s="29"/>
      <c r="O185" s="29"/>
      <c r="P185" s="29"/>
      <c r="Q185" s="29"/>
      <c r="R185" s="29"/>
      <c r="S185" s="29"/>
      <c r="T185" s="29"/>
      <c r="U185" s="29"/>
      <c r="V185" s="29"/>
      <c r="W185" s="29"/>
      <c r="X185" s="29"/>
    </row>
    <row r="186" spans="1:24" ht="15">
      <c r="A186" s="29"/>
      <c r="B186" s="29"/>
      <c r="C186" s="29"/>
      <c r="D186" s="33"/>
      <c r="E186" s="33"/>
      <c r="G186" s="29"/>
      <c r="H186" s="29"/>
      <c r="I186" s="29"/>
      <c r="J186" s="29"/>
      <c r="K186" s="29"/>
      <c r="L186" s="29"/>
      <c r="M186" s="29"/>
      <c r="N186" s="29"/>
      <c r="O186" s="29"/>
      <c r="P186" s="29"/>
      <c r="Q186" s="29"/>
      <c r="R186" s="29"/>
      <c r="S186" s="29"/>
      <c r="T186" s="29"/>
      <c r="U186" s="29"/>
      <c r="V186" s="29"/>
      <c r="W186" s="29"/>
      <c r="X186" s="29"/>
    </row>
    <row r="187" spans="1:24" ht="15">
      <c r="A187" s="29"/>
      <c r="B187" s="29"/>
      <c r="C187" s="29"/>
      <c r="D187" s="33"/>
      <c r="E187" s="33"/>
      <c r="G187" s="29"/>
      <c r="H187" s="29"/>
      <c r="I187" s="29"/>
      <c r="J187" s="29"/>
      <c r="K187" s="29"/>
      <c r="L187" s="29"/>
      <c r="M187" s="29"/>
      <c r="N187" s="29"/>
      <c r="O187" s="29"/>
      <c r="P187" s="29"/>
      <c r="Q187" s="29"/>
      <c r="R187" s="29"/>
      <c r="S187" s="29"/>
      <c r="T187" s="29"/>
      <c r="U187" s="29"/>
      <c r="V187" s="29"/>
      <c r="W187" s="29"/>
      <c r="X187" s="29"/>
    </row>
    <row r="188" spans="1:24" ht="15">
      <c r="A188" s="29"/>
      <c r="B188" s="29"/>
      <c r="C188" s="29"/>
      <c r="D188" s="33"/>
      <c r="E188" s="33"/>
      <c r="G188" s="29"/>
      <c r="H188" s="29"/>
      <c r="I188" s="29"/>
      <c r="J188" s="29"/>
      <c r="K188" s="29"/>
      <c r="L188" s="29"/>
      <c r="M188" s="29"/>
      <c r="N188" s="29"/>
      <c r="O188" s="29"/>
      <c r="P188" s="29"/>
      <c r="Q188" s="29"/>
      <c r="R188" s="29"/>
      <c r="S188" s="29"/>
      <c r="T188" s="29"/>
      <c r="U188" s="29"/>
      <c r="V188" s="29"/>
      <c r="W188" s="29"/>
      <c r="X188" s="29"/>
    </row>
    <row r="189" spans="1:24" ht="15">
      <c r="A189" s="29"/>
      <c r="B189" s="29"/>
      <c r="C189" s="29"/>
      <c r="D189" s="33"/>
      <c r="E189" s="33"/>
      <c r="G189" s="29"/>
      <c r="H189" s="29"/>
      <c r="I189" s="29"/>
      <c r="J189" s="29"/>
      <c r="K189" s="29"/>
      <c r="L189" s="29"/>
      <c r="M189" s="29"/>
      <c r="N189" s="29"/>
      <c r="O189" s="29"/>
      <c r="P189" s="29"/>
      <c r="Q189" s="29"/>
      <c r="R189" s="29"/>
      <c r="S189" s="29"/>
      <c r="T189" s="29"/>
      <c r="U189" s="29"/>
      <c r="V189" s="29"/>
      <c r="W189" s="29"/>
      <c r="X189" s="29"/>
    </row>
    <row r="190" spans="1:24" ht="15">
      <c r="A190" s="29"/>
      <c r="B190" s="29"/>
      <c r="C190" s="29"/>
      <c r="D190" s="33"/>
      <c r="E190" s="33"/>
      <c r="G190" s="29"/>
      <c r="H190" s="29"/>
      <c r="I190" s="29"/>
      <c r="J190" s="29"/>
      <c r="K190" s="29"/>
      <c r="L190" s="29"/>
      <c r="M190" s="29"/>
      <c r="N190" s="29"/>
      <c r="O190" s="29"/>
      <c r="P190" s="29"/>
      <c r="Q190" s="29"/>
      <c r="R190" s="29"/>
      <c r="S190" s="29"/>
      <c r="T190" s="29"/>
      <c r="U190" s="29"/>
      <c r="V190" s="29"/>
      <c r="W190" s="29"/>
      <c r="X190" s="29"/>
    </row>
    <row r="191" spans="1:24" ht="15">
      <c r="A191" s="29"/>
      <c r="B191" s="29"/>
      <c r="C191" s="29"/>
      <c r="D191" s="33"/>
      <c r="E191" s="33"/>
      <c r="G191" s="29"/>
      <c r="H191" s="29"/>
      <c r="I191" s="29"/>
      <c r="J191" s="29"/>
      <c r="K191" s="29"/>
      <c r="L191" s="29"/>
      <c r="M191" s="29"/>
      <c r="N191" s="29"/>
      <c r="O191" s="29"/>
      <c r="P191" s="29"/>
      <c r="Q191" s="29"/>
      <c r="R191" s="29"/>
      <c r="S191" s="29"/>
      <c r="T191" s="29"/>
      <c r="U191" s="29"/>
      <c r="V191" s="29"/>
      <c r="W191" s="29"/>
      <c r="X191" s="29"/>
    </row>
    <row r="192" spans="1:24" ht="15">
      <c r="A192" s="29"/>
      <c r="B192" s="29"/>
      <c r="C192" s="29"/>
      <c r="D192" s="33"/>
      <c r="E192" s="33"/>
      <c r="G192" s="29"/>
      <c r="H192" s="29"/>
      <c r="I192" s="29"/>
      <c r="J192" s="29"/>
      <c r="K192" s="29"/>
      <c r="L192" s="29"/>
      <c r="M192" s="29"/>
      <c r="N192" s="29"/>
      <c r="O192" s="29"/>
      <c r="P192" s="29"/>
      <c r="Q192" s="29"/>
      <c r="R192" s="29"/>
      <c r="S192" s="29"/>
      <c r="T192" s="29"/>
      <c r="U192" s="29"/>
      <c r="V192" s="29"/>
      <c r="W192" s="29"/>
      <c r="X192" s="29"/>
    </row>
    <row r="193" spans="1:24" ht="15">
      <c r="A193" s="29"/>
      <c r="B193" s="29"/>
      <c r="C193" s="29"/>
      <c r="D193" s="33"/>
      <c r="E193" s="33"/>
      <c r="G193" s="29"/>
      <c r="H193" s="29"/>
      <c r="I193" s="29"/>
      <c r="J193" s="29"/>
      <c r="K193" s="29"/>
      <c r="L193" s="29"/>
      <c r="M193" s="29"/>
      <c r="N193" s="29"/>
      <c r="O193" s="29"/>
      <c r="P193" s="29"/>
      <c r="Q193" s="29"/>
      <c r="R193" s="29"/>
      <c r="S193" s="29"/>
      <c r="T193" s="29"/>
      <c r="U193" s="29"/>
      <c r="V193" s="29"/>
      <c r="W193" s="29"/>
      <c r="X193" s="29"/>
    </row>
    <row r="194" spans="1:24" ht="15">
      <c r="A194" s="29"/>
      <c r="B194" s="29"/>
      <c r="C194" s="29"/>
      <c r="D194" s="33"/>
      <c r="E194" s="33"/>
      <c r="G194" s="29"/>
      <c r="H194" s="29"/>
      <c r="I194" s="29"/>
      <c r="J194" s="29"/>
      <c r="K194" s="29"/>
      <c r="L194" s="29"/>
      <c r="M194" s="29"/>
      <c r="N194" s="29"/>
      <c r="O194" s="29"/>
      <c r="P194" s="29"/>
      <c r="Q194" s="29"/>
      <c r="R194" s="29"/>
      <c r="S194" s="29"/>
      <c r="T194" s="29"/>
      <c r="U194" s="29"/>
      <c r="V194" s="29"/>
      <c r="W194" s="29"/>
      <c r="X194" s="29"/>
    </row>
    <row r="195" spans="1:24" ht="15">
      <c r="A195" s="29"/>
      <c r="B195" s="29"/>
      <c r="C195" s="29"/>
      <c r="D195" s="33"/>
      <c r="E195" s="33"/>
      <c r="G195" s="29"/>
      <c r="H195" s="29"/>
      <c r="I195" s="29"/>
      <c r="J195" s="29"/>
      <c r="K195" s="29"/>
      <c r="L195" s="29"/>
      <c r="M195" s="29"/>
      <c r="N195" s="29"/>
      <c r="O195" s="29"/>
      <c r="P195" s="29"/>
      <c r="Q195" s="29"/>
      <c r="R195" s="29"/>
      <c r="S195" s="29"/>
      <c r="T195" s="29"/>
      <c r="U195" s="29"/>
      <c r="V195" s="29"/>
      <c r="W195" s="29"/>
      <c r="X195" s="29"/>
    </row>
    <row r="196" spans="1:24" ht="15">
      <c r="A196" s="29"/>
      <c r="B196" s="29"/>
      <c r="C196" s="29"/>
      <c r="D196" s="33"/>
      <c r="E196" s="33"/>
      <c r="G196" s="29"/>
      <c r="H196" s="29"/>
      <c r="I196" s="29"/>
      <c r="J196" s="29"/>
      <c r="K196" s="29"/>
      <c r="L196" s="29"/>
      <c r="M196" s="29"/>
      <c r="N196" s="29"/>
      <c r="O196" s="29"/>
      <c r="P196" s="29"/>
      <c r="Q196" s="29"/>
      <c r="R196" s="29"/>
      <c r="S196" s="29"/>
      <c r="T196" s="29"/>
      <c r="U196" s="29"/>
      <c r="V196" s="29"/>
      <c r="W196" s="29"/>
      <c r="X196" s="29"/>
    </row>
    <row r="197" spans="1:24" ht="15">
      <c r="A197" s="29"/>
      <c r="B197" s="29"/>
      <c r="C197" s="29"/>
      <c r="D197" s="33"/>
      <c r="E197" s="33"/>
      <c r="G197" s="29"/>
      <c r="H197" s="29"/>
      <c r="I197" s="29"/>
      <c r="J197" s="29"/>
      <c r="K197" s="29"/>
      <c r="L197" s="29"/>
      <c r="M197" s="29"/>
      <c r="N197" s="29"/>
      <c r="O197" s="29"/>
      <c r="P197" s="29"/>
      <c r="Q197" s="29"/>
      <c r="R197" s="29"/>
      <c r="S197" s="29"/>
      <c r="T197" s="29"/>
      <c r="U197" s="29"/>
      <c r="V197" s="29"/>
      <c r="W197" s="29"/>
      <c r="X197" s="29"/>
    </row>
    <row r="198" spans="1:24" ht="15">
      <c r="A198" s="29"/>
      <c r="B198" s="29"/>
      <c r="C198" s="29"/>
      <c r="D198" s="33"/>
      <c r="E198" s="33"/>
      <c r="G198" s="29"/>
      <c r="H198" s="29"/>
      <c r="I198" s="29"/>
      <c r="J198" s="29"/>
      <c r="K198" s="29"/>
      <c r="L198" s="29"/>
      <c r="M198" s="29"/>
      <c r="N198" s="29"/>
      <c r="O198" s="29"/>
      <c r="P198" s="29"/>
      <c r="Q198" s="29"/>
      <c r="R198" s="29"/>
      <c r="S198" s="29"/>
      <c r="T198" s="29"/>
      <c r="U198" s="29"/>
      <c r="V198" s="29"/>
      <c r="W198" s="29"/>
      <c r="X198" s="29"/>
    </row>
    <row r="199" spans="1:24" ht="15">
      <c r="A199" s="29"/>
      <c r="B199" s="29"/>
      <c r="C199" s="29"/>
      <c r="D199" s="33"/>
      <c r="E199" s="33"/>
      <c r="G199" s="29"/>
      <c r="H199" s="29"/>
      <c r="I199" s="29"/>
      <c r="J199" s="29"/>
      <c r="K199" s="29"/>
      <c r="L199" s="29"/>
      <c r="M199" s="29"/>
      <c r="N199" s="29"/>
      <c r="O199" s="29"/>
      <c r="P199" s="29"/>
      <c r="Q199" s="29"/>
      <c r="R199" s="29"/>
      <c r="S199" s="29"/>
      <c r="T199" s="29"/>
      <c r="U199" s="29"/>
      <c r="V199" s="29"/>
      <c r="W199" s="29"/>
      <c r="X199" s="29"/>
    </row>
    <row r="200" spans="1:24" ht="15">
      <c r="A200" s="29"/>
      <c r="B200" s="29"/>
      <c r="C200" s="29"/>
      <c r="D200" s="33"/>
      <c r="E200" s="33"/>
      <c r="G200" s="29"/>
      <c r="H200" s="29"/>
      <c r="I200" s="29"/>
      <c r="J200" s="29"/>
      <c r="K200" s="29"/>
      <c r="L200" s="29"/>
      <c r="M200" s="29"/>
      <c r="N200" s="29"/>
      <c r="O200" s="29"/>
      <c r="P200" s="29"/>
      <c r="Q200" s="29"/>
      <c r="R200" s="29"/>
      <c r="S200" s="29"/>
      <c r="T200" s="29"/>
      <c r="U200" s="29"/>
      <c r="V200" s="29"/>
      <c r="W200" s="29"/>
      <c r="X200" s="29"/>
    </row>
    <row r="201" spans="1:24" ht="15">
      <c r="A201" s="29"/>
      <c r="B201" s="29"/>
      <c r="C201" s="29"/>
      <c r="D201" s="33"/>
      <c r="E201" s="33"/>
      <c r="G201" s="29"/>
      <c r="H201" s="29"/>
      <c r="I201" s="29"/>
      <c r="J201" s="29"/>
      <c r="K201" s="29"/>
      <c r="L201" s="29"/>
      <c r="M201" s="29"/>
      <c r="N201" s="29"/>
      <c r="O201" s="29"/>
      <c r="P201" s="29"/>
      <c r="Q201" s="29"/>
      <c r="R201" s="29"/>
      <c r="S201" s="29"/>
      <c r="T201" s="29"/>
      <c r="U201" s="29"/>
      <c r="V201" s="29"/>
      <c r="W201" s="29"/>
      <c r="X201" s="29"/>
    </row>
    <row r="202" spans="1:24" ht="15">
      <c r="A202" s="29"/>
      <c r="B202" s="29"/>
      <c r="C202" s="29"/>
      <c r="D202" s="33"/>
      <c r="E202" s="33"/>
      <c r="G202" s="29"/>
      <c r="H202" s="29"/>
      <c r="I202" s="29"/>
      <c r="J202" s="29"/>
      <c r="K202" s="29"/>
      <c r="L202" s="29"/>
      <c r="M202" s="29"/>
      <c r="N202" s="29"/>
      <c r="O202" s="29"/>
      <c r="P202" s="29"/>
      <c r="Q202" s="29"/>
      <c r="R202" s="29"/>
      <c r="S202" s="29"/>
      <c r="T202" s="29"/>
      <c r="U202" s="29"/>
      <c r="V202" s="29"/>
      <c r="W202" s="29"/>
      <c r="X202" s="29"/>
    </row>
    <row r="203" spans="1:24" ht="15">
      <c r="A203" s="29"/>
      <c r="B203" s="29"/>
      <c r="C203" s="29"/>
      <c r="D203" s="33"/>
      <c r="E203" s="33"/>
      <c r="G203" s="29"/>
      <c r="H203" s="29"/>
      <c r="I203" s="29"/>
      <c r="J203" s="29"/>
      <c r="K203" s="29"/>
      <c r="L203" s="29"/>
      <c r="M203" s="29"/>
      <c r="N203" s="29"/>
      <c r="O203" s="29"/>
      <c r="P203" s="29"/>
      <c r="Q203" s="29"/>
      <c r="R203" s="29"/>
      <c r="S203" s="29"/>
      <c r="T203" s="29"/>
      <c r="U203" s="29"/>
      <c r="V203" s="29"/>
      <c r="W203" s="29"/>
      <c r="X203" s="29"/>
    </row>
    <row r="204" spans="1:24" ht="15">
      <c r="A204" s="29"/>
      <c r="B204" s="29"/>
      <c r="C204" s="29"/>
      <c r="D204" s="33"/>
      <c r="E204" s="33"/>
      <c r="G204" s="29"/>
      <c r="H204" s="29"/>
      <c r="I204" s="29"/>
      <c r="J204" s="29"/>
      <c r="K204" s="29"/>
      <c r="L204" s="29"/>
      <c r="M204" s="29"/>
      <c r="N204" s="29"/>
      <c r="O204" s="29"/>
      <c r="P204" s="29"/>
      <c r="Q204" s="29"/>
      <c r="R204" s="29"/>
      <c r="S204" s="29"/>
      <c r="T204" s="29"/>
      <c r="U204" s="29"/>
      <c r="V204" s="29"/>
      <c r="W204" s="29"/>
      <c r="X204" s="29"/>
    </row>
    <row r="205" spans="1:24" ht="15">
      <c r="A205" s="29"/>
      <c r="B205" s="29"/>
      <c r="C205" s="29"/>
      <c r="D205" s="33"/>
      <c r="E205" s="33"/>
      <c r="G205" s="29"/>
      <c r="H205" s="29"/>
      <c r="I205" s="29"/>
      <c r="J205" s="29"/>
      <c r="K205" s="29"/>
      <c r="L205" s="29"/>
      <c r="M205" s="29"/>
      <c r="N205" s="29"/>
      <c r="O205" s="29"/>
      <c r="P205" s="29"/>
      <c r="Q205" s="29"/>
      <c r="R205" s="29"/>
      <c r="S205" s="29"/>
      <c r="T205" s="29"/>
      <c r="U205" s="29"/>
      <c r="V205" s="29"/>
      <c r="W205" s="29"/>
      <c r="X205" s="29"/>
    </row>
    <row r="206" spans="1:24" ht="15">
      <c r="A206" s="29"/>
      <c r="B206" s="29"/>
      <c r="C206" s="29"/>
      <c r="D206" s="33"/>
      <c r="E206" s="33"/>
      <c r="G206" s="29"/>
      <c r="H206" s="29"/>
      <c r="I206" s="29"/>
      <c r="J206" s="29"/>
      <c r="K206" s="29"/>
      <c r="L206" s="29"/>
      <c r="M206" s="29"/>
      <c r="N206" s="29"/>
      <c r="O206" s="29"/>
      <c r="P206" s="29"/>
      <c r="Q206" s="29"/>
      <c r="R206" s="29"/>
      <c r="S206" s="29"/>
      <c r="T206" s="29"/>
      <c r="U206" s="29"/>
      <c r="V206" s="29"/>
      <c r="W206" s="29"/>
      <c r="X206" s="29"/>
    </row>
    <row r="207" spans="1:24" ht="15">
      <c r="A207" s="29"/>
      <c r="B207" s="29"/>
      <c r="C207" s="29"/>
      <c r="D207" s="33"/>
      <c r="E207" s="33"/>
      <c r="G207" s="29"/>
      <c r="H207" s="29"/>
      <c r="I207" s="29"/>
      <c r="J207" s="29"/>
      <c r="K207" s="29"/>
      <c r="L207" s="29"/>
      <c r="M207" s="29"/>
      <c r="N207" s="29"/>
      <c r="O207" s="29"/>
      <c r="P207" s="29"/>
      <c r="Q207" s="29"/>
      <c r="R207" s="29"/>
      <c r="S207" s="29"/>
      <c r="T207" s="29"/>
      <c r="U207" s="29"/>
      <c r="V207" s="29"/>
      <c r="W207" s="29"/>
      <c r="X207" s="29"/>
    </row>
    <row r="208" spans="1:24" ht="15">
      <c r="A208" s="29"/>
      <c r="B208" s="29"/>
      <c r="C208" s="29"/>
      <c r="D208" s="33"/>
      <c r="E208" s="33"/>
      <c r="G208" s="29"/>
      <c r="H208" s="29"/>
      <c r="I208" s="29"/>
      <c r="J208" s="29"/>
      <c r="K208" s="29"/>
      <c r="L208" s="29"/>
      <c r="M208" s="29"/>
      <c r="N208" s="29"/>
      <c r="O208" s="29"/>
      <c r="P208" s="29"/>
      <c r="Q208" s="29"/>
      <c r="R208" s="29"/>
      <c r="S208" s="29"/>
      <c r="T208" s="29"/>
      <c r="U208" s="29"/>
      <c r="V208" s="29"/>
      <c r="W208" s="29"/>
      <c r="X208" s="29"/>
    </row>
    <row r="209" spans="1:24" ht="15">
      <c r="A209" s="29"/>
      <c r="B209" s="29"/>
      <c r="C209" s="29"/>
      <c r="D209" s="33"/>
      <c r="E209" s="33"/>
      <c r="G209" s="29"/>
      <c r="H209" s="29"/>
      <c r="I209" s="29"/>
      <c r="J209" s="29"/>
      <c r="K209" s="29"/>
      <c r="L209" s="29"/>
      <c r="M209" s="29"/>
      <c r="N209" s="29"/>
      <c r="O209" s="29"/>
      <c r="P209" s="29"/>
      <c r="Q209" s="29"/>
      <c r="R209" s="29"/>
      <c r="S209" s="29"/>
      <c r="T209" s="29"/>
      <c r="U209" s="29"/>
      <c r="V209" s="29"/>
      <c r="W209" s="29"/>
      <c r="X209" s="29"/>
    </row>
    <row r="210" spans="1:24" ht="15">
      <c r="A210" s="29"/>
      <c r="B210" s="29"/>
      <c r="C210" s="29"/>
      <c r="D210" s="33"/>
      <c r="E210" s="33"/>
      <c r="G210" s="29"/>
      <c r="H210" s="29"/>
      <c r="I210" s="29"/>
      <c r="J210" s="29"/>
      <c r="K210" s="29"/>
      <c r="L210" s="29"/>
      <c r="M210" s="29"/>
      <c r="N210" s="29"/>
      <c r="O210" s="29"/>
      <c r="P210" s="29"/>
      <c r="Q210" s="29"/>
      <c r="R210" s="29"/>
      <c r="S210" s="29"/>
      <c r="T210" s="29"/>
      <c r="U210" s="29"/>
      <c r="V210" s="29"/>
      <c r="W210" s="29"/>
      <c r="X210" s="29"/>
    </row>
    <row r="211" spans="1:24" ht="15">
      <c r="A211" s="29"/>
      <c r="B211" s="29"/>
      <c r="C211" s="29"/>
      <c r="D211" s="33"/>
      <c r="E211" s="33"/>
      <c r="G211" s="29"/>
      <c r="H211" s="29"/>
      <c r="I211" s="29"/>
      <c r="J211" s="29"/>
      <c r="K211" s="29"/>
      <c r="L211" s="29"/>
      <c r="M211" s="29"/>
      <c r="N211" s="29"/>
      <c r="O211" s="29"/>
      <c r="P211" s="29"/>
      <c r="Q211" s="29"/>
      <c r="R211" s="29"/>
      <c r="S211" s="29"/>
      <c r="T211" s="29"/>
      <c r="U211" s="29"/>
      <c r="V211" s="29"/>
      <c r="W211" s="29"/>
      <c r="X211" s="29"/>
    </row>
    <row r="212" spans="1:24" ht="15">
      <c r="A212" s="29"/>
      <c r="B212" s="29"/>
      <c r="C212" s="29"/>
      <c r="D212" s="33"/>
      <c r="E212" s="33"/>
      <c r="G212" s="29"/>
      <c r="H212" s="29"/>
      <c r="I212" s="29"/>
      <c r="J212" s="29"/>
      <c r="K212" s="29"/>
      <c r="L212" s="29"/>
      <c r="M212" s="29"/>
      <c r="N212" s="29"/>
      <c r="O212" s="29"/>
      <c r="P212" s="29"/>
      <c r="Q212" s="29"/>
      <c r="R212" s="29"/>
      <c r="S212" s="29"/>
      <c r="T212" s="29"/>
      <c r="U212" s="29"/>
      <c r="V212" s="29"/>
      <c r="W212" s="29"/>
      <c r="X212" s="29"/>
    </row>
    <row r="213" spans="1:24" ht="15">
      <c r="A213" s="29"/>
      <c r="B213" s="29"/>
      <c r="C213" s="29"/>
      <c r="D213" s="33"/>
      <c r="E213" s="33"/>
      <c r="G213" s="29"/>
      <c r="H213" s="29"/>
      <c r="I213" s="29"/>
      <c r="J213" s="29"/>
      <c r="K213" s="29"/>
      <c r="L213" s="29"/>
      <c r="M213" s="29"/>
      <c r="N213" s="29"/>
      <c r="O213" s="29"/>
      <c r="P213" s="29"/>
      <c r="Q213" s="29"/>
      <c r="R213" s="29"/>
      <c r="S213" s="29"/>
      <c r="T213" s="29"/>
      <c r="U213" s="29"/>
      <c r="V213" s="29"/>
      <c r="W213" s="29"/>
      <c r="X213" s="29"/>
    </row>
    <row r="214" spans="1:24" ht="15">
      <c r="A214" s="29"/>
      <c r="B214" s="29"/>
      <c r="C214" s="29"/>
      <c r="D214" s="33"/>
      <c r="E214" s="33"/>
      <c r="G214" s="29"/>
      <c r="H214" s="29"/>
      <c r="I214" s="29"/>
      <c r="J214" s="29"/>
      <c r="K214" s="29"/>
      <c r="L214" s="29"/>
      <c r="M214" s="29"/>
      <c r="N214" s="29"/>
      <c r="O214" s="29"/>
      <c r="P214" s="29"/>
      <c r="Q214" s="29"/>
      <c r="R214" s="29"/>
      <c r="S214" s="29"/>
      <c r="T214" s="29"/>
      <c r="U214" s="29"/>
      <c r="V214" s="29"/>
      <c r="W214" s="29"/>
      <c r="X214" s="29"/>
    </row>
    <row r="215" spans="1:24" ht="15">
      <c r="A215" s="29"/>
      <c r="B215" s="29"/>
      <c r="C215" s="29"/>
      <c r="D215" s="33"/>
      <c r="E215" s="33"/>
      <c r="G215" s="29"/>
      <c r="H215" s="29"/>
      <c r="I215" s="29"/>
      <c r="J215" s="29"/>
      <c r="K215" s="29"/>
      <c r="L215" s="29"/>
      <c r="M215" s="29"/>
      <c r="N215" s="29"/>
      <c r="O215" s="29"/>
      <c r="P215" s="29"/>
      <c r="Q215" s="29"/>
      <c r="R215" s="29"/>
      <c r="S215" s="29"/>
      <c r="T215" s="29"/>
      <c r="U215" s="29"/>
      <c r="V215" s="29"/>
      <c r="W215" s="29"/>
      <c r="X215" s="29"/>
    </row>
    <row r="216" spans="1:24" ht="15">
      <c r="A216" s="29"/>
      <c r="B216" s="29"/>
      <c r="C216" s="29"/>
      <c r="D216" s="33"/>
      <c r="E216" s="33"/>
      <c r="G216" s="29"/>
      <c r="H216" s="29"/>
      <c r="I216" s="29"/>
      <c r="J216" s="29"/>
      <c r="K216" s="29"/>
      <c r="L216" s="29"/>
      <c r="M216" s="29"/>
      <c r="N216" s="29"/>
      <c r="O216" s="29"/>
      <c r="P216" s="29"/>
      <c r="Q216" s="29"/>
      <c r="R216" s="29"/>
      <c r="S216" s="29"/>
      <c r="T216" s="29"/>
      <c r="U216" s="29"/>
      <c r="V216" s="29"/>
      <c r="W216" s="29"/>
      <c r="X216" s="29"/>
    </row>
    <row r="217" spans="1:24" ht="15">
      <c r="A217" s="29"/>
      <c r="B217" s="29"/>
      <c r="C217" s="29"/>
      <c r="D217" s="33"/>
      <c r="E217" s="33"/>
      <c r="G217" s="29"/>
      <c r="H217" s="29"/>
      <c r="I217" s="29"/>
      <c r="J217" s="29"/>
      <c r="K217" s="29"/>
      <c r="L217" s="29"/>
      <c r="M217" s="29"/>
      <c r="N217" s="29"/>
      <c r="O217" s="29"/>
      <c r="P217" s="29"/>
      <c r="Q217" s="29"/>
      <c r="R217" s="29"/>
      <c r="S217" s="29"/>
      <c r="T217" s="29"/>
      <c r="U217" s="29"/>
      <c r="V217" s="29"/>
      <c r="W217" s="29"/>
      <c r="X217" s="29"/>
    </row>
    <row r="218" spans="1:24" ht="15">
      <c r="A218" s="29"/>
      <c r="B218" s="29"/>
      <c r="C218" s="29"/>
      <c r="D218" s="33"/>
      <c r="E218" s="33"/>
      <c r="G218" s="29"/>
      <c r="H218" s="29"/>
      <c r="I218" s="29"/>
      <c r="J218" s="29"/>
      <c r="K218" s="29"/>
      <c r="L218" s="29"/>
      <c r="M218" s="29"/>
      <c r="N218" s="29"/>
      <c r="O218" s="29"/>
      <c r="P218" s="29"/>
      <c r="Q218" s="29"/>
      <c r="R218" s="29"/>
      <c r="S218" s="29"/>
      <c r="T218" s="29"/>
      <c r="U218" s="29"/>
      <c r="V218" s="29"/>
      <c r="W218" s="29"/>
      <c r="X218" s="29"/>
    </row>
    <row r="219" spans="1:24" ht="15">
      <c r="A219" s="29"/>
      <c r="B219" s="29"/>
      <c r="C219" s="29"/>
      <c r="D219" s="33"/>
      <c r="E219" s="33"/>
      <c r="G219" s="29"/>
      <c r="H219" s="29"/>
      <c r="I219" s="29"/>
      <c r="J219" s="29"/>
      <c r="K219" s="29"/>
      <c r="L219" s="29"/>
      <c r="M219" s="29"/>
      <c r="N219" s="29"/>
      <c r="O219" s="29"/>
      <c r="P219" s="29"/>
      <c r="Q219" s="29"/>
      <c r="R219" s="29"/>
      <c r="S219" s="29"/>
      <c r="T219" s="29"/>
      <c r="U219" s="29"/>
      <c r="V219" s="29"/>
      <c r="W219" s="29"/>
      <c r="X219" s="29"/>
    </row>
    <row r="220" spans="1:24" ht="15">
      <c r="A220" s="29"/>
      <c r="B220" s="29"/>
      <c r="C220" s="29"/>
      <c r="D220" s="33"/>
      <c r="E220" s="33"/>
      <c r="G220" s="29"/>
      <c r="H220" s="29"/>
      <c r="I220" s="29"/>
      <c r="J220" s="29"/>
      <c r="K220" s="29"/>
      <c r="L220" s="29"/>
      <c r="M220" s="29"/>
      <c r="N220" s="29"/>
      <c r="O220" s="29"/>
      <c r="P220" s="29"/>
      <c r="Q220" s="29"/>
      <c r="R220" s="29"/>
      <c r="S220" s="29"/>
      <c r="T220" s="29"/>
      <c r="U220" s="29"/>
      <c r="V220" s="29"/>
      <c r="W220" s="29"/>
      <c r="X220" s="29"/>
    </row>
    <row r="221" spans="1:24" ht="15">
      <c r="A221" s="29"/>
      <c r="B221" s="29"/>
      <c r="C221" s="29"/>
      <c r="D221" s="33"/>
      <c r="E221" s="33"/>
      <c r="G221" s="29"/>
      <c r="H221" s="29"/>
      <c r="I221" s="29"/>
      <c r="J221" s="29"/>
      <c r="K221" s="29"/>
      <c r="L221" s="29"/>
      <c r="M221" s="29"/>
      <c r="N221" s="29"/>
      <c r="O221" s="29"/>
      <c r="P221" s="29"/>
      <c r="Q221" s="29"/>
      <c r="R221" s="29"/>
      <c r="S221" s="29"/>
      <c r="T221" s="29"/>
      <c r="U221" s="29"/>
      <c r="V221" s="29"/>
      <c r="W221" s="29"/>
      <c r="X221" s="29"/>
    </row>
    <row r="222" spans="1:24" ht="15">
      <c r="A222" s="29"/>
      <c r="B222" s="29"/>
      <c r="C222" s="29"/>
      <c r="D222" s="33"/>
      <c r="E222" s="33"/>
      <c r="G222" s="29"/>
      <c r="H222" s="29"/>
      <c r="I222" s="29"/>
      <c r="J222" s="29"/>
      <c r="K222" s="29"/>
      <c r="L222" s="29"/>
      <c r="M222" s="29"/>
      <c r="N222" s="29"/>
      <c r="O222" s="29"/>
      <c r="P222" s="29"/>
      <c r="Q222" s="29"/>
      <c r="R222" s="29"/>
      <c r="S222" s="29"/>
      <c r="T222" s="29"/>
      <c r="U222" s="29"/>
      <c r="V222" s="29"/>
      <c r="W222" s="29"/>
      <c r="X222" s="29"/>
    </row>
    <row r="223" spans="1:24" ht="15">
      <c r="A223" s="29"/>
      <c r="B223" s="29"/>
      <c r="C223" s="29"/>
      <c r="D223" s="33"/>
      <c r="E223" s="33"/>
      <c r="G223" s="29"/>
      <c r="H223" s="29"/>
      <c r="I223" s="29"/>
      <c r="J223" s="29"/>
      <c r="K223" s="29"/>
      <c r="L223" s="29"/>
      <c r="M223" s="29"/>
      <c r="N223" s="29"/>
      <c r="O223" s="29"/>
      <c r="P223" s="29"/>
      <c r="Q223" s="29"/>
      <c r="R223" s="29"/>
      <c r="S223" s="29"/>
      <c r="T223" s="29"/>
      <c r="U223" s="29"/>
      <c r="V223" s="29"/>
      <c r="W223" s="29"/>
      <c r="X223" s="29"/>
    </row>
    <row r="224" spans="1:24" ht="15">
      <c r="A224" s="29"/>
      <c r="B224" s="29"/>
      <c r="C224" s="29"/>
      <c r="D224" s="33"/>
      <c r="E224" s="33"/>
      <c r="G224" s="29"/>
      <c r="H224" s="29"/>
      <c r="I224" s="29"/>
      <c r="J224" s="29"/>
      <c r="K224" s="29"/>
      <c r="L224" s="29"/>
      <c r="M224" s="29"/>
      <c r="N224" s="29"/>
      <c r="O224" s="29"/>
      <c r="P224" s="29"/>
      <c r="Q224" s="29"/>
      <c r="R224" s="29"/>
      <c r="S224" s="29"/>
      <c r="T224" s="29"/>
      <c r="U224" s="29"/>
      <c r="V224" s="29"/>
      <c r="W224" s="29"/>
      <c r="X224" s="29"/>
    </row>
    <row r="225" spans="1:24" ht="15">
      <c r="A225" s="29"/>
      <c r="B225" s="29"/>
      <c r="C225" s="29"/>
      <c r="D225" s="33"/>
      <c r="E225" s="33"/>
      <c r="G225" s="29"/>
      <c r="H225" s="29"/>
      <c r="I225" s="29"/>
      <c r="J225" s="29"/>
      <c r="K225" s="29"/>
      <c r="L225" s="29"/>
      <c r="M225" s="29"/>
      <c r="N225" s="29"/>
      <c r="O225" s="29"/>
      <c r="P225" s="29"/>
      <c r="Q225" s="29"/>
      <c r="R225" s="29"/>
      <c r="S225" s="29"/>
      <c r="T225" s="29"/>
      <c r="U225" s="29"/>
      <c r="V225" s="29"/>
      <c r="W225" s="29"/>
      <c r="X225" s="29"/>
    </row>
    <row r="226" spans="1:24" ht="15">
      <c r="A226" s="29"/>
      <c r="B226" s="29"/>
      <c r="C226" s="29"/>
      <c r="D226" s="33"/>
      <c r="E226" s="33"/>
      <c r="G226" s="29"/>
      <c r="H226" s="29"/>
      <c r="I226" s="29"/>
      <c r="J226" s="29"/>
      <c r="K226" s="29"/>
      <c r="L226" s="29"/>
      <c r="M226" s="29"/>
      <c r="N226" s="29"/>
      <c r="O226" s="29"/>
      <c r="P226" s="29"/>
      <c r="Q226" s="29"/>
      <c r="R226" s="29"/>
      <c r="S226" s="29"/>
      <c r="T226" s="29"/>
      <c r="U226" s="29"/>
      <c r="V226" s="29"/>
      <c r="W226" s="29"/>
      <c r="X226" s="29"/>
    </row>
    <row r="227" spans="1:24" ht="15">
      <c r="A227" s="29"/>
      <c r="B227" s="29"/>
      <c r="C227" s="29"/>
      <c r="D227" s="33"/>
      <c r="E227" s="33"/>
      <c r="G227" s="29"/>
      <c r="H227" s="29"/>
      <c r="I227" s="29"/>
      <c r="J227" s="29"/>
      <c r="K227" s="29"/>
      <c r="L227" s="29"/>
      <c r="M227" s="29"/>
      <c r="N227" s="29"/>
      <c r="O227" s="29"/>
      <c r="P227" s="29"/>
      <c r="Q227" s="29"/>
      <c r="R227" s="29"/>
      <c r="S227" s="29"/>
      <c r="T227" s="29"/>
      <c r="U227" s="29"/>
      <c r="V227" s="29"/>
      <c r="W227" s="29"/>
      <c r="X227" s="29"/>
    </row>
    <row r="228" spans="1:24" ht="15">
      <c r="A228" s="29"/>
      <c r="B228" s="29"/>
      <c r="C228" s="29"/>
      <c r="D228" s="33"/>
      <c r="E228" s="33"/>
      <c r="G228" s="29"/>
      <c r="H228" s="29"/>
      <c r="I228" s="29"/>
      <c r="J228" s="29"/>
      <c r="K228" s="29"/>
      <c r="L228" s="29"/>
      <c r="M228" s="29"/>
      <c r="N228" s="29"/>
      <c r="O228" s="29"/>
      <c r="P228" s="29"/>
      <c r="Q228" s="29"/>
      <c r="R228" s="29"/>
      <c r="S228" s="29"/>
      <c r="T228" s="29"/>
      <c r="U228" s="29"/>
      <c r="V228" s="29"/>
      <c r="W228" s="29"/>
      <c r="X228" s="29"/>
    </row>
    <row r="229" spans="1:24" ht="15">
      <c r="A229" s="29"/>
      <c r="B229" s="29"/>
      <c r="C229" s="29"/>
      <c r="D229" s="33"/>
      <c r="E229" s="33"/>
      <c r="G229" s="29"/>
      <c r="H229" s="29"/>
      <c r="I229" s="29"/>
      <c r="J229" s="29"/>
      <c r="K229" s="29"/>
      <c r="L229" s="29"/>
      <c r="M229" s="29"/>
      <c r="N229" s="29"/>
      <c r="O229" s="29"/>
      <c r="P229" s="29"/>
      <c r="Q229" s="29"/>
      <c r="R229" s="29"/>
      <c r="S229" s="29"/>
      <c r="T229" s="29"/>
      <c r="U229" s="29"/>
      <c r="V229" s="29"/>
      <c r="W229" s="29"/>
      <c r="X229" s="29"/>
    </row>
    <row r="230" spans="1:24" ht="15">
      <c r="A230" s="29"/>
      <c r="B230" s="29"/>
      <c r="C230" s="29"/>
      <c r="D230" s="33"/>
      <c r="E230" s="33"/>
      <c r="G230" s="29"/>
      <c r="H230" s="29"/>
      <c r="I230" s="29"/>
      <c r="J230" s="29"/>
      <c r="K230" s="29"/>
      <c r="L230" s="29"/>
      <c r="M230" s="29"/>
      <c r="N230" s="29"/>
      <c r="O230" s="29"/>
      <c r="P230" s="29"/>
      <c r="Q230" s="29"/>
      <c r="R230" s="29"/>
      <c r="S230" s="29"/>
      <c r="T230" s="29"/>
      <c r="U230" s="29"/>
      <c r="V230" s="29"/>
      <c r="W230" s="29"/>
      <c r="X230" s="29"/>
    </row>
    <row r="231" spans="1:24" ht="15">
      <c r="A231" s="29"/>
      <c r="B231" s="29"/>
      <c r="C231" s="29"/>
      <c r="D231" s="33"/>
      <c r="E231" s="33"/>
      <c r="G231" s="29"/>
      <c r="H231" s="29"/>
      <c r="I231" s="29"/>
      <c r="J231" s="29"/>
      <c r="K231" s="29"/>
      <c r="L231" s="29"/>
      <c r="M231" s="29"/>
      <c r="N231" s="29"/>
      <c r="O231" s="29"/>
      <c r="P231" s="29"/>
      <c r="Q231" s="29"/>
      <c r="R231" s="29"/>
      <c r="S231" s="29"/>
      <c r="T231" s="29"/>
      <c r="U231" s="29"/>
      <c r="V231" s="29"/>
      <c r="W231" s="29"/>
      <c r="X231" s="29"/>
    </row>
    <row r="232" spans="1:24" ht="15">
      <c r="A232" s="29"/>
      <c r="B232" s="29"/>
      <c r="C232" s="29"/>
      <c r="D232" s="33"/>
      <c r="E232" s="33"/>
      <c r="G232" s="29"/>
      <c r="H232" s="29"/>
      <c r="I232" s="29"/>
      <c r="J232" s="29"/>
      <c r="K232" s="29"/>
      <c r="L232" s="29"/>
      <c r="M232" s="29"/>
      <c r="N232" s="29"/>
      <c r="O232" s="29"/>
      <c r="P232" s="29"/>
      <c r="Q232" s="29"/>
      <c r="R232" s="29"/>
      <c r="S232" s="29"/>
      <c r="T232" s="29"/>
      <c r="U232" s="29"/>
      <c r="V232" s="29"/>
      <c r="W232" s="29"/>
      <c r="X232" s="29"/>
    </row>
    <row r="233" spans="1:24" ht="15">
      <c r="A233" s="29"/>
      <c r="B233" s="29"/>
      <c r="C233" s="29"/>
      <c r="D233" s="33"/>
      <c r="E233" s="33"/>
      <c r="G233" s="29"/>
      <c r="H233" s="29"/>
      <c r="I233" s="29"/>
      <c r="J233" s="29"/>
      <c r="K233" s="29"/>
      <c r="L233" s="29"/>
      <c r="M233" s="29"/>
      <c r="N233" s="29"/>
      <c r="O233" s="29"/>
      <c r="P233" s="29"/>
      <c r="Q233" s="29"/>
      <c r="R233" s="29"/>
      <c r="S233" s="29"/>
      <c r="T233" s="29"/>
      <c r="U233" s="29"/>
      <c r="V233" s="29"/>
      <c r="W233" s="29"/>
      <c r="X233" s="29"/>
    </row>
    <row r="234" spans="1:24" ht="15">
      <c r="A234" s="29"/>
      <c r="B234" s="29"/>
      <c r="C234" s="29"/>
      <c r="D234" s="33"/>
      <c r="E234" s="33"/>
      <c r="G234" s="29"/>
      <c r="H234" s="29"/>
      <c r="I234" s="29"/>
      <c r="J234" s="29"/>
      <c r="K234" s="29"/>
      <c r="L234" s="29"/>
      <c r="M234" s="29"/>
      <c r="N234" s="29"/>
      <c r="O234" s="29"/>
      <c r="P234" s="29"/>
      <c r="Q234" s="29"/>
      <c r="R234" s="29"/>
      <c r="S234" s="29"/>
      <c r="T234" s="29"/>
      <c r="U234" s="29"/>
      <c r="V234" s="29"/>
      <c r="W234" s="29"/>
      <c r="X234" s="29"/>
    </row>
    <row r="235" spans="1:24" ht="15">
      <c r="A235" s="29"/>
      <c r="B235" s="29"/>
      <c r="C235" s="29"/>
      <c r="D235" s="33"/>
      <c r="E235" s="33"/>
      <c r="G235" s="29"/>
      <c r="H235" s="29"/>
      <c r="I235" s="29"/>
      <c r="J235" s="29"/>
      <c r="K235" s="29"/>
      <c r="L235" s="29"/>
      <c r="M235" s="29"/>
      <c r="N235" s="29"/>
      <c r="O235" s="29"/>
      <c r="P235" s="29"/>
      <c r="Q235" s="29"/>
      <c r="R235" s="29"/>
      <c r="S235" s="29"/>
      <c r="T235" s="29"/>
      <c r="U235" s="29"/>
      <c r="V235" s="29"/>
      <c r="W235" s="29"/>
      <c r="X235" s="29"/>
    </row>
    <row r="236" spans="1:24" ht="15">
      <c r="A236" s="29"/>
      <c r="B236" s="29"/>
      <c r="C236" s="29"/>
      <c r="D236" s="33"/>
      <c r="E236" s="33"/>
      <c r="G236" s="29"/>
      <c r="H236" s="29"/>
      <c r="I236" s="29"/>
      <c r="J236" s="29"/>
      <c r="K236" s="29"/>
      <c r="L236" s="29"/>
      <c r="M236" s="29"/>
      <c r="N236" s="29"/>
      <c r="O236" s="29"/>
      <c r="P236" s="29"/>
      <c r="Q236" s="29"/>
      <c r="R236" s="29"/>
      <c r="S236" s="29"/>
      <c r="T236" s="29"/>
      <c r="U236" s="29"/>
      <c r="V236" s="29"/>
      <c r="W236" s="29"/>
      <c r="X236" s="29"/>
    </row>
    <row r="237" spans="1:24" ht="15">
      <c r="A237" s="29"/>
      <c r="B237" s="29"/>
      <c r="C237" s="29"/>
      <c r="D237" s="33"/>
      <c r="E237" s="33"/>
      <c r="G237" s="29"/>
      <c r="H237" s="29"/>
      <c r="I237" s="29"/>
      <c r="J237" s="29"/>
      <c r="K237" s="29"/>
      <c r="L237" s="29"/>
      <c r="M237" s="29"/>
      <c r="N237" s="29"/>
      <c r="O237" s="29"/>
      <c r="P237" s="29"/>
      <c r="Q237" s="29"/>
      <c r="R237" s="29"/>
      <c r="S237" s="29"/>
      <c r="T237" s="29"/>
      <c r="U237" s="29"/>
      <c r="V237" s="29"/>
      <c r="W237" s="29"/>
      <c r="X237" s="29"/>
    </row>
    <row r="238" spans="1:24" ht="15">
      <c r="A238" s="29"/>
      <c r="B238" s="29"/>
      <c r="C238" s="29"/>
      <c r="D238" s="33"/>
      <c r="E238" s="33"/>
      <c r="G238" s="29"/>
      <c r="H238" s="29"/>
      <c r="I238" s="29"/>
      <c r="J238" s="29"/>
      <c r="K238" s="29"/>
      <c r="L238" s="29"/>
      <c r="M238" s="29"/>
      <c r="N238" s="29"/>
      <c r="O238" s="29"/>
      <c r="P238" s="29"/>
      <c r="Q238" s="29"/>
      <c r="R238" s="29"/>
      <c r="S238" s="29"/>
      <c r="T238" s="29"/>
      <c r="U238" s="29"/>
      <c r="V238" s="29"/>
      <c r="W238" s="29"/>
      <c r="X238" s="29"/>
    </row>
    <row r="239" spans="1:24" ht="15">
      <c r="A239" s="29"/>
      <c r="B239" s="29"/>
      <c r="C239" s="29"/>
      <c r="D239" s="33"/>
      <c r="E239" s="33"/>
      <c r="G239" s="29"/>
      <c r="H239" s="29"/>
      <c r="I239" s="29"/>
      <c r="J239" s="29"/>
      <c r="K239" s="29"/>
      <c r="L239" s="29"/>
      <c r="M239" s="29"/>
      <c r="N239" s="29"/>
      <c r="O239" s="29"/>
      <c r="P239" s="29"/>
      <c r="Q239" s="29"/>
      <c r="R239" s="29"/>
      <c r="S239" s="29"/>
      <c r="T239" s="29"/>
      <c r="U239" s="29"/>
      <c r="V239" s="29"/>
      <c r="W239" s="29"/>
      <c r="X239" s="29"/>
    </row>
    <row r="240" spans="1:24" ht="15">
      <c r="A240" s="29"/>
      <c r="B240" s="29"/>
      <c r="C240" s="29"/>
      <c r="D240" s="33"/>
      <c r="E240" s="33"/>
      <c r="G240" s="29"/>
      <c r="H240" s="29"/>
      <c r="I240" s="29"/>
      <c r="J240" s="29"/>
      <c r="K240" s="29"/>
      <c r="L240" s="29"/>
      <c r="M240" s="29"/>
      <c r="N240" s="29"/>
      <c r="O240" s="29"/>
      <c r="P240" s="29"/>
      <c r="Q240" s="29"/>
      <c r="R240" s="29"/>
      <c r="S240" s="29"/>
      <c r="T240" s="29"/>
      <c r="U240" s="29"/>
      <c r="V240" s="29"/>
      <c r="W240" s="29"/>
      <c r="X240" s="29"/>
    </row>
    <row r="241" spans="1:24" ht="15">
      <c r="A241" s="29"/>
      <c r="B241" s="29"/>
      <c r="C241" s="29"/>
      <c r="D241" s="33"/>
      <c r="E241" s="33"/>
      <c r="G241" s="29"/>
      <c r="H241" s="29"/>
      <c r="I241" s="29"/>
      <c r="J241" s="29"/>
      <c r="K241" s="29"/>
      <c r="L241" s="29"/>
      <c r="M241" s="29"/>
      <c r="N241" s="29"/>
      <c r="O241" s="29"/>
      <c r="P241" s="29"/>
      <c r="Q241" s="29"/>
      <c r="R241" s="29"/>
      <c r="S241" s="29"/>
      <c r="T241" s="29"/>
      <c r="U241" s="29"/>
      <c r="V241" s="29"/>
      <c r="W241" s="29"/>
      <c r="X241" s="29"/>
    </row>
    <row r="242" spans="1:24" ht="15">
      <c r="A242" s="29"/>
      <c r="B242" s="29"/>
      <c r="C242" s="29"/>
      <c r="D242" s="33"/>
      <c r="E242" s="33"/>
      <c r="G242" s="29"/>
      <c r="H242" s="29"/>
      <c r="I242" s="29"/>
      <c r="J242" s="29"/>
      <c r="K242" s="29"/>
      <c r="L242" s="29"/>
      <c r="M242" s="29"/>
      <c r="N242" s="29"/>
      <c r="O242" s="29"/>
      <c r="P242" s="29"/>
      <c r="Q242" s="29"/>
      <c r="R242" s="29"/>
      <c r="S242" s="29"/>
      <c r="T242" s="29"/>
      <c r="U242" s="29"/>
      <c r="V242" s="29"/>
      <c r="W242" s="29"/>
      <c r="X242" s="29"/>
    </row>
    <row r="243" spans="1:24" ht="15">
      <c r="A243" s="29"/>
      <c r="B243" s="29"/>
      <c r="C243" s="29"/>
      <c r="D243" s="33"/>
      <c r="E243" s="33"/>
      <c r="G243" s="29"/>
      <c r="H243" s="29"/>
      <c r="I243" s="29"/>
      <c r="J243" s="29"/>
      <c r="K243" s="29"/>
      <c r="L243" s="29"/>
      <c r="M243" s="29"/>
      <c r="N243" s="29"/>
      <c r="O243" s="29"/>
      <c r="P243" s="29"/>
      <c r="Q243" s="29"/>
      <c r="R243" s="29"/>
      <c r="S243" s="29"/>
      <c r="T243" s="29"/>
      <c r="U243" s="29"/>
      <c r="V243" s="29"/>
      <c r="W243" s="29"/>
      <c r="X243" s="29"/>
    </row>
    <row r="244" spans="1:24" ht="15">
      <c r="A244" s="29"/>
      <c r="B244" s="29"/>
      <c r="C244" s="29"/>
      <c r="D244" s="33"/>
      <c r="E244" s="33"/>
      <c r="G244" s="29"/>
      <c r="H244" s="29"/>
      <c r="I244" s="29"/>
      <c r="J244" s="29"/>
      <c r="K244" s="29"/>
      <c r="L244" s="29"/>
      <c r="M244" s="29"/>
      <c r="N244" s="29"/>
      <c r="O244" s="29"/>
      <c r="P244" s="29"/>
      <c r="Q244" s="29"/>
      <c r="R244" s="29"/>
      <c r="S244" s="29"/>
      <c r="T244" s="29"/>
      <c r="U244" s="29"/>
      <c r="V244" s="29"/>
      <c r="W244" s="29"/>
      <c r="X244" s="29"/>
    </row>
    <row r="245" spans="1:24" ht="15">
      <c r="A245" s="29"/>
      <c r="B245" s="29"/>
      <c r="C245" s="29"/>
      <c r="D245" s="33"/>
      <c r="E245" s="33"/>
      <c r="G245" s="29"/>
      <c r="H245" s="29"/>
      <c r="I245" s="29"/>
      <c r="J245" s="29"/>
      <c r="K245" s="29"/>
      <c r="L245" s="29"/>
      <c r="M245" s="29"/>
      <c r="N245" s="29"/>
      <c r="O245" s="29"/>
      <c r="P245" s="29"/>
      <c r="Q245" s="29"/>
      <c r="R245" s="29"/>
      <c r="S245" s="29"/>
      <c r="T245" s="29"/>
      <c r="U245" s="29"/>
      <c r="V245" s="29"/>
      <c r="W245" s="29"/>
      <c r="X245" s="29"/>
    </row>
    <row r="246" spans="1:24" ht="15">
      <c r="A246" s="29"/>
      <c r="B246" s="29"/>
      <c r="C246" s="29"/>
      <c r="D246" s="33"/>
      <c r="E246" s="33"/>
      <c r="G246" s="29"/>
      <c r="H246" s="29"/>
      <c r="I246" s="29"/>
      <c r="J246" s="29"/>
      <c r="K246" s="29"/>
      <c r="L246" s="29"/>
      <c r="M246" s="29"/>
      <c r="N246" s="29"/>
      <c r="O246" s="29"/>
      <c r="P246" s="29"/>
      <c r="Q246" s="29"/>
      <c r="R246" s="29"/>
      <c r="S246" s="29"/>
      <c r="T246" s="29"/>
      <c r="U246" s="29"/>
      <c r="V246" s="29"/>
      <c r="W246" s="29"/>
      <c r="X246" s="29"/>
    </row>
    <row r="247" spans="1:24" ht="15">
      <c r="A247" s="29"/>
      <c r="B247" s="29"/>
      <c r="C247" s="29"/>
      <c r="D247" s="33"/>
      <c r="E247" s="33"/>
      <c r="G247" s="29"/>
      <c r="H247" s="29"/>
      <c r="I247" s="29"/>
      <c r="J247" s="29"/>
      <c r="K247" s="29"/>
      <c r="L247" s="29"/>
      <c r="M247" s="29"/>
      <c r="N247" s="29"/>
      <c r="O247" s="29"/>
      <c r="P247" s="29"/>
      <c r="Q247" s="29"/>
      <c r="R247" s="29"/>
      <c r="S247" s="29"/>
      <c r="T247" s="29"/>
      <c r="U247" s="29"/>
      <c r="V247" s="29"/>
      <c r="W247" s="29"/>
      <c r="X247" s="29"/>
    </row>
    <row r="248" spans="1:24" ht="15">
      <c r="A248" s="29"/>
      <c r="B248" s="29"/>
      <c r="C248" s="29"/>
      <c r="D248" s="33"/>
      <c r="E248" s="33"/>
      <c r="G248" s="29"/>
      <c r="H248" s="29"/>
      <c r="I248" s="29"/>
      <c r="J248" s="29"/>
      <c r="K248" s="29"/>
      <c r="L248" s="29"/>
      <c r="M248" s="29"/>
      <c r="N248" s="29"/>
      <c r="O248" s="29"/>
      <c r="P248" s="29"/>
      <c r="Q248" s="29"/>
      <c r="R248" s="29"/>
      <c r="S248" s="29"/>
      <c r="T248" s="29"/>
      <c r="U248" s="29"/>
      <c r="V248" s="29"/>
      <c r="W248" s="29"/>
      <c r="X248" s="29"/>
    </row>
    <row r="249" spans="1:24" ht="15">
      <c r="A249" s="29"/>
      <c r="B249" s="29"/>
      <c r="C249" s="29"/>
      <c r="D249" s="33"/>
      <c r="E249" s="33"/>
      <c r="G249" s="29"/>
      <c r="H249" s="29"/>
      <c r="I249" s="29"/>
      <c r="J249" s="29"/>
      <c r="K249" s="29"/>
      <c r="L249" s="29"/>
      <c r="M249" s="29"/>
      <c r="N249" s="29"/>
      <c r="O249" s="29"/>
      <c r="P249" s="29"/>
      <c r="Q249" s="29"/>
      <c r="R249" s="29"/>
      <c r="S249" s="29"/>
      <c r="T249" s="29"/>
      <c r="U249" s="29"/>
      <c r="V249" s="29"/>
      <c r="W249" s="29"/>
      <c r="X249" s="29"/>
    </row>
    <row r="250" spans="1:24" ht="15">
      <c r="A250" s="29"/>
      <c r="B250" s="29"/>
      <c r="C250" s="29"/>
      <c r="D250" s="33"/>
      <c r="E250" s="33"/>
      <c r="G250" s="29"/>
      <c r="H250" s="29"/>
      <c r="I250" s="29"/>
      <c r="J250" s="29"/>
      <c r="K250" s="29"/>
      <c r="L250" s="29"/>
      <c r="M250" s="29"/>
      <c r="N250" s="29"/>
      <c r="O250" s="29"/>
      <c r="P250" s="29"/>
      <c r="Q250" s="29"/>
      <c r="R250" s="29"/>
      <c r="S250" s="29"/>
      <c r="T250" s="29"/>
      <c r="U250" s="29"/>
      <c r="V250" s="29"/>
      <c r="W250" s="29"/>
      <c r="X250" s="29"/>
    </row>
    <row r="251" spans="1:24" ht="15">
      <c r="A251" s="29"/>
      <c r="B251" s="29"/>
      <c r="C251" s="29"/>
      <c r="D251" s="33"/>
      <c r="E251" s="33"/>
      <c r="G251" s="29"/>
      <c r="H251" s="29"/>
      <c r="I251" s="29"/>
      <c r="J251" s="29"/>
      <c r="K251" s="29"/>
      <c r="L251" s="29"/>
      <c r="M251" s="29"/>
      <c r="N251" s="29"/>
      <c r="O251" s="29"/>
      <c r="P251" s="29"/>
      <c r="Q251" s="29"/>
      <c r="R251" s="29"/>
      <c r="S251" s="29"/>
      <c r="T251" s="29"/>
      <c r="U251" s="29"/>
      <c r="V251" s="29"/>
      <c r="W251" s="29"/>
      <c r="X251" s="29"/>
    </row>
    <row r="252" spans="1:24" ht="15">
      <c r="A252" s="29"/>
      <c r="B252" s="29"/>
      <c r="C252" s="29"/>
      <c r="D252" s="33"/>
      <c r="E252" s="33"/>
      <c r="G252" s="29"/>
      <c r="H252" s="29"/>
      <c r="I252" s="29"/>
      <c r="J252" s="29"/>
      <c r="K252" s="29"/>
      <c r="L252" s="29"/>
      <c r="M252" s="29"/>
      <c r="N252" s="29"/>
      <c r="O252" s="29"/>
      <c r="P252" s="29"/>
      <c r="Q252" s="29"/>
      <c r="R252" s="29"/>
      <c r="S252" s="29"/>
      <c r="T252" s="29"/>
      <c r="U252" s="29"/>
      <c r="V252" s="29"/>
      <c r="W252" s="29"/>
      <c r="X252" s="29"/>
    </row>
    <row r="253" spans="1:24" ht="15">
      <c r="A253" s="29"/>
      <c r="B253" s="29"/>
      <c r="C253" s="29"/>
      <c r="D253" s="33"/>
      <c r="E253" s="33"/>
      <c r="G253" s="29"/>
      <c r="H253" s="29"/>
      <c r="I253" s="29"/>
      <c r="J253" s="29"/>
      <c r="K253" s="29"/>
      <c r="L253" s="29"/>
      <c r="M253" s="29"/>
      <c r="N253" s="29"/>
      <c r="O253" s="29"/>
      <c r="P253" s="29"/>
      <c r="Q253" s="29"/>
      <c r="R253" s="29"/>
      <c r="S253" s="29"/>
      <c r="T253" s="29"/>
      <c r="U253" s="29"/>
      <c r="V253" s="29"/>
      <c r="W253" s="29"/>
      <c r="X253" s="29"/>
    </row>
    <row r="254" spans="1:24" ht="15">
      <c r="A254" s="29"/>
      <c r="B254" s="29"/>
      <c r="C254" s="29"/>
      <c r="D254" s="33"/>
      <c r="E254" s="33"/>
      <c r="G254" s="29"/>
      <c r="H254" s="29"/>
      <c r="I254" s="29"/>
      <c r="J254" s="29"/>
      <c r="K254" s="29"/>
      <c r="L254" s="29"/>
      <c r="M254" s="29"/>
      <c r="N254" s="29"/>
      <c r="O254" s="29"/>
      <c r="P254" s="29"/>
      <c r="Q254" s="29"/>
      <c r="R254" s="29"/>
      <c r="S254" s="29"/>
      <c r="T254" s="29"/>
      <c r="U254" s="29"/>
      <c r="V254" s="29"/>
      <c r="W254" s="29"/>
      <c r="X254" s="29"/>
    </row>
    <row r="255" spans="1:24" ht="15">
      <c r="A255" s="29"/>
      <c r="B255" s="29"/>
      <c r="C255" s="29"/>
      <c r="D255" s="33"/>
      <c r="E255" s="33"/>
      <c r="G255" s="29"/>
      <c r="H255" s="29"/>
      <c r="I255" s="29"/>
      <c r="J255" s="29"/>
      <c r="K255" s="29"/>
      <c r="L255" s="29"/>
      <c r="M255" s="29"/>
      <c r="N255" s="29"/>
      <c r="O255" s="29"/>
      <c r="P255" s="29"/>
      <c r="Q255" s="29"/>
      <c r="R255" s="29"/>
      <c r="S255" s="29"/>
      <c r="T255" s="29"/>
      <c r="U255" s="29"/>
      <c r="V255" s="29"/>
      <c r="W255" s="29"/>
      <c r="X255" s="29"/>
    </row>
    <row r="256" spans="1:24" ht="15">
      <c r="A256" s="29"/>
      <c r="B256" s="29"/>
      <c r="C256" s="29"/>
      <c r="D256" s="33"/>
      <c r="E256" s="33"/>
      <c r="G256" s="29"/>
      <c r="H256" s="29"/>
      <c r="I256" s="29"/>
      <c r="J256" s="29"/>
      <c r="K256" s="29"/>
      <c r="L256" s="29"/>
      <c r="M256" s="29"/>
      <c r="N256" s="29"/>
      <c r="O256" s="29"/>
      <c r="P256" s="29"/>
      <c r="Q256" s="29"/>
      <c r="R256" s="29"/>
      <c r="S256" s="29"/>
      <c r="T256" s="29"/>
      <c r="U256" s="29"/>
      <c r="V256" s="29"/>
      <c r="W256" s="29"/>
      <c r="X256" s="29"/>
    </row>
    <row r="257" spans="1:24" ht="15">
      <c r="A257" s="29"/>
      <c r="B257" s="29"/>
      <c r="C257" s="29"/>
      <c r="D257" s="33"/>
      <c r="E257" s="33"/>
      <c r="G257" s="29"/>
      <c r="H257" s="29"/>
      <c r="I257" s="29"/>
      <c r="J257" s="29"/>
      <c r="K257" s="29"/>
      <c r="L257" s="29"/>
      <c r="M257" s="29"/>
      <c r="N257" s="29"/>
      <c r="O257" s="29"/>
      <c r="P257" s="29"/>
      <c r="Q257" s="29"/>
      <c r="R257" s="29"/>
      <c r="S257" s="29"/>
      <c r="T257" s="29"/>
      <c r="U257" s="29"/>
      <c r="V257" s="29"/>
      <c r="W257" s="29"/>
      <c r="X257" s="29"/>
    </row>
    <row r="258" spans="1:24" ht="15">
      <c r="A258" s="29"/>
      <c r="B258" s="29"/>
      <c r="C258" s="29"/>
      <c r="D258" s="33"/>
      <c r="E258" s="33"/>
      <c r="G258" s="29"/>
      <c r="H258" s="29"/>
      <c r="I258" s="29"/>
      <c r="J258" s="29"/>
      <c r="K258" s="29"/>
      <c r="L258" s="29"/>
      <c r="M258" s="29"/>
      <c r="N258" s="29"/>
      <c r="O258" s="29"/>
      <c r="P258" s="29"/>
      <c r="Q258" s="29"/>
      <c r="R258" s="29"/>
      <c r="S258" s="29"/>
      <c r="T258" s="29"/>
      <c r="U258" s="29"/>
      <c r="V258" s="29"/>
      <c r="W258" s="29"/>
      <c r="X258" s="29"/>
    </row>
    <row r="259" spans="1:24" ht="15">
      <c r="A259" s="29"/>
      <c r="B259" s="29"/>
      <c r="C259" s="29"/>
      <c r="D259" s="33"/>
      <c r="E259" s="33"/>
      <c r="G259" s="29"/>
      <c r="H259" s="29"/>
      <c r="I259" s="29"/>
      <c r="J259" s="29"/>
      <c r="K259" s="29"/>
      <c r="L259" s="29"/>
      <c r="M259" s="29"/>
      <c r="N259" s="29"/>
      <c r="O259" s="29"/>
      <c r="P259" s="29"/>
      <c r="Q259" s="29"/>
      <c r="R259" s="29"/>
      <c r="S259" s="29"/>
      <c r="T259" s="29"/>
      <c r="U259" s="29"/>
      <c r="V259" s="29"/>
      <c r="W259" s="29"/>
      <c r="X259" s="29"/>
    </row>
    <row r="260" spans="1:24" ht="15">
      <c r="A260" s="29"/>
      <c r="B260" s="29"/>
      <c r="C260" s="29"/>
      <c r="D260" s="33"/>
      <c r="E260" s="33"/>
      <c r="G260" s="29"/>
      <c r="H260" s="29"/>
      <c r="I260" s="29"/>
      <c r="J260" s="29"/>
      <c r="K260" s="29"/>
      <c r="L260" s="29"/>
      <c r="M260" s="29"/>
      <c r="N260" s="29"/>
      <c r="O260" s="29"/>
      <c r="P260" s="29"/>
      <c r="Q260" s="29"/>
      <c r="R260" s="29"/>
      <c r="S260" s="29"/>
      <c r="T260" s="29"/>
      <c r="U260" s="29"/>
      <c r="V260" s="29"/>
      <c r="W260" s="29"/>
      <c r="X260" s="29"/>
    </row>
    <row r="261" spans="1:24" ht="15">
      <c r="A261" s="29"/>
      <c r="B261" s="29"/>
      <c r="C261" s="29"/>
      <c r="D261" s="33"/>
      <c r="E261" s="33"/>
      <c r="G261" s="29"/>
      <c r="H261" s="29"/>
      <c r="I261" s="29"/>
      <c r="J261" s="29"/>
      <c r="K261" s="29"/>
      <c r="L261" s="29"/>
      <c r="M261" s="29"/>
      <c r="N261" s="29"/>
      <c r="O261" s="29"/>
      <c r="P261" s="29"/>
      <c r="Q261" s="29"/>
      <c r="R261" s="29"/>
      <c r="S261" s="29"/>
      <c r="T261" s="29"/>
      <c r="U261" s="29"/>
      <c r="V261" s="29"/>
      <c r="W261" s="29"/>
      <c r="X261" s="29"/>
    </row>
    <row r="262" spans="1:24" ht="15">
      <c r="A262" s="29"/>
      <c r="B262" s="29"/>
      <c r="C262" s="29"/>
      <c r="D262" s="33"/>
      <c r="E262" s="33"/>
      <c r="G262" s="29"/>
      <c r="H262" s="29"/>
      <c r="I262" s="29"/>
      <c r="J262" s="29"/>
      <c r="K262" s="29"/>
      <c r="L262" s="29"/>
      <c r="M262" s="29"/>
      <c r="N262" s="29"/>
      <c r="O262" s="29"/>
      <c r="P262" s="29"/>
      <c r="Q262" s="29"/>
      <c r="R262" s="29"/>
      <c r="S262" s="29"/>
      <c r="T262" s="29"/>
      <c r="U262" s="29"/>
      <c r="V262" s="29"/>
      <c r="W262" s="29"/>
      <c r="X262" s="29"/>
    </row>
    <row r="263" spans="1:24" ht="15">
      <c r="A263" s="29"/>
      <c r="B263" s="29"/>
      <c r="C263" s="29"/>
      <c r="D263" s="33"/>
      <c r="E263" s="33"/>
      <c r="G263" s="29"/>
      <c r="H263" s="29"/>
      <c r="I263" s="29"/>
      <c r="J263" s="29"/>
      <c r="K263" s="29"/>
      <c r="L263" s="29"/>
      <c r="M263" s="29"/>
      <c r="N263" s="29"/>
      <c r="O263" s="29"/>
      <c r="P263" s="29"/>
      <c r="Q263" s="29"/>
      <c r="R263" s="29"/>
      <c r="S263" s="29"/>
      <c r="T263" s="29"/>
      <c r="U263" s="29"/>
      <c r="V263" s="29"/>
      <c r="W263" s="29"/>
      <c r="X263" s="29"/>
    </row>
    <row r="264" spans="1:24" ht="15">
      <c r="A264" s="29"/>
      <c r="B264" s="29"/>
      <c r="C264" s="29"/>
      <c r="D264" s="33"/>
      <c r="E264" s="33"/>
      <c r="G264" s="29"/>
      <c r="H264" s="29"/>
      <c r="I264" s="29"/>
      <c r="J264" s="29"/>
      <c r="K264" s="29"/>
      <c r="L264" s="29"/>
      <c r="M264" s="29"/>
      <c r="N264" s="29"/>
      <c r="O264" s="29"/>
      <c r="P264" s="29"/>
      <c r="Q264" s="29"/>
      <c r="R264" s="29"/>
      <c r="S264" s="29"/>
      <c r="T264" s="29"/>
      <c r="U264" s="29"/>
      <c r="V264" s="29"/>
      <c r="W264" s="29"/>
      <c r="X264" s="29"/>
    </row>
    <row r="265" spans="1:24" ht="15">
      <c r="A265" s="29"/>
      <c r="B265" s="29"/>
      <c r="C265" s="29"/>
      <c r="D265" s="33"/>
      <c r="E265" s="33"/>
      <c r="G265" s="29"/>
      <c r="H265" s="29"/>
      <c r="I265" s="29"/>
      <c r="J265" s="29"/>
      <c r="K265" s="29"/>
      <c r="L265" s="29"/>
      <c r="M265" s="29"/>
      <c r="N265" s="29"/>
      <c r="O265" s="29"/>
      <c r="P265" s="29"/>
      <c r="Q265" s="29"/>
      <c r="R265" s="29"/>
      <c r="S265" s="29"/>
      <c r="T265" s="29"/>
      <c r="U265" s="29"/>
      <c r="V265" s="29"/>
      <c r="W265" s="29"/>
      <c r="X265" s="29"/>
    </row>
    <row r="266" spans="1:24" ht="15">
      <c r="A266" s="29"/>
      <c r="B266" s="29"/>
      <c r="C266" s="29"/>
      <c r="D266" s="33"/>
      <c r="E266" s="33"/>
      <c r="G266" s="29"/>
      <c r="H266" s="29"/>
      <c r="I266" s="29"/>
      <c r="J266" s="29"/>
      <c r="K266" s="29"/>
      <c r="L266" s="29"/>
      <c r="M266" s="29"/>
      <c r="N266" s="29"/>
      <c r="O266" s="29"/>
      <c r="P266" s="29"/>
      <c r="Q266" s="29"/>
      <c r="R266" s="29"/>
      <c r="S266" s="29"/>
      <c r="T266" s="29"/>
      <c r="U266" s="29"/>
      <c r="V266" s="29"/>
      <c r="W266" s="29"/>
      <c r="X266" s="29"/>
    </row>
    <row r="267" spans="1:24" ht="15">
      <c r="A267" s="29"/>
      <c r="B267" s="29"/>
      <c r="C267" s="29"/>
      <c r="D267" s="33"/>
      <c r="E267" s="33"/>
      <c r="G267" s="29"/>
      <c r="H267" s="29"/>
      <c r="I267" s="29"/>
      <c r="J267" s="29"/>
      <c r="K267" s="29"/>
      <c r="L267" s="29"/>
      <c r="M267" s="29"/>
      <c r="N267" s="29"/>
      <c r="O267" s="29"/>
      <c r="P267" s="29"/>
      <c r="Q267" s="29"/>
      <c r="R267" s="29"/>
      <c r="S267" s="29"/>
      <c r="T267" s="29"/>
      <c r="U267" s="29"/>
      <c r="V267" s="29"/>
      <c r="W267" s="29"/>
      <c r="X267" s="29"/>
    </row>
    <row r="268" spans="1:24" ht="15">
      <c r="A268" s="29"/>
      <c r="B268" s="29"/>
      <c r="C268" s="29"/>
      <c r="D268" s="33"/>
      <c r="E268" s="33"/>
      <c r="G268" s="29"/>
      <c r="H268" s="29"/>
      <c r="I268" s="29"/>
      <c r="J268" s="29"/>
      <c r="K268" s="29"/>
      <c r="L268" s="29"/>
      <c r="M268" s="29"/>
      <c r="N268" s="29"/>
      <c r="O268" s="29"/>
      <c r="P268" s="29"/>
      <c r="Q268" s="29"/>
      <c r="R268" s="29"/>
      <c r="S268" s="29"/>
      <c r="T268" s="29"/>
      <c r="U268" s="29"/>
      <c r="V268" s="29"/>
      <c r="W268" s="29"/>
      <c r="X268" s="29"/>
    </row>
    <row r="269" spans="1:24" ht="15">
      <c r="A269" s="29"/>
      <c r="B269" s="29"/>
      <c r="C269" s="29"/>
      <c r="D269" s="33"/>
      <c r="E269" s="33"/>
      <c r="G269" s="29"/>
      <c r="H269" s="29"/>
      <c r="I269" s="29"/>
      <c r="J269" s="29"/>
      <c r="K269" s="29"/>
      <c r="L269" s="29"/>
      <c r="M269" s="29"/>
      <c r="N269" s="29"/>
      <c r="O269" s="29"/>
      <c r="P269" s="29"/>
      <c r="Q269" s="29"/>
      <c r="R269" s="29"/>
      <c r="S269" s="29"/>
      <c r="T269" s="29"/>
      <c r="U269" s="29"/>
      <c r="V269" s="29"/>
      <c r="W269" s="29"/>
      <c r="X269" s="29"/>
    </row>
    <row r="270" spans="1:24" ht="15">
      <c r="A270" s="29"/>
      <c r="B270" s="29"/>
      <c r="C270" s="29"/>
      <c r="D270" s="33"/>
      <c r="E270" s="33"/>
      <c r="G270" s="29"/>
      <c r="H270" s="29"/>
      <c r="I270" s="29"/>
      <c r="J270" s="29"/>
      <c r="K270" s="29"/>
      <c r="L270" s="29"/>
      <c r="M270" s="29"/>
      <c r="N270" s="29"/>
      <c r="O270" s="29"/>
      <c r="P270" s="29"/>
      <c r="Q270" s="29"/>
      <c r="R270" s="29"/>
      <c r="S270" s="29"/>
      <c r="T270" s="29"/>
      <c r="U270" s="29"/>
      <c r="V270" s="29"/>
      <c r="W270" s="29"/>
      <c r="X270" s="29"/>
    </row>
    <row r="271" spans="1:24" ht="15">
      <c r="A271" s="29"/>
      <c r="B271" s="29"/>
      <c r="C271" s="29"/>
      <c r="D271" s="33"/>
      <c r="E271" s="33"/>
      <c r="G271" s="29"/>
      <c r="H271" s="29"/>
      <c r="I271" s="29"/>
      <c r="J271" s="29"/>
      <c r="K271" s="29"/>
      <c r="L271" s="29"/>
      <c r="M271" s="29"/>
      <c r="N271" s="29"/>
      <c r="O271" s="29"/>
      <c r="P271" s="29"/>
      <c r="Q271" s="29"/>
      <c r="R271" s="29"/>
      <c r="S271" s="29"/>
      <c r="T271" s="29"/>
      <c r="U271" s="29"/>
      <c r="V271" s="29"/>
      <c r="W271" s="29"/>
      <c r="X271" s="29"/>
    </row>
    <row r="272" spans="1:24" ht="15">
      <c r="A272" s="29"/>
      <c r="B272" s="29"/>
      <c r="C272" s="29"/>
      <c r="D272" s="33"/>
      <c r="E272" s="33"/>
      <c r="G272" s="29"/>
      <c r="H272" s="29"/>
      <c r="I272" s="29"/>
      <c r="J272" s="29"/>
      <c r="K272" s="29"/>
      <c r="L272" s="29"/>
      <c r="M272" s="29"/>
      <c r="N272" s="29"/>
      <c r="O272" s="29"/>
      <c r="P272" s="29"/>
      <c r="Q272" s="29"/>
      <c r="R272" s="29"/>
      <c r="S272" s="29"/>
      <c r="T272" s="29"/>
      <c r="U272" s="29"/>
      <c r="V272" s="29"/>
      <c r="W272" s="29"/>
      <c r="X272" s="29"/>
    </row>
    <row r="273" spans="1:24" ht="15">
      <c r="A273" s="29"/>
      <c r="B273" s="29"/>
      <c r="C273" s="29"/>
      <c r="D273" s="33"/>
      <c r="E273" s="33"/>
      <c r="G273" s="29"/>
      <c r="H273" s="29"/>
      <c r="I273" s="29"/>
      <c r="J273" s="29"/>
      <c r="K273" s="29"/>
      <c r="L273" s="29"/>
      <c r="M273" s="29"/>
      <c r="N273" s="29"/>
      <c r="O273" s="29"/>
      <c r="P273" s="29"/>
      <c r="Q273" s="29"/>
      <c r="R273" s="29"/>
      <c r="S273" s="29"/>
      <c r="T273" s="29"/>
      <c r="U273" s="29"/>
      <c r="V273" s="29"/>
      <c r="W273" s="29"/>
      <c r="X273" s="29"/>
    </row>
    <row r="274" spans="1:24" ht="15">
      <c r="A274" s="29"/>
      <c r="B274" s="29"/>
      <c r="C274" s="29"/>
      <c r="D274" s="33"/>
      <c r="E274" s="33"/>
      <c r="G274" s="29"/>
      <c r="H274" s="29"/>
      <c r="I274" s="29"/>
      <c r="J274" s="29"/>
      <c r="K274" s="29"/>
      <c r="L274" s="29"/>
      <c r="M274" s="29"/>
      <c r="N274" s="29"/>
      <c r="O274" s="29"/>
      <c r="P274" s="29"/>
      <c r="Q274" s="29"/>
      <c r="R274" s="29"/>
      <c r="S274" s="29"/>
      <c r="T274" s="29"/>
      <c r="U274" s="29"/>
      <c r="V274" s="29"/>
      <c r="W274" s="29"/>
      <c r="X274" s="29"/>
    </row>
    <row r="275" spans="1:24" ht="15">
      <c r="A275" s="29"/>
      <c r="B275" s="29"/>
      <c r="C275" s="29"/>
      <c r="D275" s="33"/>
      <c r="E275" s="33"/>
      <c r="G275" s="29"/>
      <c r="H275" s="29"/>
      <c r="I275" s="29"/>
      <c r="J275" s="29"/>
      <c r="K275" s="29"/>
      <c r="L275" s="29"/>
      <c r="M275" s="29"/>
      <c r="N275" s="29"/>
      <c r="O275" s="29"/>
      <c r="P275" s="29"/>
      <c r="Q275" s="29"/>
      <c r="R275" s="29"/>
      <c r="S275" s="29"/>
      <c r="T275" s="29"/>
      <c r="U275" s="29"/>
      <c r="V275" s="29"/>
      <c r="W275" s="29"/>
      <c r="X275" s="29"/>
    </row>
    <row r="276" spans="1:24" ht="15">
      <c r="A276" s="29"/>
      <c r="B276" s="29"/>
      <c r="C276" s="29"/>
      <c r="D276" s="33"/>
      <c r="E276" s="33"/>
      <c r="G276" s="29"/>
      <c r="H276" s="29"/>
      <c r="I276" s="29"/>
      <c r="J276" s="29"/>
      <c r="K276" s="29"/>
      <c r="L276" s="29"/>
      <c r="M276" s="29"/>
      <c r="N276" s="29"/>
      <c r="O276" s="29"/>
      <c r="P276" s="29"/>
      <c r="Q276" s="29"/>
      <c r="R276" s="29"/>
      <c r="S276" s="29"/>
      <c r="T276" s="29"/>
      <c r="U276" s="29"/>
      <c r="V276" s="29"/>
      <c r="W276" s="29"/>
      <c r="X276" s="29"/>
    </row>
    <row r="277" spans="1:24" ht="15">
      <c r="A277" s="29"/>
      <c r="B277" s="29"/>
      <c r="C277" s="29"/>
      <c r="D277" s="33"/>
      <c r="E277" s="33"/>
      <c r="G277" s="29"/>
      <c r="H277" s="29"/>
      <c r="I277" s="29"/>
      <c r="J277" s="29"/>
      <c r="K277" s="29"/>
      <c r="L277" s="29"/>
      <c r="M277" s="29"/>
      <c r="N277" s="29"/>
      <c r="O277" s="29"/>
      <c r="P277" s="29"/>
      <c r="Q277" s="29"/>
      <c r="R277" s="29"/>
      <c r="S277" s="29"/>
      <c r="T277" s="29"/>
      <c r="U277" s="29"/>
      <c r="V277" s="29"/>
      <c r="W277" s="29"/>
      <c r="X277" s="29"/>
    </row>
    <row r="278" spans="1:24" ht="15">
      <c r="A278" s="29"/>
      <c r="B278" s="29"/>
      <c r="C278" s="29"/>
      <c r="D278" s="33"/>
      <c r="E278" s="33"/>
      <c r="G278" s="29"/>
      <c r="H278" s="29"/>
      <c r="I278" s="29"/>
      <c r="J278" s="29"/>
      <c r="K278" s="29"/>
      <c r="L278" s="29"/>
      <c r="M278" s="29"/>
      <c r="N278" s="29"/>
      <c r="O278" s="29"/>
      <c r="P278" s="29"/>
      <c r="Q278" s="29"/>
      <c r="R278" s="29"/>
      <c r="S278" s="29"/>
      <c r="T278" s="29"/>
      <c r="U278" s="29"/>
      <c r="V278" s="29"/>
      <c r="W278" s="29"/>
      <c r="X278" s="29"/>
    </row>
    <row r="279" spans="1:24" ht="15">
      <c r="A279" s="29"/>
      <c r="B279" s="29"/>
      <c r="C279" s="29"/>
      <c r="D279" s="33"/>
      <c r="E279" s="33"/>
      <c r="G279" s="29"/>
      <c r="H279" s="29"/>
      <c r="I279" s="29"/>
      <c r="J279" s="29"/>
      <c r="K279" s="29"/>
      <c r="L279" s="29"/>
      <c r="M279" s="29"/>
      <c r="N279" s="29"/>
      <c r="O279" s="29"/>
      <c r="P279" s="29"/>
      <c r="Q279" s="29"/>
      <c r="R279" s="29"/>
      <c r="S279" s="29"/>
      <c r="T279" s="29"/>
      <c r="U279" s="29"/>
      <c r="V279" s="29"/>
      <c r="W279" s="29"/>
      <c r="X279" s="29"/>
    </row>
    <row r="280" spans="1:24" ht="15">
      <c r="A280" s="29"/>
      <c r="B280" s="29"/>
      <c r="C280" s="29"/>
      <c r="D280" s="33"/>
      <c r="E280" s="33"/>
      <c r="G280" s="29"/>
      <c r="H280" s="29"/>
      <c r="I280" s="29"/>
      <c r="J280" s="29"/>
      <c r="K280" s="29"/>
      <c r="L280" s="29"/>
      <c r="M280" s="29"/>
      <c r="N280" s="29"/>
      <c r="O280" s="29"/>
      <c r="P280" s="29"/>
      <c r="Q280" s="29"/>
      <c r="R280" s="29"/>
      <c r="S280" s="29"/>
      <c r="T280" s="29"/>
      <c r="U280" s="29"/>
      <c r="V280" s="29"/>
      <c r="W280" s="29"/>
      <c r="X280" s="29"/>
    </row>
    <row r="281" spans="1:24" ht="15">
      <c r="A281" s="29"/>
      <c r="B281" s="29"/>
      <c r="C281" s="29"/>
      <c r="D281" s="33"/>
      <c r="E281" s="33"/>
      <c r="G281" s="29"/>
      <c r="H281" s="29"/>
      <c r="I281" s="29"/>
      <c r="J281" s="29"/>
      <c r="K281" s="29"/>
      <c r="L281" s="29"/>
      <c r="M281" s="29"/>
      <c r="N281" s="29"/>
      <c r="O281" s="29"/>
      <c r="P281" s="29"/>
      <c r="Q281" s="29"/>
      <c r="R281" s="29"/>
      <c r="S281" s="29"/>
      <c r="T281" s="29"/>
      <c r="U281" s="29"/>
      <c r="V281" s="29"/>
      <c r="W281" s="29"/>
      <c r="X281" s="29"/>
    </row>
    <row r="282" spans="1:24" ht="15">
      <c r="A282" s="29"/>
      <c r="B282" s="29"/>
      <c r="C282" s="29"/>
      <c r="D282" s="33"/>
      <c r="E282" s="33"/>
      <c r="G282" s="29"/>
      <c r="H282" s="29"/>
      <c r="I282" s="29"/>
      <c r="J282" s="29"/>
      <c r="K282" s="29"/>
      <c r="L282" s="29"/>
      <c r="M282" s="29"/>
      <c r="N282" s="29"/>
      <c r="O282" s="29"/>
      <c r="P282" s="29"/>
      <c r="Q282" s="29"/>
      <c r="R282" s="29"/>
      <c r="S282" s="29"/>
      <c r="T282" s="29"/>
      <c r="U282" s="29"/>
      <c r="V282" s="29"/>
      <c r="W282" s="29"/>
      <c r="X282" s="29"/>
    </row>
    <row r="283" spans="1:24" ht="15">
      <c r="A283" s="29"/>
      <c r="B283" s="29"/>
      <c r="C283" s="29"/>
      <c r="D283" s="33"/>
      <c r="E283" s="33"/>
      <c r="G283" s="29"/>
      <c r="H283" s="29"/>
      <c r="I283" s="29"/>
      <c r="J283" s="29"/>
      <c r="K283" s="29"/>
      <c r="L283" s="29"/>
      <c r="M283" s="29"/>
      <c r="N283" s="29"/>
      <c r="O283" s="29"/>
      <c r="P283" s="29"/>
      <c r="Q283" s="29"/>
      <c r="R283" s="29"/>
      <c r="S283" s="29"/>
      <c r="T283" s="29"/>
      <c r="U283" s="29"/>
      <c r="V283" s="29"/>
      <c r="W283" s="29"/>
      <c r="X283" s="29"/>
    </row>
    <row r="284" spans="1:24" ht="15">
      <c r="A284" s="29"/>
      <c r="B284" s="29"/>
      <c r="C284" s="29"/>
      <c r="D284" s="33"/>
      <c r="E284" s="33"/>
      <c r="G284" s="29"/>
      <c r="H284" s="29"/>
      <c r="I284" s="29"/>
      <c r="J284" s="29"/>
      <c r="K284" s="29"/>
      <c r="L284" s="29"/>
      <c r="M284" s="29"/>
      <c r="N284" s="29"/>
      <c r="O284" s="29"/>
      <c r="P284" s="29"/>
      <c r="Q284" s="29"/>
      <c r="R284" s="29"/>
      <c r="S284" s="29"/>
      <c r="T284" s="29"/>
      <c r="U284" s="29"/>
      <c r="V284" s="29"/>
      <c r="W284" s="29"/>
      <c r="X284" s="29"/>
    </row>
    <row r="285" spans="1:24" ht="15">
      <c r="A285" s="29"/>
      <c r="B285" s="29"/>
      <c r="C285" s="29"/>
      <c r="D285" s="33"/>
      <c r="E285" s="33"/>
      <c r="G285" s="29"/>
      <c r="H285" s="29"/>
      <c r="I285" s="29"/>
      <c r="J285" s="29"/>
      <c r="K285" s="29"/>
      <c r="L285" s="29"/>
      <c r="M285" s="29"/>
      <c r="N285" s="29"/>
      <c r="O285" s="29"/>
      <c r="P285" s="29"/>
      <c r="Q285" s="29"/>
      <c r="R285" s="29"/>
      <c r="S285" s="29"/>
      <c r="T285" s="29"/>
      <c r="U285" s="29"/>
      <c r="V285" s="29"/>
      <c r="W285" s="29"/>
      <c r="X285" s="29"/>
    </row>
    <row r="286" spans="1:24" ht="15">
      <c r="A286" s="29"/>
      <c r="B286" s="29"/>
      <c r="C286" s="29"/>
      <c r="D286" s="33"/>
      <c r="E286" s="33"/>
      <c r="G286" s="29"/>
      <c r="H286" s="29"/>
      <c r="I286" s="29"/>
      <c r="J286" s="29"/>
      <c r="K286" s="29"/>
      <c r="L286" s="29"/>
      <c r="M286" s="29"/>
      <c r="N286" s="29"/>
      <c r="O286" s="29"/>
      <c r="P286" s="29"/>
      <c r="Q286" s="29"/>
      <c r="R286" s="29"/>
      <c r="S286" s="29"/>
      <c r="T286" s="29"/>
      <c r="U286" s="29"/>
      <c r="V286" s="29"/>
      <c r="W286" s="29"/>
      <c r="X286" s="29"/>
    </row>
    <row r="287" spans="1:24" ht="15">
      <c r="A287" s="29"/>
      <c r="B287" s="29"/>
      <c r="C287" s="29"/>
      <c r="D287" s="33"/>
      <c r="E287" s="33"/>
      <c r="G287" s="29"/>
      <c r="H287" s="29"/>
      <c r="I287" s="29"/>
      <c r="J287" s="29"/>
      <c r="K287" s="29"/>
      <c r="L287" s="29"/>
      <c r="M287" s="29"/>
      <c r="N287" s="29"/>
      <c r="O287" s="29"/>
      <c r="P287" s="29"/>
      <c r="Q287" s="29"/>
      <c r="R287" s="29"/>
      <c r="S287" s="29"/>
      <c r="T287" s="29"/>
      <c r="U287" s="29"/>
      <c r="V287" s="29"/>
      <c r="W287" s="29"/>
      <c r="X287" s="29"/>
    </row>
    <row r="288" spans="1:24" ht="15">
      <c r="A288" s="29"/>
      <c r="B288" s="29"/>
      <c r="C288" s="29"/>
      <c r="D288" s="33"/>
      <c r="E288" s="33"/>
      <c r="G288" s="29"/>
      <c r="H288" s="29"/>
      <c r="I288" s="29"/>
      <c r="J288" s="29"/>
      <c r="K288" s="29"/>
      <c r="L288" s="29"/>
      <c r="M288" s="29"/>
      <c r="N288" s="29"/>
      <c r="O288" s="29"/>
      <c r="P288" s="29"/>
      <c r="Q288" s="29"/>
      <c r="R288" s="29"/>
      <c r="S288" s="29"/>
      <c r="T288" s="29"/>
      <c r="U288" s="29"/>
      <c r="V288" s="29"/>
      <c r="W288" s="29"/>
      <c r="X288" s="29"/>
    </row>
    <row r="289" spans="1:24" ht="15">
      <c r="A289" s="29"/>
      <c r="B289" s="29"/>
      <c r="C289" s="29"/>
      <c r="D289" s="33"/>
      <c r="E289" s="33"/>
      <c r="G289" s="29"/>
      <c r="H289" s="29"/>
      <c r="I289" s="29"/>
      <c r="J289" s="29"/>
      <c r="K289" s="29"/>
      <c r="L289" s="29"/>
      <c r="M289" s="29"/>
      <c r="N289" s="29"/>
      <c r="O289" s="29"/>
      <c r="P289" s="29"/>
      <c r="Q289" s="29"/>
      <c r="R289" s="29"/>
      <c r="S289" s="29"/>
      <c r="T289" s="29"/>
      <c r="U289" s="29"/>
      <c r="V289" s="29"/>
      <c r="W289" s="29"/>
      <c r="X289" s="29"/>
    </row>
    <row r="290" spans="1:24" ht="15">
      <c r="A290" s="29"/>
      <c r="B290" s="29"/>
      <c r="C290" s="29"/>
      <c r="D290" s="33"/>
      <c r="E290" s="33"/>
      <c r="G290" s="29"/>
      <c r="H290" s="29"/>
      <c r="I290" s="29"/>
      <c r="J290" s="29"/>
      <c r="K290" s="29"/>
      <c r="L290" s="29"/>
      <c r="M290" s="29"/>
      <c r="N290" s="29"/>
      <c r="O290" s="29"/>
      <c r="P290" s="29"/>
      <c r="Q290" s="29"/>
      <c r="R290" s="29"/>
      <c r="S290" s="29"/>
      <c r="T290" s="29"/>
      <c r="U290" s="29"/>
      <c r="V290" s="29"/>
      <c r="W290" s="29"/>
      <c r="X290" s="29"/>
    </row>
    <row r="291" spans="1:24" ht="15">
      <c r="A291" s="29"/>
      <c r="B291" s="29"/>
      <c r="C291" s="29"/>
      <c r="D291" s="33"/>
      <c r="E291" s="33"/>
      <c r="G291" s="29"/>
      <c r="H291" s="29"/>
      <c r="I291" s="29"/>
      <c r="J291" s="29"/>
      <c r="K291" s="29"/>
      <c r="L291" s="29"/>
      <c r="M291" s="29"/>
      <c r="N291" s="29"/>
      <c r="O291" s="29"/>
      <c r="P291" s="29"/>
      <c r="Q291" s="29"/>
      <c r="R291" s="29"/>
      <c r="S291" s="29"/>
      <c r="T291" s="29"/>
      <c r="U291" s="29"/>
      <c r="V291" s="29"/>
      <c r="W291" s="29"/>
      <c r="X291" s="29"/>
    </row>
    <row r="292" spans="1:24" ht="15">
      <c r="A292" s="29"/>
      <c r="B292" s="29"/>
      <c r="C292" s="29"/>
      <c r="D292" s="33"/>
      <c r="E292" s="33"/>
      <c r="G292" s="29"/>
      <c r="H292" s="29"/>
      <c r="I292" s="29"/>
      <c r="J292" s="29"/>
      <c r="K292" s="29"/>
      <c r="L292" s="29"/>
      <c r="M292" s="29"/>
      <c r="N292" s="29"/>
      <c r="O292" s="29"/>
      <c r="P292" s="29"/>
      <c r="Q292" s="29"/>
      <c r="R292" s="29"/>
      <c r="S292" s="29"/>
      <c r="T292" s="29"/>
      <c r="U292" s="29"/>
      <c r="V292" s="29"/>
      <c r="W292" s="29"/>
      <c r="X292" s="29"/>
    </row>
    <row r="293" spans="1:24" ht="15">
      <c r="A293" s="29"/>
      <c r="B293" s="29"/>
      <c r="C293" s="29"/>
      <c r="D293" s="33"/>
      <c r="E293" s="33"/>
      <c r="G293" s="29"/>
      <c r="H293" s="29"/>
      <c r="I293" s="29"/>
      <c r="J293" s="29"/>
      <c r="K293" s="29"/>
      <c r="L293" s="29"/>
      <c r="M293" s="29"/>
      <c r="N293" s="29"/>
      <c r="O293" s="29"/>
      <c r="P293" s="29"/>
      <c r="Q293" s="29"/>
      <c r="R293" s="29"/>
      <c r="S293" s="29"/>
      <c r="T293" s="29"/>
      <c r="U293" s="29"/>
      <c r="V293" s="29"/>
      <c r="W293" s="29"/>
      <c r="X293" s="29"/>
    </row>
    <row r="294" spans="1:24" ht="15">
      <c r="A294" s="29"/>
      <c r="B294" s="29"/>
      <c r="C294" s="29"/>
      <c r="D294" s="33"/>
      <c r="E294" s="33"/>
      <c r="G294" s="29"/>
      <c r="H294" s="29"/>
      <c r="I294" s="29"/>
      <c r="J294" s="29"/>
      <c r="K294" s="29"/>
      <c r="L294" s="29"/>
      <c r="M294" s="29"/>
      <c r="N294" s="29"/>
      <c r="O294" s="29"/>
      <c r="P294" s="29"/>
      <c r="Q294" s="29"/>
      <c r="R294" s="29"/>
      <c r="S294" s="29"/>
      <c r="T294" s="29"/>
      <c r="U294" s="29"/>
      <c r="V294" s="29"/>
      <c r="W294" s="29"/>
      <c r="X294" s="29"/>
    </row>
    <row r="295" spans="1:24" ht="15">
      <c r="A295" s="29"/>
      <c r="B295" s="29"/>
      <c r="C295" s="29"/>
      <c r="D295" s="33"/>
      <c r="E295" s="33"/>
      <c r="G295" s="29"/>
      <c r="H295" s="29"/>
      <c r="I295" s="29"/>
      <c r="J295" s="29"/>
      <c r="K295" s="29"/>
      <c r="L295" s="29"/>
      <c r="M295" s="29"/>
      <c r="N295" s="29"/>
      <c r="O295" s="29"/>
      <c r="P295" s="29"/>
      <c r="Q295" s="29"/>
      <c r="R295" s="29"/>
      <c r="S295" s="29"/>
      <c r="T295" s="29"/>
      <c r="U295" s="29"/>
      <c r="V295" s="29"/>
      <c r="W295" s="29"/>
      <c r="X295" s="29"/>
    </row>
    <row r="296" spans="1:24" ht="15">
      <c r="A296" s="29"/>
      <c r="B296" s="29"/>
      <c r="C296" s="29"/>
      <c r="D296" s="33"/>
      <c r="E296" s="33"/>
      <c r="G296" s="29"/>
      <c r="H296" s="29"/>
      <c r="I296" s="29"/>
      <c r="J296" s="29"/>
      <c r="K296" s="29"/>
      <c r="L296" s="29"/>
      <c r="M296" s="29"/>
      <c r="N296" s="29"/>
      <c r="O296" s="29"/>
      <c r="P296" s="29"/>
      <c r="Q296" s="29"/>
      <c r="R296" s="29"/>
      <c r="S296" s="29"/>
      <c r="T296" s="29"/>
      <c r="U296" s="29"/>
      <c r="V296" s="29"/>
      <c r="W296" s="29"/>
      <c r="X296" s="29"/>
    </row>
    <row r="297" spans="1:24" ht="15">
      <c r="A297" s="29"/>
      <c r="B297" s="29"/>
      <c r="C297" s="29"/>
      <c r="D297" s="33"/>
      <c r="E297" s="33"/>
      <c r="G297" s="29"/>
      <c r="H297" s="29"/>
      <c r="I297" s="29"/>
      <c r="J297" s="29"/>
      <c r="K297" s="29"/>
      <c r="L297" s="29"/>
      <c r="M297" s="29"/>
      <c r="N297" s="29"/>
      <c r="O297" s="29"/>
      <c r="P297" s="29"/>
      <c r="Q297" s="29"/>
      <c r="R297" s="29"/>
      <c r="S297" s="29"/>
      <c r="T297" s="29"/>
      <c r="U297" s="29"/>
      <c r="V297" s="29"/>
      <c r="W297" s="29"/>
      <c r="X297" s="29"/>
    </row>
    <row r="298" spans="1:24" ht="15">
      <c r="A298" s="29"/>
      <c r="B298" s="29"/>
      <c r="C298" s="29"/>
      <c r="D298" s="33"/>
      <c r="E298" s="33"/>
      <c r="G298" s="29"/>
      <c r="H298" s="29"/>
      <c r="I298" s="29"/>
      <c r="J298" s="29"/>
      <c r="K298" s="29"/>
      <c r="L298" s="29"/>
      <c r="M298" s="29"/>
      <c r="N298" s="29"/>
      <c r="O298" s="29"/>
      <c r="P298" s="29"/>
      <c r="Q298" s="29"/>
      <c r="R298" s="29"/>
      <c r="S298" s="29"/>
      <c r="T298" s="29"/>
      <c r="U298" s="29"/>
      <c r="V298" s="29"/>
      <c r="W298" s="29"/>
      <c r="X298" s="29"/>
    </row>
    <row r="299" spans="1:24" ht="15">
      <c r="A299" s="29"/>
      <c r="B299" s="29"/>
      <c r="C299" s="29"/>
      <c r="D299" s="33"/>
      <c r="E299" s="33"/>
      <c r="G299" s="29"/>
      <c r="H299" s="29"/>
      <c r="I299" s="29"/>
      <c r="J299" s="29"/>
      <c r="K299" s="29"/>
      <c r="L299" s="29"/>
      <c r="M299" s="29"/>
      <c r="N299" s="29"/>
      <c r="O299" s="29"/>
      <c r="P299" s="29"/>
      <c r="Q299" s="29"/>
      <c r="R299" s="29"/>
      <c r="S299" s="29"/>
      <c r="T299" s="29"/>
      <c r="U299" s="29"/>
      <c r="V299" s="29"/>
      <c r="W299" s="29"/>
      <c r="X299" s="29"/>
    </row>
    <row r="300" spans="1:24" ht="15">
      <c r="A300" s="29"/>
      <c r="B300" s="29"/>
      <c r="C300" s="29"/>
      <c r="D300" s="33"/>
      <c r="E300" s="33"/>
      <c r="G300" s="29"/>
      <c r="H300" s="29"/>
      <c r="I300" s="29"/>
      <c r="J300" s="29"/>
      <c r="K300" s="29"/>
      <c r="L300" s="29"/>
      <c r="M300" s="29"/>
      <c r="N300" s="29"/>
      <c r="O300" s="29"/>
      <c r="P300" s="29"/>
      <c r="Q300" s="29"/>
      <c r="R300" s="29"/>
      <c r="S300" s="29"/>
      <c r="T300" s="29"/>
      <c r="U300" s="29"/>
      <c r="V300" s="29"/>
      <c r="W300" s="29"/>
      <c r="X300" s="29"/>
    </row>
    <row r="301" spans="1:24" ht="15">
      <c r="A301" s="29"/>
      <c r="B301" s="29"/>
      <c r="C301" s="29"/>
      <c r="D301" s="33"/>
      <c r="E301" s="33"/>
      <c r="G301" s="29"/>
      <c r="H301" s="29"/>
      <c r="I301" s="29"/>
      <c r="J301" s="29"/>
      <c r="K301" s="29"/>
      <c r="L301" s="29"/>
      <c r="M301" s="29"/>
      <c r="N301" s="29"/>
      <c r="O301" s="29"/>
      <c r="P301" s="29"/>
      <c r="Q301" s="29"/>
      <c r="R301" s="29"/>
      <c r="S301" s="29"/>
      <c r="T301" s="29"/>
      <c r="U301" s="29"/>
      <c r="V301" s="29"/>
      <c r="W301" s="29"/>
      <c r="X301" s="29"/>
    </row>
    <row r="302" spans="1:24" ht="15">
      <c r="A302" s="29"/>
      <c r="B302" s="29"/>
      <c r="C302" s="29"/>
      <c r="D302" s="33"/>
      <c r="E302" s="33"/>
      <c r="G302" s="29"/>
      <c r="H302" s="29"/>
      <c r="I302" s="29"/>
      <c r="J302" s="29"/>
      <c r="K302" s="29"/>
      <c r="L302" s="29"/>
      <c r="M302" s="29"/>
      <c r="N302" s="29"/>
      <c r="O302" s="29"/>
      <c r="P302" s="29"/>
      <c r="Q302" s="29"/>
      <c r="R302" s="29"/>
      <c r="S302" s="29"/>
      <c r="T302" s="29"/>
      <c r="U302" s="29"/>
      <c r="V302" s="29"/>
      <c r="W302" s="29"/>
      <c r="X302" s="29"/>
    </row>
    <row r="303" spans="1:24" ht="15">
      <c r="A303" s="29"/>
      <c r="B303" s="29"/>
      <c r="C303" s="29"/>
      <c r="D303" s="33"/>
      <c r="E303" s="33"/>
      <c r="G303" s="29"/>
      <c r="H303" s="29"/>
      <c r="I303" s="29"/>
      <c r="J303" s="29"/>
      <c r="K303" s="29"/>
      <c r="L303" s="29"/>
      <c r="M303" s="29"/>
      <c r="N303" s="29"/>
      <c r="O303" s="29"/>
      <c r="P303" s="29"/>
      <c r="Q303" s="29"/>
      <c r="R303" s="29"/>
      <c r="S303" s="29"/>
      <c r="T303" s="29"/>
      <c r="U303" s="29"/>
      <c r="V303" s="29"/>
      <c r="W303" s="29"/>
      <c r="X303" s="29"/>
    </row>
    <row r="304" spans="1:24" ht="15">
      <c r="A304" s="29"/>
      <c r="B304" s="29"/>
      <c r="C304" s="29"/>
      <c r="D304" s="33"/>
      <c r="E304" s="33"/>
      <c r="G304" s="29"/>
      <c r="H304" s="29"/>
      <c r="I304" s="29"/>
      <c r="J304" s="29"/>
      <c r="K304" s="29"/>
      <c r="L304" s="29"/>
      <c r="M304" s="29"/>
      <c r="N304" s="29"/>
      <c r="O304" s="29"/>
      <c r="P304" s="29"/>
      <c r="Q304" s="29"/>
      <c r="R304" s="29"/>
      <c r="S304" s="29"/>
      <c r="T304" s="29"/>
      <c r="U304" s="29"/>
      <c r="V304" s="29"/>
      <c r="W304" s="29"/>
      <c r="X304" s="29"/>
    </row>
    <row r="305" spans="1:24" ht="15">
      <c r="A305" s="29"/>
      <c r="B305" s="29"/>
      <c r="C305" s="29"/>
      <c r="D305" s="33"/>
      <c r="E305" s="33"/>
      <c r="G305" s="29"/>
      <c r="H305" s="29"/>
      <c r="I305" s="29"/>
      <c r="J305" s="29"/>
      <c r="K305" s="29"/>
      <c r="L305" s="29"/>
      <c r="M305" s="29"/>
      <c r="N305" s="29"/>
      <c r="O305" s="29"/>
      <c r="P305" s="29"/>
      <c r="Q305" s="29"/>
      <c r="R305" s="29"/>
      <c r="S305" s="29"/>
      <c r="T305" s="29"/>
      <c r="U305" s="29"/>
      <c r="V305" s="29"/>
      <c r="W305" s="29"/>
      <c r="X305" s="29"/>
    </row>
    <row r="306" spans="1:24" ht="15">
      <c r="A306" s="29"/>
      <c r="B306" s="29"/>
      <c r="C306" s="29"/>
      <c r="D306" s="33"/>
      <c r="E306" s="33"/>
      <c r="G306" s="29"/>
      <c r="H306" s="29"/>
      <c r="I306" s="29"/>
      <c r="J306" s="29"/>
      <c r="K306" s="29"/>
      <c r="L306" s="29"/>
      <c r="M306" s="29"/>
      <c r="N306" s="29"/>
      <c r="O306" s="29"/>
      <c r="P306" s="29"/>
      <c r="Q306" s="29"/>
      <c r="R306" s="29"/>
      <c r="S306" s="29"/>
      <c r="T306" s="29"/>
      <c r="U306" s="29"/>
      <c r="V306" s="29"/>
      <c r="W306" s="29"/>
      <c r="X306" s="29"/>
    </row>
    <row r="307" spans="1:24" ht="15">
      <c r="A307" s="29"/>
      <c r="B307" s="29"/>
      <c r="C307" s="29"/>
      <c r="D307" s="33"/>
      <c r="E307" s="33"/>
      <c r="G307" s="29"/>
      <c r="H307" s="29"/>
      <c r="I307" s="29"/>
      <c r="J307" s="29"/>
      <c r="K307" s="29"/>
      <c r="L307" s="29"/>
      <c r="M307" s="29"/>
      <c r="N307" s="29"/>
      <c r="O307" s="29"/>
      <c r="P307" s="29"/>
      <c r="Q307" s="29"/>
      <c r="R307" s="29"/>
      <c r="S307" s="29"/>
      <c r="T307" s="29"/>
      <c r="U307" s="29"/>
      <c r="V307" s="29"/>
      <c r="W307" s="29"/>
      <c r="X307" s="29"/>
    </row>
    <row r="308" spans="1:24" ht="15">
      <c r="A308" s="29"/>
      <c r="B308" s="29"/>
      <c r="C308" s="29"/>
      <c r="D308" s="33"/>
      <c r="E308" s="33"/>
      <c r="G308" s="29"/>
      <c r="H308" s="29"/>
      <c r="I308" s="29"/>
      <c r="J308" s="29"/>
      <c r="K308" s="29"/>
      <c r="L308" s="29"/>
      <c r="M308" s="29"/>
      <c r="N308" s="29"/>
      <c r="O308" s="29"/>
      <c r="P308" s="29"/>
      <c r="Q308" s="29"/>
      <c r="R308" s="29"/>
      <c r="S308" s="29"/>
      <c r="T308" s="29"/>
      <c r="U308" s="29"/>
      <c r="V308" s="29"/>
      <c r="W308" s="29"/>
      <c r="X308" s="29"/>
    </row>
    <row r="309" spans="1:24" ht="15">
      <c r="A309" s="29"/>
      <c r="B309" s="29"/>
      <c r="C309" s="29"/>
      <c r="D309" s="33"/>
      <c r="E309" s="33"/>
      <c r="G309" s="29"/>
      <c r="H309" s="29"/>
      <c r="I309" s="29"/>
      <c r="J309" s="29"/>
      <c r="K309" s="29"/>
      <c r="L309" s="29"/>
      <c r="M309" s="29"/>
      <c r="N309" s="29"/>
      <c r="O309" s="29"/>
      <c r="P309" s="29"/>
      <c r="Q309" s="29"/>
      <c r="R309" s="29"/>
      <c r="S309" s="29"/>
      <c r="T309" s="29"/>
      <c r="U309" s="29"/>
      <c r="V309" s="29"/>
      <c r="W309" s="29"/>
      <c r="X309" s="29"/>
    </row>
    <row r="310" spans="1:24" ht="15">
      <c r="A310" s="29"/>
      <c r="B310" s="29"/>
      <c r="C310" s="29"/>
      <c r="D310" s="33"/>
      <c r="E310" s="33"/>
      <c r="G310" s="29"/>
      <c r="H310" s="29"/>
      <c r="I310" s="29"/>
      <c r="J310" s="29"/>
      <c r="K310" s="29"/>
      <c r="L310" s="29"/>
      <c r="M310" s="29"/>
      <c r="N310" s="29"/>
      <c r="O310" s="29"/>
      <c r="P310" s="29"/>
      <c r="Q310" s="29"/>
      <c r="R310" s="29"/>
      <c r="S310" s="29"/>
      <c r="T310" s="29"/>
      <c r="U310" s="29"/>
      <c r="V310" s="29"/>
      <c r="W310" s="29"/>
      <c r="X310" s="29"/>
    </row>
    <row r="311" spans="1:24" ht="15">
      <c r="A311" s="29"/>
      <c r="B311" s="29"/>
      <c r="C311" s="29"/>
      <c r="D311" s="33"/>
      <c r="E311" s="33"/>
      <c r="G311" s="29"/>
      <c r="H311" s="29"/>
      <c r="I311" s="29"/>
      <c r="J311" s="29"/>
      <c r="K311" s="29"/>
      <c r="L311" s="29"/>
      <c r="M311" s="29"/>
      <c r="N311" s="29"/>
      <c r="O311" s="29"/>
      <c r="P311" s="29"/>
      <c r="Q311" s="29"/>
      <c r="R311" s="29"/>
      <c r="S311" s="29"/>
      <c r="T311" s="29"/>
      <c r="U311" s="29"/>
      <c r="V311" s="29"/>
      <c r="W311" s="29"/>
      <c r="X311" s="29"/>
    </row>
    <row r="312" spans="1:24" ht="15">
      <c r="A312" s="29"/>
      <c r="B312" s="29"/>
      <c r="C312" s="29"/>
      <c r="D312" s="33"/>
      <c r="E312" s="33"/>
      <c r="G312" s="29"/>
      <c r="H312" s="29"/>
      <c r="I312" s="29"/>
      <c r="J312" s="29"/>
      <c r="K312" s="29"/>
      <c r="L312" s="29"/>
      <c r="M312" s="29"/>
      <c r="N312" s="29"/>
      <c r="O312" s="29"/>
      <c r="P312" s="29"/>
      <c r="Q312" s="29"/>
      <c r="R312" s="29"/>
      <c r="S312" s="29"/>
      <c r="T312" s="29"/>
      <c r="U312" s="29"/>
      <c r="V312" s="29"/>
      <c r="W312" s="29"/>
      <c r="X312" s="29"/>
    </row>
    <row r="313" spans="1:24" ht="15">
      <c r="A313" s="29"/>
      <c r="B313" s="29"/>
      <c r="C313" s="29"/>
      <c r="D313" s="33"/>
      <c r="E313" s="33"/>
      <c r="G313" s="29"/>
      <c r="H313" s="29"/>
      <c r="I313" s="29"/>
      <c r="J313" s="29"/>
      <c r="K313" s="29"/>
      <c r="L313" s="29"/>
      <c r="M313" s="29"/>
      <c r="N313" s="29"/>
      <c r="O313" s="29"/>
      <c r="P313" s="29"/>
      <c r="Q313" s="29"/>
      <c r="R313" s="29"/>
      <c r="S313" s="29"/>
      <c r="T313" s="29"/>
      <c r="U313" s="29"/>
      <c r="V313" s="29"/>
      <c r="W313" s="29"/>
      <c r="X313" s="29"/>
    </row>
    <row r="314" spans="1:24" ht="15">
      <c r="A314" s="29"/>
      <c r="B314" s="29"/>
      <c r="C314" s="29"/>
      <c r="D314" s="33"/>
      <c r="E314" s="33"/>
      <c r="G314" s="29"/>
      <c r="H314" s="29"/>
      <c r="I314" s="29"/>
      <c r="J314" s="29"/>
      <c r="K314" s="29"/>
      <c r="L314" s="29"/>
      <c r="M314" s="29"/>
      <c r="N314" s="29"/>
      <c r="O314" s="29"/>
      <c r="P314" s="29"/>
      <c r="Q314" s="29"/>
      <c r="R314" s="29"/>
      <c r="S314" s="29"/>
      <c r="T314" s="29"/>
      <c r="U314" s="29"/>
      <c r="V314" s="29"/>
      <c r="W314" s="29"/>
      <c r="X314" s="29"/>
    </row>
    <row r="315" spans="1:24" ht="15">
      <c r="A315" s="29"/>
      <c r="B315" s="29"/>
      <c r="C315" s="29"/>
      <c r="D315" s="33"/>
      <c r="E315" s="33"/>
      <c r="G315" s="29"/>
      <c r="H315" s="29"/>
      <c r="I315" s="29"/>
      <c r="J315" s="29"/>
      <c r="K315" s="29"/>
      <c r="L315" s="29"/>
      <c r="M315" s="29"/>
      <c r="N315" s="29"/>
      <c r="O315" s="29"/>
      <c r="P315" s="29"/>
      <c r="Q315" s="29"/>
      <c r="R315" s="29"/>
      <c r="S315" s="29"/>
      <c r="T315" s="29"/>
      <c r="U315" s="29"/>
      <c r="V315" s="29"/>
      <c r="W315" s="29"/>
      <c r="X315" s="29"/>
    </row>
    <row r="316" spans="1:24" ht="15">
      <c r="A316" s="29"/>
      <c r="B316" s="29"/>
      <c r="C316" s="29"/>
      <c r="D316" s="33"/>
      <c r="E316" s="33"/>
      <c r="G316" s="29"/>
      <c r="H316" s="29"/>
      <c r="I316" s="29"/>
      <c r="J316" s="29"/>
      <c r="K316" s="29"/>
      <c r="L316" s="29"/>
      <c r="M316" s="29"/>
      <c r="N316" s="29"/>
      <c r="O316" s="29"/>
      <c r="P316" s="29"/>
      <c r="Q316" s="29"/>
      <c r="R316" s="29"/>
      <c r="S316" s="29"/>
      <c r="T316" s="29"/>
      <c r="U316" s="29"/>
      <c r="V316" s="29"/>
      <c r="W316" s="29"/>
      <c r="X316" s="29"/>
    </row>
    <row r="317" spans="1:24" ht="15">
      <c r="A317" s="29"/>
      <c r="B317" s="29"/>
      <c r="C317" s="29"/>
      <c r="D317" s="33"/>
      <c r="E317" s="33"/>
      <c r="G317" s="29"/>
      <c r="H317" s="29"/>
      <c r="I317" s="29"/>
      <c r="J317" s="29"/>
      <c r="K317" s="29"/>
      <c r="L317" s="29"/>
      <c r="M317" s="29"/>
      <c r="N317" s="29"/>
      <c r="O317" s="29"/>
      <c r="P317" s="29"/>
      <c r="Q317" s="29"/>
      <c r="R317" s="29"/>
      <c r="S317" s="29"/>
      <c r="T317" s="29"/>
      <c r="U317" s="29"/>
      <c r="V317" s="29"/>
      <c r="W317" s="29"/>
      <c r="X317" s="29"/>
    </row>
    <row r="318" spans="1:24" ht="15">
      <c r="A318" s="29"/>
      <c r="B318" s="29"/>
      <c r="C318" s="29"/>
      <c r="D318" s="33"/>
      <c r="E318" s="33"/>
      <c r="G318" s="29"/>
      <c r="H318" s="29"/>
      <c r="I318" s="29"/>
      <c r="J318" s="29"/>
      <c r="K318" s="29"/>
      <c r="L318" s="29"/>
      <c r="M318" s="29"/>
      <c r="N318" s="29"/>
      <c r="O318" s="29"/>
      <c r="P318" s="29"/>
      <c r="Q318" s="29"/>
      <c r="R318" s="29"/>
      <c r="S318" s="29"/>
      <c r="T318" s="29"/>
      <c r="U318" s="29"/>
      <c r="V318" s="29"/>
      <c r="W318" s="29"/>
      <c r="X318" s="29"/>
    </row>
    <row r="319" spans="1:24" ht="15">
      <c r="A319" s="29"/>
      <c r="B319" s="29"/>
      <c r="C319" s="29"/>
      <c r="D319" s="33"/>
      <c r="E319" s="33"/>
      <c r="G319" s="29"/>
      <c r="H319" s="29"/>
      <c r="I319" s="29"/>
      <c r="J319" s="29"/>
      <c r="K319" s="29"/>
      <c r="L319" s="29"/>
      <c r="M319" s="29"/>
      <c r="N319" s="29"/>
      <c r="O319" s="29"/>
      <c r="P319" s="29"/>
      <c r="Q319" s="29"/>
      <c r="R319" s="29"/>
      <c r="S319" s="29"/>
      <c r="T319" s="29"/>
      <c r="U319" s="29"/>
      <c r="V319" s="29"/>
      <c r="W319" s="29"/>
      <c r="X319" s="29"/>
    </row>
    <row r="320" spans="1:24" ht="15">
      <c r="A320" s="29"/>
      <c r="B320" s="29"/>
      <c r="C320" s="29"/>
      <c r="D320" s="33"/>
      <c r="E320" s="33"/>
      <c r="G320" s="29"/>
      <c r="H320" s="29"/>
      <c r="I320" s="29"/>
      <c r="J320" s="29"/>
      <c r="K320" s="29"/>
      <c r="L320" s="29"/>
      <c r="M320" s="29"/>
      <c r="N320" s="29"/>
      <c r="O320" s="29"/>
      <c r="P320" s="29"/>
      <c r="Q320" s="29"/>
      <c r="R320" s="29"/>
      <c r="S320" s="29"/>
      <c r="T320" s="29"/>
      <c r="U320" s="29"/>
      <c r="V320" s="29"/>
      <c r="W320" s="29"/>
      <c r="X320" s="29"/>
    </row>
    <row r="321" spans="1:24" ht="15">
      <c r="A321" s="29"/>
      <c r="B321" s="29"/>
      <c r="C321" s="29"/>
      <c r="D321" s="33"/>
      <c r="E321" s="33"/>
      <c r="G321" s="29"/>
      <c r="H321" s="29"/>
      <c r="I321" s="29"/>
      <c r="J321" s="29"/>
      <c r="K321" s="29"/>
      <c r="L321" s="29"/>
      <c r="M321" s="29"/>
      <c r="N321" s="29"/>
      <c r="O321" s="29"/>
      <c r="P321" s="29"/>
      <c r="Q321" s="29"/>
      <c r="R321" s="29"/>
      <c r="S321" s="29"/>
      <c r="T321" s="29"/>
      <c r="U321" s="29"/>
      <c r="V321" s="29"/>
      <c r="W321" s="29"/>
      <c r="X321" s="29"/>
    </row>
    <row r="322" spans="1:24" ht="15">
      <c r="A322" s="29"/>
      <c r="B322" s="29"/>
      <c r="C322" s="29"/>
      <c r="D322" s="33"/>
      <c r="E322" s="33"/>
      <c r="G322" s="29"/>
      <c r="H322" s="29"/>
      <c r="I322" s="29"/>
      <c r="J322" s="29"/>
      <c r="K322" s="29"/>
      <c r="L322" s="29"/>
      <c r="M322" s="29"/>
      <c r="N322" s="29"/>
      <c r="O322" s="29"/>
      <c r="P322" s="29"/>
      <c r="Q322" s="29"/>
      <c r="R322" s="29"/>
      <c r="S322" s="29"/>
      <c r="T322" s="29"/>
      <c r="U322" s="29"/>
      <c r="V322" s="29"/>
      <c r="W322" s="29"/>
      <c r="X322" s="29"/>
    </row>
    <row r="323" spans="1:24" ht="15">
      <c r="A323" s="29"/>
      <c r="B323" s="29"/>
      <c r="C323" s="29"/>
      <c r="D323" s="33"/>
      <c r="E323" s="33"/>
      <c r="G323" s="29"/>
      <c r="H323" s="29"/>
      <c r="I323" s="29"/>
      <c r="J323" s="29"/>
      <c r="K323" s="29"/>
      <c r="L323" s="29"/>
      <c r="M323" s="29"/>
      <c r="N323" s="29"/>
      <c r="O323" s="29"/>
      <c r="P323" s="29"/>
      <c r="Q323" s="29"/>
      <c r="R323" s="29"/>
      <c r="S323" s="29"/>
      <c r="T323" s="29"/>
      <c r="U323" s="29"/>
      <c r="V323" s="29"/>
      <c r="W323" s="29"/>
      <c r="X323" s="29"/>
    </row>
    <row r="324" spans="1:24" ht="15">
      <c r="A324" s="29"/>
      <c r="B324" s="29"/>
      <c r="C324" s="29"/>
      <c r="D324" s="33"/>
      <c r="E324" s="33"/>
      <c r="G324" s="29"/>
      <c r="H324" s="29"/>
      <c r="I324" s="29"/>
      <c r="J324" s="29"/>
      <c r="K324" s="29"/>
      <c r="L324" s="29"/>
      <c r="M324" s="29"/>
      <c r="N324" s="29"/>
      <c r="O324" s="29"/>
      <c r="P324" s="29"/>
      <c r="Q324" s="29"/>
      <c r="R324" s="29"/>
      <c r="S324" s="29"/>
      <c r="T324" s="29"/>
      <c r="U324" s="29"/>
      <c r="V324" s="29"/>
      <c r="W324" s="29"/>
      <c r="X324" s="29"/>
    </row>
    <row r="325" spans="1:24" ht="15">
      <c r="A325" s="29"/>
      <c r="B325" s="29"/>
      <c r="C325" s="29"/>
      <c r="D325" s="33"/>
      <c r="E325" s="33"/>
      <c r="G325" s="29"/>
      <c r="H325" s="29"/>
      <c r="I325" s="29"/>
      <c r="J325" s="29"/>
      <c r="K325" s="29"/>
      <c r="L325" s="29"/>
      <c r="M325" s="29"/>
      <c r="N325" s="29"/>
      <c r="O325" s="29"/>
      <c r="P325" s="29"/>
      <c r="Q325" s="29"/>
      <c r="R325" s="29"/>
      <c r="S325" s="29"/>
      <c r="T325" s="29"/>
      <c r="U325" s="29"/>
      <c r="V325" s="29"/>
      <c r="W325" s="29"/>
      <c r="X325" s="29"/>
    </row>
    <row r="326" spans="1:24" ht="15">
      <c r="A326" s="29"/>
      <c r="B326" s="29"/>
      <c r="C326" s="29"/>
      <c r="D326" s="33"/>
      <c r="E326" s="33"/>
      <c r="G326" s="29"/>
      <c r="H326" s="29"/>
      <c r="I326" s="29"/>
      <c r="J326" s="29"/>
      <c r="K326" s="29"/>
      <c r="L326" s="29"/>
      <c r="M326" s="29"/>
      <c r="N326" s="29"/>
      <c r="O326" s="29"/>
      <c r="P326" s="29"/>
      <c r="Q326" s="29"/>
      <c r="R326" s="29"/>
      <c r="S326" s="29"/>
      <c r="T326" s="29"/>
      <c r="U326" s="29"/>
      <c r="V326" s="29"/>
      <c r="W326" s="29"/>
      <c r="X326" s="29"/>
    </row>
    <row r="327" spans="1:24" ht="15">
      <c r="A327" s="29"/>
      <c r="B327" s="29"/>
      <c r="C327" s="29"/>
      <c r="D327" s="33"/>
      <c r="E327" s="33"/>
      <c r="G327" s="29"/>
      <c r="H327" s="29"/>
      <c r="I327" s="29"/>
      <c r="J327" s="29"/>
      <c r="K327" s="29"/>
      <c r="L327" s="29"/>
      <c r="M327" s="29"/>
      <c r="N327" s="29"/>
      <c r="O327" s="29"/>
      <c r="P327" s="29"/>
      <c r="Q327" s="29"/>
      <c r="R327" s="29"/>
      <c r="S327" s="29"/>
      <c r="T327" s="29"/>
      <c r="U327" s="29"/>
      <c r="V327" s="29"/>
      <c r="W327" s="29"/>
      <c r="X327" s="29"/>
    </row>
    <row r="328" spans="1:24" ht="15">
      <c r="A328" s="29"/>
      <c r="B328" s="29"/>
      <c r="C328" s="29"/>
      <c r="D328" s="33"/>
      <c r="E328" s="33"/>
      <c r="G328" s="29"/>
      <c r="H328" s="29"/>
      <c r="I328" s="29"/>
      <c r="J328" s="29"/>
      <c r="K328" s="29"/>
      <c r="L328" s="29"/>
      <c r="M328" s="29"/>
      <c r="N328" s="29"/>
      <c r="O328" s="29"/>
      <c r="P328" s="29"/>
      <c r="Q328" s="29"/>
      <c r="R328" s="29"/>
      <c r="S328" s="29"/>
      <c r="T328" s="29"/>
      <c r="U328" s="29"/>
      <c r="V328" s="29"/>
      <c r="W328" s="29"/>
      <c r="X328" s="29"/>
    </row>
    <row r="329" spans="1:24" ht="15">
      <c r="A329" s="29"/>
      <c r="B329" s="29"/>
      <c r="C329" s="29"/>
      <c r="D329" s="33"/>
      <c r="E329" s="33"/>
      <c r="G329" s="29"/>
      <c r="H329" s="29"/>
      <c r="I329" s="29"/>
      <c r="J329" s="29"/>
      <c r="K329" s="29"/>
      <c r="L329" s="29"/>
      <c r="M329" s="29"/>
      <c r="N329" s="29"/>
      <c r="O329" s="29"/>
      <c r="P329" s="29"/>
      <c r="Q329" s="29"/>
      <c r="R329" s="29"/>
      <c r="S329" s="29"/>
      <c r="T329" s="29"/>
      <c r="U329" s="29"/>
      <c r="V329" s="29"/>
      <c r="W329" s="29"/>
      <c r="X329" s="29"/>
    </row>
    <row r="330" spans="1:24" ht="15">
      <c r="A330" s="29"/>
      <c r="B330" s="29"/>
      <c r="C330" s="29"/>
      <c r="D330" s="33"/>
      <c r="E330" s="33"/>
      <c r="G330" s="29"/>
      <c r="H330" s="29"/>
      <c r="I330" s="29"/>
      <c r="J330" s="29"/>
      <c r="K330" s="29"/>
      <c r="L330" s="29"/>
      <c r="M330" s="29"/>
      <c r="N330" s="29"/>
      <c r="O330" s="29"/>
      <c r="P330" s="29"/>
      <c r="Q330" s="29"/>
      <c r="R330" s="29"/>
      <c r="S330" s="29"/>
      <c r="T330" s="29"/>
      <c r="U330" s="29"/>
      <c r="V330" s="29"/>
      <c r="W330" s="29"/>
      <c r="X330" s="29"/>
    </row>
    <row r="331" spans="1:24" ht="15">
      <c r="A331" s="29"/>
      <c r="B331" s="29"/>
      <c r="C331" s="29"/>
      <c r="D331" s="33"/>
      <c r="E331" s="33"/>
      <c r="G331" s="29"/>
      <c r="H331" s="29"/>
      <c r="I331" s="29"/>
      <c r="J331" s="29"/>
      <c r="K331" s="29"/>
      <c r="L331" s="29"/>
      <c r="M331" s="29"/>
      <c r="N331" s="29"/>
      <c r="O331" s="29"/>
      <c r="P331" s="29"/>
      <c r="Q331" s="29"/>
      <c r="R331" s="29"/>
      <c r="S331" s="29"/>
      <c r="T331" s="29"/>
      <c r="U331" s="29"/>
      <c r="V331" s="29"/>
      <c r="W331" s="29"/>
      <c r="X331" s="29"/>
    </row>
    <row r="332" spans="1:24" ht="15">
      <c r="A332" s="29"/>
      <c r="B332" s="29"/>
      <c r="C332" s="29"/>
      <c r="D332" s="33"/>
      <c r="E332" s="33"/>
      <c r="G332" s="29"/>
      <c r="H332" s="29"/>
      <c r="I332" s="29"/>
      <c r="J332" s="29"/>
      <c r="K332" s="29"/>
      <c r="L332" s="29"/>
      <c r="M332" s="29"/>
      <c r="N332" s="29"/>
      <c r="O332" s="29"/>
      <c r="P332" s="29"/>
      <c r="Q332" s="29"/>
      <c r="R332" s="29"/>
      <c r="S332" s="29"/>
      <c r="T332" s="29"/>
      <c r="U332" s="29"/>
      <c r="V332" s="29"/>
      <c r="W332" s="29"/>
      <c r="X332" s="29"/>
    </row>
    <row r="333" spans="1:24" ht="15">
      <c r="A333" s="29"/>
      <c r="B333" s="29"/>
      <c r="C333" s="29"/>
      <c r="D333" s="33"/>
      <c r="E333" s="33"/>
      <c r="G333" s="29"/>
      <c r="H333" s="29"/>
      <c r="I333" s="29"/>
      <c r="J333" s="29"/>
      <c r="K333" s="29"/>
      <c r="L333" s="29"/>
      <c r="M333" s="29"/>
      <c r="N333" s="29"/>
      <c r="O333" s="29"/>
      <c r="P333" s="29"/>
      <c r="Q333" s="29"/>
      <c r="R333" s="29"/>
      <c r="S333" s="29"/>
      <c r="T333" s="29"/>
      <c r="U333" s="29"/>
      <c r="V333" s="29"/>
      <c r="W333" s="29"/>
      <c r="X333" s="29"/>
    </row>
    <row r="334" spans="1:24" ht="15">
      <c r="A334" s="29"/>
      <c r="B334" s="29"/>
      <c r="C334" s="29"/>
      <c r="D334" s="33"/>
      <c r="E334" s="33"/>
      <c r="G334" s="29"/>
      <c r="H334" s="29"/>
      <c r="I334" s="29"/>
      <c r="J334" s="29"/>
      <c r="K334" s="29"/>
      <c r="L334" s="29"/>
      <c r="M334" s="29"/>
      <c r="N334" s="29"/>
      <c r="O334" s="29"/>
      <c r="P334" s="29"/>
      <c r="Q334" s="29"/>
      <c r="R334" s="29"/>
      <c r="S334" s="29"/>
      <c r="T334" s="29"/>
      <c r="U334" s="29"/>
      <c r="V334" s="29"/>
      <c r="W334" s="29"/>
      <c r="X334" s="29"/>
    </row>
    <row r="335" spans="1:24" ht="15">
      <c r="A335" s="29"/>
      <c r="B335" s="29"/>
      <c r="C335" s="29"/>
      <c r="D335" s="33"/>
      <c r="E335" s="33"/>
      <c r="G335" s="29"/>
      <c r="H335" s="29"/>
      <c r="I335" s="29"/>
      <c r="J335" s="29"/>
      <c r="K335" s="29"/>
      <c r="L335" s="29"/>
      <c r="M335" s="29"/>
      <c r="N335" s="29"/>
      <c r="O335" s="29"/>
      <c r="P335" s="29"/>
      <c r="Q335" s="29"/>
      <c r="R335" s="29"/>
      <c r="S335" s="29"/>
      <c r="T335" s="29"/>
      <c r="U335" s="29"/>
      <c r="V335" s="29"/>
      <c r="W335" s="29"/>
      <c r="X335" s="29"/>
    </row>
    <row r="336" spans="1:24" ht="15">
      <c r="A336" s="29"/>
      <c r="B336" s="29"/>
      <c r="C336" s="29"/>
      <c r="D336" s="33"/>
      <c r="E336" s="33"/>
      <c r="G336" s="29"/>
      <c r="H336" s="29"/>
      <c r="I336" s="29"/>
      <c r="J336" s="29"/>
      <c r="K336" s="29"/>
      <c r="L336" s="29"/>
      <c r="M336" s="29"/>
      <c r="N336" s="29"/>
      <c r="O336" s="29"/>
      <c r="P336" s="29"/>
      <c r="Q336" s="29"/>
      <c r="R336" s="29"/>
      <c r="S336" s="29"/>
      <c r="T336" s="29"/>
      <c r="U336" s="29"/>
      <c r="V336" s="29"/>
      <c r="W336" s="29"/>
      <c r="X336" s="29"/>
    </row>
    <row r="337" spans="1:24" ht="15">
      <c r="A337" s="29"/>
      <c r="B337" s="29"/>
      <c r="C337" s="29"/>
      <c r="D337" s="33"/>
      <c r="E337" s="33"/>
      <c r="G337" s="29"/>
      <c r="H337" s="29"/>
      <c r="I337" s="29"/>
      <c r="J337" s="29"/>
      <c r="K337" s="29"/>
      <c r="L337" s="29"/>
      <c r="M337" s="29"/>
      <c r="N337" s="29"/>
      <c r="O337" s="29"/>
      <c r="P337" s="29"/>
      <c r="Q337" s="29"/>
      <c r="R337" s="29"/>
      <c r="S337" s="29"/>
      <c r="T337" s="29"/>
      <c r="U337" s="29"/>
      <c r="V337" s="29"/>
      <c r="W337" s="29"/>
      <c r="X337" s="29"/>
    </row>
    <row r="338" spans="1:24" ht="15">
      <c r="A338" s="29"/>
      <c r="B338" s="29"/>
      <c r="C338" s="29"/>
      <c r="D338" s="33"/>
      <c r="E338" s="33"/>
      <c r="G338" s="29"/>
      <c r="H338" s="29"/>
      <c r="I338" s="29"/>
      <c r="J338" s="29"/>
      <c r="K338" s="29"/>
      <c r="L338" s="29"/>
      <c r="M338" s="29"/>
      <c r="N338" s="29"/>
      <c r="O338" s="29"/>
      <c r="P338" s="29"/>
      <c r="Q338" s="29"/>
      <c r="R338" s="29"/>
      <c r="S338" s="29"/>
      <c r="T338" s="29"/>
      <c r="U338" s="29"/>
      <c r="V338" s="29"/>
      <c r="W338" s="29"/>
      <c r="X338" s="29"/>
    </row>
    <row r="339" spans="1:24" ht="15">
      <c r="A339" s="29"/>
      <c r="B339" s="29"/>
      <c r="C339" s="29"/>
      <c r="D339" s="33"/>
      <c r="E339" s="33"/>
      <c r="G339" s="29"/>
      <c r="H339" s="29"/>
      <c r="I339" s="29"/>
      <c r="J339" s="29"/>
      <c r="K339" s="29"/>
      <c r="L339" s="29"/>
      <c r="M339" s="29"/>
      <c r="N339" s="29"/>
      <c r="O339" s="29"/>
      <c r="P339" s="29"/>
      <c r="Q339" s="29"/>
      <c r="R339" s="29"/>
      <c r="S339" s="29"/>
      <c r="T339" s="29"/>
      <c r="U339" s="29"/>
      <c r="V339" s="29"/>
      <c r="W339" s="29"/>
      <c r="X339" s="29"/>
    </row>
    <row r="340" spans="1:24" ht="15">
      <c r="A340" s="29"/>
      <c r="B340" s="29"/>
      <c r="C340" s="29"/>
      <c r="D340" s="33"/>
      <c r="E340" s="33"/>
      <c r="G340" s="29"/>
      <c r="H340" s="29"/>
      <c r="I340" s="29"/>
      <c r="J340" s="29"/>
      <c r="K340" s="29"/>
      <c r="L340" s="29"/>
      <c r="M340" s="29"/>
      <c r="N340" s="29"/>
      <c r="O340" s="29"/>
      <c r="P340" s="29"/>
      <c r="Q340" s="29"/>
      <c r="R340" s="29"/>
      <c r="S340" s="29"/>
      <c r="T340" s="29"/>
      <c r="U340" s="29"/>
      <c r="V340" s="29"/>
      <c r="W340" s="29"/>
      <c r="X340" s="29"/>
    </row>
    <row r="341" spans="1:24" ht="15">
      <c r="A341" s="29"/>
      <c r="B341" s="29"/>
      <c r="C341" s="29"/>
      <c r="D341" s="33"/>
      <c r="E341" s="33"/>
      <c r="G341" s="29"/>
      <c r="H341" s="29"/>
      <c r="I341" s="29"/>
      <c r="J341" s="29"/>
      <c r="K341" s="29"/>
      <c r="L341" s="29"/>
      <c r="M341" s="29"/>
      <c r="N341" s="29"/>
      <c r="O341" s="29"/>
      <c r="P341" s="29"/>
      <c r="Q341" s="29"/>
      <c r="R341" s="29"/>
      <c r="S341" s="29"/>
      <c r="T341" s="29"/>
      <c r="U341" s="29"/>
      <c r="V341" s="29"/>
      <c r="W341" s="29"/>
      <c r="X341" s="29"/>
    </row>
    <row r="342" spans="1:24" ht="15">
      <c r="A342" s="29"/>
      <c r="B342" s="29"/>
      <c r="C342" s="29"/>
      <c r="D342" s="33"/>
      <c r="E342" s="33"/>
      <c r="G342" s="29"/>
      <c r="H342" s="29"/>
      <c r="I342" s="29"/>
      <c r="J342" s="29"/>
      <c r="K342" s="29"/>
      <c r="L342" s="29"/>
      <c r="M342" s="29"/>
      <c r="N342" s="29"/>
      <c r="O342" s="29"/>
      <c r="P342" s="29"/>
      <c r="Q342" s="29"/>
      <c r="R342" s="29"/>
      <c r="S342" s="29"/>
      <c r="T342" s="29"/>
      <c r="U342" s="29"/>
      <c r="V342" s="29"/>
      <c r="W342" s="29"/>
      <c r="X342" s="29"/>
    </row>
    <row r="343" spans="1:24" ht="15">
      <c r="A343" s="29"/>
      <c r="B343" s="29"/>
      <c r="C343" s="29"/>
      <c r="D343" s="33"/>
      <c r="E343" s="33"/>
      <c r="G343" s="29"/>
      <c r="H343" s="29"/>
      <c r="I343" s="29"/>
      <c r="J343" s="29"/>
      <c r="K343" s="29"/>
      <c r="L343" s="29"/>
      <c r="M343" s="29"/>
      <c r="N343" s="29"/>
      <c r="O343" s="29"/>
      <c r="P343" s="29"/>
      <c r="Q343" s="29"/>
      <c r="R343" s="29"/>
      <c r="S343" s="29"/>
      <c r="T343" s="29"/>
      <c r="U343" s="29"/>
      <c r="V343" s="29"/>
      <c r="W343" s="29"/>
      <c r="X343" s="29"/>
    </row>
    <row r="344" spans="1:24" ht="15">
      <c r="A344" s="29"/>
      <c r="B344" s="29"/>
      <c r="C344" s="29"/>
      <c r="D344" s="33"/>
      <c r="E344" s="33"/>
      <c r="G344" s="29"/>
      <c r="H344" s="29"/>
      <c r="I344" s="29"/>
      <c r="J344" s="29"/>
      <c r="K344" s="29"/>
      <c r="L344" s="29"/>
      <c r="M344" s="29"/>
      <c r="N344" s="29"/>
      <c r="O344" s="29"/>
      <c r="P344" s="29"/>
      <c r="Q344" s="29"/>
      <c r="R344" s="29"/>
      <c r="S344" s="29"/>
      <c r="T344" s="29"/>
      <c r="U344" s="29"/>
      <c r="V344" s="29"/>
      <c r="W344" s="29"/>
      <c r="X344" s="29"/>
    </row>
    <row r="345" spans="1:24" ht="15">
      <c r="A345" s="29"/>
      <c r="B345" s="29"/>
      <c r="C345" s="29"/>
      <c r="D345" s="33"/>
      <c r="E345" s="33"/>
      <c r="G345" s="29"/>
      <c r="H345" s="29"/>
      <c r="I345" s="29"/>
      <c r="J345" s="29"/>
      <c r="K345" s="29"/>
      <c r="L345" s="29"/>
      <c r="M345" s="29"/>
      <c r="N345" s="29"/>
      <c r="O345" s="29"/>
      <c r="P345" s="29"/>
      <c r="Q345" s="29"/>
      <c r="R345" s="29"/>
      <c r="S345" s="29"/>
      <c r="T345" s="29"/>
      <c r="U345" s="29"/>
      <c r="V345" s="29"/>
      <c r="W345" s="29"/>
      <c r="X345" s="29"/>
    </row>
    <row r="346" spans="1:24" ht="15">
      <c r="A346" s="29"/>
      <c r="B346" s="29"/>
      <c r="C346" s="29"/>
      <c r="D346" s="33"/>
      <c r="E346" s="33"/>
      <c r="G346" s="29"/>
      <c r="H346" s="29"/>
      <c r="I346" s="29"/>
      <c r="J346" s="29"/>
      <c r="K346" s="29"/>
      <c r="L346" s="29"/>
      <c r="M346" s="29"/>
      <c r="N346" s="29"/>
      <c r="O346" s="29"/>
      <c r="P346" s="29"/>
      <c r="Q346" s="29"/>
      <c r="R346" s="29"/>
      <c r="S346" s="29"/>
      <c r="T346" s="29"/>
      <c r="U346" s="29"/>
      <c r="V346" s="29"/>
      <c r="W346" s="29"/>
      <c r="X346" s="29"/>
    </row>
    <row r="347" spans="1:24" ht="15">
      <c r="A347" s="29"/>
      <c r="B347" s="29"/>
      <c r="C347" s="29"/>
      <c r="D347" s="33"/>
      <c r="E347" s="33"/>
      <c r="G347" s="29"/>
      <c r="H347" s="29"/>
      <c r="I347" s="29"/>
      <c r="J347" s="29"/>
      <c r="K347" s="29"/>
      <c r="L347" s="29"/>
      <c r="M347" s="29"/>
      <c r="N347" s="29"/>
      <c r="O347" s="29"/>
      <c r="P347" s="29"/>
      <c r="Q347" s="29"/>
      <c r="R347" s="29"/>
      <c r="S347" s="29"/>
      <c r="T347" s="29"/>
      <c r="U347" s="29"/>
      <c r="V347" s="29"/>
      <c r="W347" s="29"/>
      <c r="X347" s="29"/>
    </row>
    <row r="348" spans="1:24" ht="15">
      <c r="A348" s="29"/>
      <c r="B348" s="29"/>
      <c r="C348" s="29"/>
      <c r="D348" s="33"/>
      <c r="E348" s="33"/>
      <c r="G348" s="29"/>
      <c r="H348" s="29"/>
      <c r="I348" s="29"/>
      <c r="J348" s="29"/>
      <c r="K348" s="29"/>
      <c r="L348" s="29"/>
      <c r="M348" s="29"/>
      <c r="N348" s="29"/>
      <c r="O348" s="29"/>
      <c r="P348" s="29"/>
      <c r="Q348" s="29"/>
      <c r="R348" s="29"/>
      <c r="S348" s="29"/>
      <c r="T348" s="29"/>
      <c r="U348" s="29"/>
      <c r="V348" s="29"/>
      <c r="W348" s="29"/>
      <c r="X348" s="29"/>
    </row>
    <row r="349" spans="1:24" ht="15">
      <c r="A349" s="29"/>
      <c r="B349" s="29"/>
      <c r="C349" s="29"/>
      <c r="D349" s="33"/>
      <c r="E349" s="33"/>
      <c r="G349" s="29"/>
      <c r="H349" s="29"/>
      <c r="I349" s="29"/>
      <c r="J349" s="29"/>
      <c r="K349" s="29"/>
      <c r="L349" s="29"/>
      <c r="M349" s="29"/>
      <c r="N349" s="29"/>
      <c r="O349" s="29"/>
      <c r="P349" s="29"/>
      <c r="Q349" s="29"/>
      <c r="R349" s="29"/>
      <c r="S349" s="29"/>
      <c r="T349" s="29"/>
      <c r="U349" s="29"/>
      <c r="V349" s="29"/>
      <c r="W349" s="29"/>
      <c r="X349" s="29"/>
    </row>
    <row r="350" spans="1:24" ht="15">
      <c r="A350" s="29"/>
      <c r="B350" s="29"/>
      <c r="C350" s="29"/>
      <c r="D350" s="33"/>
      <c r="E350" s="33"/>
      <c r="G350" s="29"/>
      <c r="H350" s="29"/>
      <c r="I350" s="29"/>
      <c r="J350" s="29"/>
      <c r="K350" s="29"/>
      <c r="L350" s="29"/>
      <c r="M350" s="29"/>
      <c r="N350" s="29"/>
      <c r="O350" s="29"/>
      <c r="P350" s="29"/>
      <c r="Q350" s="29"/>
      <c r="R350" s="29"/>
      <c r="S350" s="29"/>
      <c r="T350" s="29"/>
      <c r="U350" s="29"/>
      <c r="V350" s="29"/>
      <c r="W350" s="29"/>
      <c r="X350" s="29"/>
    </row>
    <row r="351" spans="1:24" ht="15">
      <c r="A351" s="29"/>
      <c r="B351" s="29"/>
      <c r="C351" s="29"/>
      <c r="D351" s="33"/>
      <c r="E351" s="33"/>
      <c r="G351" s="29"/>
      <c r="H351" s="29"/>
      <c r="I351" s="29"/>
      <c r="J351" s="29"/>
      <c r="K351" s="29"/>
      <c r="L351" s="29"/>
      <c r="M351" s="29"/>
      <c r="N351" s="29"/>
      <c r="O351" s="29"/>
      <c r="P351" s="29"/>
      <c r="Q351" s="29"/>
      <c r="R351" s="29"/>
      <c r="S351" s="29"/>
      <c r="T351" s="29"/>
      <c r="U351" s="29"/>
      <c r="V351" s="29"/>
      <c r="W351" s="29"/>
      <c r="X351" s="29"/>
    </row>
    <row r="352" spans="1:24" ht="15">
      <c r="A352" s="29"/>
      <c r="B352" s="29"/>
      <c r="C352" s="29"/>
      <c r="D352" s="33"/>
      <c r="E352" s="33"/>
      <c r="G352" s="29"/>
      <c r="H352" s="29"/>
      <c r="I352" s="29"/>
      <c r="J352" s="29"/>
      <c r="K352" s="29"/>
      <c r="L352" s="29"/>
      <c r="M352" s="29"/>
      <c r="N352" s="29"/>
      <c r="O352" s="29"/>
      <c r="P352" s="29"/>
      <c r="Q352" s="29"/>
      <c r="R352" s="29"/>
      <c r="S352" s="29"/>
      <c r="T352" s="29"/>
      <c r="U352" s="29"/>
      <c r="V352" s="29"/>
      <c r="W352" s="29"/>
      <c r="X352" s="29"/>
    </row>
    <row r="353" spans="1:24" ht="15">
      <c r="A353" s="29"/>
      <c r="B353" s="29"/>
      <c r="C353" s="29"/>
      <c r="D353" s="33"/>
      <c r="E353" s="33"/>
      <c r="G353" s="29"/>
      <c r="H353" s="29"/>
      <c r="I353" s="29"/>
      <c r="J353" s="29"/>
      <c r="K353" s="29"/>
      <c r="L353" s="29"/>
      <c r="M353" s="29"/>
      <c r="N353" s="29"/>
      <c r="O353" s="29"/>
      <c r="P353" s="29"/>
      <c r="Q353" s="29"/>
      <c r="R353" s="29"/>
      <c r="S353" s="29"/>
      <c r="T353" s="29"/>
      <c r="U353" s="29"/>
      <c r="V353" s="29"/>
      <c r="W353" s="29"/>
      <c r="X353" s="29"/>
    </row>
    <row r="354" spans="1:24" ht="15">
      <c r="A354" s="29"/>
      <c r="B354" s="29"/>
      <c r="C354" s="29"/>
      <c r="D354" s="33"/>
      <c r="E354" s="33"/>
      <c r="G354" s="29"/>
      <c r="H354" s="29"/>
      <c r="I354" s="29"/>
      <c r="J354" s="29"/>
      <c r="K354" s="29"/>
      <c r="L354" s="29"/>
      <c r="M354" s="29"/>
      <c r="N354" s="29"/>
      <c r="O354" s="29"/>
      <c r="P354" s="29"/>
      <c r="Q354" s="29"/>
      <c r="R354" s="29"/>
      <c r="S354" s="29"/>
      <c r="T354" s="29"/>
      <c r="U354" s="29"/>
      <c r="V354" s="29"/>
      <c r="W354" s="29"/>
      <c r="X354" s="29"/>
    </row>
    <row r="355" spans="1:24" ht="15">
      <c r="A355" s="29"/>
      <c r="B355" s="29"/>
      <c r="C355" s="29"/>
      <c r="D355" s="33"/>
      <c r="E355" s="33"/>
      <c r="G355" s="29"/>
      <c r="H355" s="29"/>
      <c r="I355" s="29"/>
      <c r="J355" s="29"/>
      <c r="K355" s="29"/>
      <c r="L355" s="29"/>
      <c r="M355" s="29"/>
      <c r="N355" s="29"/>
      <c r="O355" s="29"/>
      <c r="P355" s="29"/>
      <c r="Q355" s="29"/>
      <c r="R355" s="29"/>
      <c r="S355" s="29"/>
      <c r="T355" s="29"/>
      <c r="U355" s="29"/>
      <c r="V355" s="29"/>
      <c r="W355" s="29"/>
      <c r="X355" s="29"/>
    </row>
    <row r="356" spans="1:24" ht="15">
      <c r="A356" s="29"/>
      <c r="B356" s="29"/>
      <c r="C356" s="29"/>
      <c r="D356" s="33"/>
      <c r="E356" s="33"/>
      <c r="G356" s="29"/>
      <c r="H356" s="29"/>
      <c r="I356" s="29"/>
      <c r="J356" s="29"/>
      <c r="K356" s="29"/>
      <c r="L356" s="29"/>
      <c r="M356" s="29"/>
      <c r="N356" s="29"/>
      <c r="O356" s="29"/>
      <c r="P356" s="29"/>
      <c r="Q356" s="29"/>
      <c r="R356" s="29"/>
      <c r="S356" s="29"/>
      <c r="T356" s="29"/>
      <c r="U356" s="29"/>
      <c r="V356" s="29"/>
      <c r="W356" s="29"/>
      <c r="X356" s="29"/>
    </row>
    <row r="357" spans="1:24" ht="15">
      <c r="A357" s="29"/>
      <c r="B357" s="29"/>
      <c r="C357" s="29"/>
      <c r="D357" s="33"/>
      <c r="E357" s="33"/>
      <c r="G357" s="29"/>
      <c r="H357" s="29"/>
      <c r="I357" s="29"/>
      <c r="J357" s="29"/>
      <c r="K357" s="29"/>
      <c r="L357" s="29"/>
      <c r="M357" s="29"/>
      <c r="N357" s="29"/>
      <c r="O357" s="29"/>
      <c r="P357" s="29"/>
      <c r="Q357" s="29"/>
      <c r="R357" s="29"/>
      <c r="S357" s="29"/>
      <c r="T357" s="29"/>
      <c r="U357" s="29"/>
      <c r="V357" s="29"/>
      <c r="W357" s="29"/>
      <c r="X357" s="29"/>
    </row>
    <row r="358" spans="1:24" ht="15">
      <c r="A358" s="29"/>
      <c r="B358" s="29"/>
      <c r="C358" s="29"/>
      <c r="D358" s="33"/>
      <c r="E358" s="33"/>
      <c r="G358" s="29"/>
      <c r="H358" s="29"/>
      <c r="I358" s="29"/>
      <c r="J358" s="29"/>
      <c r="K358" s="29"/>
      <c r="L358" s="29"/>
      <c r="M358" s="29"/>
      <c r="N358" s="29"/>
      <c r="O358" s="29"/>
      <c r="P358" s="29"/>
      <c r="Q358" s="29"/>
      <c r="R358" s="29"/>
      <c r="S358" s="29"/>
      <c r="T358" s="29"/>
      <c r="U358" s="29"/>
      <c r="V358" s="29"/>
      <c r="W358" s="29"/>
      <c r="X358" s="29"/>
    </row>
    <row r="359" spans="1:24" ht="15">
      <c r="A359" s="29"/>
      <c r="B359" s="29"/>
      <c r="C359" s="29"/>
      <c r="D359" s="33"/>
      <c r="E359" s="33"/>
      <c r="G359" s="29"/>
      <c r="H359" s="29"/>
      <c r="I359" s="29"/>
      <c r="J359" s="29"/>
      <c r="K359" s="29"/>
      <c r="L359" s="29"/>
      <c r="M359" s="29"/>
      <c r="N359" s="29"/>
      <c r="O359" s="29"/>
      <c r="P359" s="29"/>
      <c r="Q359" s="29"/>
      <c r="R359" s="29"/>
      <c r="S359" s="29"/>
      <c r="T359" s="29"/>
      <c r="U359" s="29"/>
      <c r="V359" s="29"/>
      <c r="W359" s="29"/>
      <c r="X359" s="29"/>
    </row>
    <row r="360" spans="1:24" ht="15">
      <c r="A360" s="29"/>
      <c r="B360" s="29"/>
      <c r="C360" s="29"/>
      <c r="D360" s="33"/>
      <c r="E360" s="33"/>
      <c r="G360" s="29"/>
      <c r="H360" s="29"/>
      <c r="I360" s="29"/>
      <c r="J360" s="29"/>
      <c r="K360" s="29"/>
      <c r="L360" s="29"/>
      <c r="M360" s="29"/>
      <c r="N360" s="29"/>
      <c r="O360" s="29"/>
      <c r="P360" s="29"/>
      <c r="Q360" s="29"/>
      <c r="R360" s="29"/>
      <c r="S360" s="29"/>
      <c r="T360" s="29"/>
      <c r="U360" s="29"/>
      <c r="V360" s="29"/>
      <c r="W360" s="29"/>
      <c r="X360" s="29"/>
    </row>
    <row r="361" spans="1:24" ht="15">
      <c r="A361" s="29"/>
      <c r="B361" s="29"/>
      <c r="C361" s="29"/>
      <c r="D361" s="33"/>
      <c r="E361" s="33"/>
      <c r="G361" s="29"/>
      <c r="H361" s="29"/>
      <c r="I361" s="29"/>
      <c r="J361" s="29"/>
      <c r="K361" s="29"/>
      <c r="L361" s="29"/>
      <c r="M361" s="29"/>
      <c r="N361" s="29"/>
      <c r="O361" s="29"/>
      <c r="P361" s="29"/>
      <c r="Q361" s="29"/>
      <c r="R361" s="29"/>
      <c r="S361" s="29"/>
      <c r="T361" s="29"/>
      <c r="U361" s="29"/>
      <c r="V361" s="29"/>
      <c r="W361" s="29"/>
      <c r="X361" s="29"/>
    </row>
    <row r="362" spans="1:24" ht="15">
      <c r="A362" s="29"/>
      <c r="B362" s="29"/>
      <c r="C362" s="29"/>
      <c r="D362" s="33"/>
      <c r="E362" s="33"/>
      <c r="G362" s="29"/>
      <c r="H362" s="29"/>
      <c r="I362" s="29"/>
      <c r="J362" s="29"/>
      <c r="K362" s="29"/>
      <c r="L362" s="29"/>
      <c r="M362" s="29"/>
      <c r="N362" s="29"/>
      <c r="O362" s="29"/>
      <c r="P362" s="29"/>
      <c r="Q362" s="29"/>
      <c r="R362" s="29"/>
      <c r="S362" s="29"/>
      <c r="T362" s="29"/>
      <c r="U362" s="29"/>
      <c r="V362" s="29"/>
      <c r="W362" s="29"/>
      <c r="X362" s="29"/>
    </row>
    <row r="363" spans="1:24" ht="15">
      <c r="A363" s="29"/>
      <c r="B363" s="29"/>
      <c r="C363" s="29"/>
      <c r="D363" s="33"/>
      <c r="E363" s="33"/>
      <c r="G363" s="29"/>
      <c r="H363" s="29"/>
      <c r="I363" s="29"/>
      <c r="J363" s="29"/>
      <c r="K363" s="29"/>
      <c r="L363" s="29"/>
      <c r="M363" s="29"/>
      <c r="N363" s="29"/>
      <c r="O363" s="29"/>
      <c r="P363" s="29"/>
      <c r="Q363" s="29"/>
      <c r="R363" s="29"/>
      <c r="S363" s="29"/>
      <c r="T363" s="29"/>
      <c r="U363" s="29"/>
      <c r="V363" s="29"/>
      <c r="W363" s="29"/>
      <c r="X363" s="29"/>
    </row>
    <row r="364" spans="1:24" ht="15">
      <c r="A364" s="29"/>
      <c r="B364" s="29"/>
      <c r="C364" s="29"/>
      <c r="D364" s="33"/>
      <c r="E364" s="33"/>
      <c r="G364" s="29"/>
      <c r="H364" s="29"/>
      <c r="I364" s="29"/>
      <c r="J364" s="29"/>
      <c r="K364" s="29"/>
      <c r="L364" s="29"/>
      <c r="M364" s="29"/>
      <c r="N364" s="29"/>
      <c r="O364" s="29"/>
      <c r="P364" s="29"/>
      <c r="Q364" s="29"/>
      <c r="R364" s="29"/>
      <c r="S364" s="29"/>
      <c r="T364" s="29"/>
      <c r="U364" s="29"/>
      <c r="V364" s="29"/>
      <c r="W364" s="29"/>
      <c r="X364" s="29"/>
    </row>
    <row r="365" spans="1:24" ht="15">
      <c r="A365" s="29"/>
      <c r="B365" s="29"/>
      <c r="C365" s="29"/>
      <c r="D365" s="33"/>
      <c r="E365" s="33"/>
      <c r="G365" s="29"/>
      <c r="H365" s="29"/>
      <c r="I365" s="29"/>
      <c r="J365" s="29"/>
      <c r="K365" s="29"/>
      <c r="L365" s="29"/>
      <c r="M365" s="29"/>
      <c r="N365" s="29"/>
      <c r="O365" s="29"/>
      <c r="P365" s="29"/>
      <c r="Q365" s="29"/>
      <c r="R365" s="29"/>
      <c r="S365" s="29"/>
      <c r="T365" s="29"/>
      <c r="U365" s="29"/>
      <c r="V365" s="29"/>
      <c r="W365" s="29"/>
      <c r="X365" s="29"/>
    </row>
    <row r="366" spans="1:24" ht="15">
      <c r="A366" s="29"/>
      <c r="B366" s="29"/>
      <c r="C366" s="29"/>
      <c r="D366" s="33"/>
      <c r="E366" s="33"/>
      <c r="G366" s="29"/>
      <c r="H366" s="29"/>
      <c r="I366" s="29"/>
      <c r="J366" s="29"/>
      <c r="K366" s="29"/>
      <c r="L366" s="29"/>
      <c r="M366" s="29"/>
      <c r="N366" s="29"/>
      <c r="O366" s="29"/>
      <c r="P366" s="29"/>
      <c r="Q366" s="29"/>
      <c r="R366" s="29"/>
      <c r="S366" s="29"/>
      <c r="T366" s="29"/>
      <c r="U366" s="29"/>
      <c r="V366" s="29"/>
      <c r="W366" s="29"/>
      <c r="X366" s="29"/>
    </row>
    <row r="367" spans="1:24" ht="15">
      <c r="A367" s="29"/>
      <c r="B367" s="29"/>
      <c r="C367" s="29"/>
      <c r="D367" s="33"/>
      <c r="E367" s="33"/>
      <c r="G367" s="29"/>
      <c r="H367" s="29"/>
      <c r="I367" s="29"/>
      <c r="J367" s="29"/>
      <c r="K367" s="29"/>
      <c r="L367" s="29"/>
      <c r="M367" s="29"/>
      <c r="N367" s="29"/>
      <c r="O367" s="29"/>
      <c r="P367" s="29"/>
      <c r="Q367" s="29"/>
      <c r="R367" s="29"/>
      <c r="S367" s="29"/>
      <c r="T367" s="29"/>
      <c r="U367" s="29"/>
      <c r="V367" s="29"/>
      <c r="W367" s="29"/>
      <c r="X367" s="29"/>
    </row>
    <row r="368" spans="1:24" ht="15">
      <c r="A368" s="29"/>
      <c r="B368" s="29"/>
      <c r="C368" s="29"/>
      <c r="D368" s="33"/>
      <c r="E368" s="33"/>
      <c r="G368" s="29"/>
      <c r="H368" s="29"/>
      <c r="I368" s="29"/>
      <c r="J368" s="29"/>
      <c r="K368" s="29"/>
      <c r="L368" s="29"/>
      <c r="M368" s="29"/>
      <c r="N368" s="29"/>
      <c r="O368" s="29"/>
      <c r="P368" s="29"/>
      <c r="Q368" s="29"/>
      <c r="R368" s="29"/>
      <c r="S368" s="29"/>
      <c r="T368" s="29"/>
      <c r="U368" s="29"/>
      <c r="V368" s="29"/>
      <c r="W368" s="29"/>
      <c r="X368" s="29"/>
    </row>
    <row r="369" spans="1:24" ht="15">
      <c r="A369" s="29"/>
      <c r="B369" s="29"/>
      <c r="C369" s="29"/>
      <c r="D369" s="33"/>
      <c r="E369" s="33"/>
      <c r="G369" s="29"/>
      <c r="H369" s="29"/>
      <c r="I369" s="29"/>
      <c r="J369" s="29"/>
      <c r="K369" s="29"/>
      <c r="L369" s="29"/>
      <c r="M369" s="29"/>
      <c r="N369" s="29"/>
      <c r="O369" s="29"/>
      <c r="P369" s="29"/>
      <c r="Q369" s="29"/>
      <c r="R369" s="29"/>
      <c r="S369" s="29"/>
      <c r="T369" s="29"/>
      <c r="U369" s="29"/>
      <c r="V369" s="29"/>
      <c r="W369" s="29"/>
      <c r="X369" s="29"/>
    </row>
    <row r="370" spans="1:24" ht="15">
      <c r="A370" s="29"/>
      <c r="B370" s="29"/>
      <c r="C370" s="29"/>
      <c r="D370" s="33"/>
      <c r="E370" s="33"/>
      <c r="G370" s="29"/>
      <c r="H370" s="29"/>
      <c r="I370" s="29"/>
      <c r="J370" s="29"/>
      <c r="K370" s="29"/>
      <c r="L370" s="29"/>
      <c r="M370" s="29"/>
      <c r="N370" s="29"/>
      <c r="O370" s="29"/>
      <c r="P370" s="29"/>
      <c r="Q370" s="29"/>
      <c r="R370" s="29"/>
      <c r="S370" s="29"/>
      <c r="T370" s="29"/>
      <c r="U370" s="29"/>
      <c r="V370" s="29"/>
      <c r="W370" s="29"/>
      <c r="X370" s="29"/>
    </row>
    <row r="371" spans="1:24" ht="15">
      <c r="A371" s="29"/>
      <c r="B371" s="29"/>
      <c r="C371" s="29"/>
      <c r="D371" s="33"/>
      <c r="E371" s="33"/>
      <c r="G371" s="29"/>
      <c r="H371" s="29"/>
      <c r="I371" s="29"/>
      <c r="J371" s="29"/>
      <c r="K371" s="29"/>
      <c r="L371" s="29"/>
      <c r="M371" s="29"/>
      <c r="N371" s="29"/>
      <c r="O371" s="29"/>
      <c r="P371" s="29"/>
      <c r="Q371" s="29"/>
      <c r="R371" s="29"/>
      <c r="S371" s="29"/>
      <c r="T371" s="29"/>
      <c r="U371" s="29"/>
      <c r="V371" s="29"/>
      <c r="W371" s="29"/>
      <c r="X371" s="29"/>
    </row>
    <row r="372" spans="1:24" ht="15">
      <c r="A372" s="29"/>
      <c r="B372" s="29"/>
      <c r="C372" s="29"/>
      <c r="D372" s="33"/>
      <c r="E372" s="33"/>
      <c r="G372" s="29"/>
      <c r="H372" s="29"/>
      <c r="I372" s="29"/>
      <c r="J372" s="29"/>
      <c r="K372" s="29"/>
      <c r="L372" s="29"/>
      <c r="M372" s="29"/>
      <c r="N372" s="29"/>
      <c r="O372" s="29"/>
      <c r="P372" s="29"/>
      <c r="Q372" s="29"/>
      <c r="R372" s="29"/>
      <c r="S372" s="29"/>
      <c r="T372" s="29"/>
      <c r="U372" s="29"/>
      <c r="V372" s="29"/>
      <c r="W372" s="29"/>
      <c r="X372" s="29"/>
    </row>
    <row r="373" spans="1:24" ht="15">
      <c r="A373" s="29"/>
      <c r="B373" s="29"/>
      <c r="C373" s="29"/>
      <c r="D373" s="33"/>
      <c r="E373" s="33"/>
      <c r="G373" s="29"/>
      <c r="H373" s="29"/>
      <c r="I373" s="29"/>
      <c r="J373" s="29"/>
      <c r="K373" s="29"/>
      <c r="L373" s="29"/>
      <c r="M373" s="29"/>
      <c r="N373" s="29"/>
      <c r="O373" s="29"/>
      <c r="P373" s="29"/>
      <c r="Q373" s="29"/>
      <c r="R373" s="29"/>
      <c r="S373" s="29"/>
      <c r="T373" s="29"/>
      <c r="U373" s="29"/>
      <c r="V373" s="29"/>
      <c r="W373" s="29"/>
      <c r="X373" s="29"/>
    </row>
    <row r="374" spans="1:24" ht="15">
      <c r="A374" s="29"/>
      <c r="B374" s="29"/>
      <c r="C374" s="29"/>
      <c r="D374" s="33"/>
      <c r="E374" s="33"/>
      <c r="G374" s="29"/>
      <c r="H374" s="29"/>
      <c r="I374" s="29"/>
      <c r="J374" s="29"/>
      <c r="K374" s="29"/>
      <c r="L374" s="29"/>
      <c r="M374" s="29"/>
      <c r="N374" s="29"/>
      <c r="O374" s="29"/>
      <c r="P374" s="29"/>
      <c r="Q374" s="29"/>
      <c r="R374" s="29"/>
      <c r="S374" s="29"/>
      <c r="T374" s="29"/>
      <c r="U374" s="29"/>
      <c r="V374" s="29"/>
      <c r="W374" s="29"/>
      <c r="X374" s="29"/>
    </row>
    <row r="375" spans="1:24" ht="15">
      <c r="A375" s="29"/>
      <c r="B375" s="29"/>
      <c r="C375" s="29"/>
      <c r="D375" s="33"/>
      <c r="E375" s="33"/>
      <c r="G375" s="29"/>
      <c r="H375" s="29"/>
      <c r="I375" s="29"/>
      <c r="J375" s="29"/>
      <c r="K375" s="29"/>
      <c r="L375" s="29"/>
      <c r="M375" s="29"/>
      <c r="N375" s="29"/>
      <c r="O375" s="29"/>
      <c r="P375" s="29"/>
      <c r="Q375" s="29"/>
      <c r="R375" s="29"/>
      <c r="S375" s="29"/>
      <c r="T375" s="29"/>
      <c r="U375" s="29"/>
      <c r="V375" s="29"/>
      <c r="W375" s="29"/>
      <c r="X375" s="29"/>
    </row>
    <row r="376" spans="1:24" ht="15">
      <c r="A376" s="29"/>
      <c r="B376" s="29"/>
      <c r="C376" s="29"/>
      <c r="D376" s="33"/>
      <c r="E376" s="33"/>
      <c r="G376" s="29"/>
      <c r="H376" s="29"/>
      <c r="I376" s="29"/>
      <c r="J376" s="29"/>
      <c r="K376" s="29"/>
      <c r="L376" s="29"/>
      <c r="M376" s="29"/>
      <c r="N376" s="29"/>
      <c r="O376" s="29"/>
      <c r="P376" s="29"/>
      <c r="Q376" s="29"/>
      <c r="R376" s="29"/>
      <c r="S376" s="29"/>
      <c r="T376" s="29"/>
      <c r="U376" s="29"/>
      <c r="V376" s="29"/>
      <c r="W376" s="29"/>
      <c r="X376" s="29"/>
    </row>
    <row r="377" spans="1:24" ht="15">
      <c r="A377" s="29"/>
      <c r="B377" s="29"/>
      <c r="C377" s="29"/>
      <c r="D377" s="33"/>
      <c r="E377" s="33"/>
      <c r="G377" s="29"/>
      <c r="H377" s="29"/>
      <c r="I377" s="29"/>
      <c r="J377" s="29"/>
      <c r="K377" s="29"/>
      <c r="L377" s="29"/>
      <c r="M377" s="29"/>
      <c r="N377" s="29"/>
      <c r="O377" s="29"/>
      <c r="P377" s="29"/>
      <c r="Q377" s="29"/>
      <c r="R377" s="29"/>
      <c r="S377" s="29"/>
      <c r="T377" s="29"/>
      <c r="U377" s="29"/>
      <c r="V377" s="29"/>
      <c r="W377" s="29"/>
      <c r="X377" s="29"/>
    </row>
    <row r="378" spans="1:24" ht="15">
      <c r="A378" s="29"/>
      <c r="B378" s="29"/>
      <c r="C378" s="29"/>
      <c r="D378" s="33"/>
      <c r="E378" s="33"/>
      <c r="G378" s="29"/>
      <c r="H378" s="29"/>
      <c r="I378" s="29"/>
      <c r="J378" s="29"/>
      <c r="K378" s="29"/>
      <c r="L378" s="29"/>
      <c r="M378" s="29"/>
      <c r="N378" s="29"/>
      <c r="O378" s="29"/>
      <c r="P378" s="29"/>
      <c r="Q378" s="29"/>
      <c r="R378" s="29"/>
      <c r="S378" s="29"/>
      <c r="T378" s="29"/>
      <c r="U378" s="29"/>
      <c r="V378" s="29"/>
      <c r="W378" s="29"/>
      <c r="X378" s="29"/>
    </row>
    <row r="379" spans="1:24" ht="15">
      <c r="A379" s="29"/>
      <c r="B379" s="29"/>
      <c r="C379" s="29"/>
      <c r="D379" s="33"/>
      <c r="E379" s="33"/>
      <c r="G379" s="29"/>
      <c r="H379" s="29"/>
      <c r="I379" s="29"/>
      <c r="J379" s="29"/>
      <c r="K379" s="29"/>
      <c r="L379" s="29"/>
      <c r="M379" s="29"/>
      <c r="N379" s="29"/>
      <c r="O379" s="29"/>
      <c r="P379" s="29"/>
      <c r="Q379" s="29"/>
      <c r="R379" s="29"/>
      <c r="S379" s="29"/>
      <c r="T379" s="29"/>
      <c r="U379" s="29"/>
      <c r="V379" s="29"/>
      <c r="W379" s="29"/>
      <c r="X379" s="29"/>
    </row>
    <row r="380" spans="1:24" ht="15">
      <c r="A380" s="29"/>
      <c r="B380" s="29"/>
      <c r="C380" s="29"/>
      <c r="D380" s="33"/>
      <c r="E380" s="33"/>
      <c r="G380" s="29"/>
      <c r="H380" s="29"/>
      <c r="I380" s="29"/>
      <c r="J380" s="29"/>
      <c r="K380" s="29"/>
      <c r="L380" s="29"/>
      <c r="M380" s="29"/>
      <c r="N380" s="29"/>
      <c r="O380" s="29"/>
      <c r="P380" s="29"/>
      <c r="Q380" s="29"/>
      <c r="R380" s="29"/>
      <c r="S380" s="29"/>
      <c r="T380" s="29"/>
      <c r="U380" s="29"/>
      <c r="V380" s="29"/>
      <c r="W380" s="29"/>
      <c r="X380" s="29"/>
    </row>
    <row r="381" spans="1:24" ht="15">
      <c r="A381" s="29"/>
      <c r="B381" s="29"/>
      <c r="C381" s="29"/>
      <c r="D381" s="33"/>
      <c r="E381" s="33"/>
      <c r="G381" s="29"/>
      <c r="H381" s="29"/>
      <c r="I381" s="29"/>
      <c r="J381" s="29"/>
      <c r="K381" s="29"/>
      <c r="L381" s="29"/>
      <c r="M381" s="29"/>
      <c r="N381" s="29"/>
      <c r="O381" s="29"/>
      <c r="P381" s="29"/>
      <c r="Q381" s="29"/>
      <c r="R381" s="29"/>
      <c r="S381" s="29"/>
      <c r="T381" s="29"/>
      <c r="U381" s="29"/>
      <c r="V381" s="29"/>
      <c r="W381" s="29"/>
      <c r="X381" s="29"/>
    </row>
    <row r="382" spans="1:24" ht="15">
      <c r="A382" s="29"/>
      <c r="B382" s="29"/>
      <c r="C382" s="29"/>
      <c r="D382" s="33"/>
      <c r="E382" s="33"/>
      <c r="G382" s="29"/>
      <c r="H382" s="29"/>
      <c r="I382" s="29"/>
      <c r="J382" s="29"/>
      <c r="K382" s="29"/>
      <c r="L382" s="29"/>
      <c r="M382" s="29"/>
      <c r="N382" s="29"/>
      <c r="O382" s="29"/>
      <c r="P382" s="29"/>
      <c r="Q382" s="29"/>
      <c r="R382" s="29"/>
      <c r="S382" s="29"/>
      <c r="T382" s="29"/>
      <c r="U382" s="29"/>
      <c r="V382" s="29"/>
      <c r="W382" s="29"/>
      <c r="X382" s="29"/>
    </row>
    <row r="383" spans="1:24" ht="15">
      <c r="A383" s="29"/>
      <c r="B383" s="29"/>
      <c r="C383" s="29"/>
      <c r="D383" s="33"/>
      <c r="E383" s="33"/>
      <c r="G383" s="29"/>
      <c r="H383" s="29"/>
      <c r="I383" s="29"/>
      <c r="J383" s="29"/>
      <c r="K383" s="29"/>
      <c r="L383" s="29"/>
      <c r="M383" s="29"/>
      <c r="N383" s="29"/>
      <c r="O383" s="29"/>
      <c r="P383" s="29"/>
      <c r="Q383" s="29"/>
      <c r="R383" s="29"/>
      <c r="S383" s="29"/>
      <c r="T383" s="29"/>
      <c r="U383" s="29"/>
      <c r="V383" s="29"/>
      <c r="W383" s="29"/>
      <c r="X383" s="29"/>
    </row>
    <row r="384" spans="1:24" ht="15">
      <c r="A384" s="29"/>
      <c r="B384" s="29"/>
      <c r="C384" s="29"/>
      <c r="D384" s="33"/>
      <c r="E384" s="33"/>
      <c r="G384" s="29"/>
      <c r="H384" s="29"/>
      <c r="I384" s="29"/>
      <c r="J384" s="29"/>
      <c r="K384" s="29"/>
      <c r="L384" s="29"/>
      <c r="M384" s="29"/>
      <c r="N384" s="29"/>
      <c r="O384" s="29"/>
      <c r="P384" s="29"/>
      <c r="Q384" s="29"/>
      <c r="R384" s="29"/>
      <c r="S384" s="29"/>
      <c r="T384" s="29"/>
      <c r="U384" s="29"/>
      <c r="V384" s="29"/>
      <c r="W384" s="29"/>
      <c r="X384" s="29"/>
    </row>
    <row r="385" spans="1:24" ht="15">
      <c r="A385" s="29"/>
      <c r="B385" s="29"/>
      <c r="C385" s="29"/>
      <c r="D385" s="33"/>
      <c r="E385" s="33"/>
      <c r="G385" s="29"/>
      <c r="H385" s="29"/>
      <c r="I385" s="29"/>
      <c r="J385" s="29"/>
      <c r="K385" s="29"/>
      <c r="L385" s="29"/>
      <c r="M385" s="29"/>
      <c r="N385" s="29"/>
      <c r="O385" s="29"/>
      <c r="P385" s="29"/>
      <c r="Q385" s="29"/>
      <c r="R385" s="29"/>
      <c r="S385" s="29"/>
      <c r="T385" s="29"/>
      <c r="U385" s="29"/>
      <c r="V385" s="29"/>
      <c r="W385" s="29"/>
      <c r="X385" s="29"/>
    </row>
    <row r="386" spans="1:24" ht="15">
      <c r="A386" s="29"/>
      <c r="B386" s="29"/>
      <c r="C386" s="29"/>
      <c r="D386" s="33"/>
      <c r="E386" s="33"/>
      <c r="G386" s="29"/>
      <c r="H386" s="29"/>
      <c r="I386" s="29"/>
      <c r="J386" s="29"/>
      <c r="K386" s="29"/>
      <c r="L386" s="29"/>
      <c r="M386" s="29"/>
      <c r="N386" s="29"/>
      <c r="O386" s="29"/>
      <c r="P386" s="29"/>
      <c r="Q386" s="29"/>
      <c r="R386" s="29"/>
      <c r="S386" s="29"/>
      <c r="T386" s="29"/>
      <c r="U386" s="29"/>
      <c r="V386" s="29"/>
      <c r="W386" s="29"/>
      <c r="X386" s="29"/>
    </row>
    <row r="387" spans="1:24" ht="15">
      <c r="A387" s="29"/>
      <c r="B387" s="29"/>
      <c r="C387" s="29"/>
      <c r="D387" s="33"/>
      <c r="E387" s="33"/>
      <c r="G387" s="29"/>
      <c r="H387" s="29"/>
      <c r="I387" s="29"/>
      <c r="J387" s="29"/>
      <c r="K387" s="29"/>
      <c r="L387" s="29"/>
      <c r="M387" s="29"/>
      <c r="N387" s="29"/>
      <c r="O387" s="29"/>
      <c r="P387" s="29"/>
      <c r="Q387" s="29"/>
      <c r="R387" s="29"/>
      <c r="S387" s="29"/>
      <c r="T387" s="29"/>
      <c r="U387" s="29"/>
      <c r="V387" s="29"/>
      <c r="W387" s="29"/>
      <c r="X387" s="29"/>
    </row>
    <row r="388" spans="1:24" ht="15">
      <c r="A388" s="29"/>
      <c r="B388" s="29"/>
      <c r="C388" s="29"/>
      <c r="D388" s="33"/>
      <c r="E388" s="33"/>
      <c r="G388" s="29"/>
      <c r="H388" s="29"/>
      <c r="I388" s="29"/>
      <c r="J388" s="29"/>
      <c r="K388" s="29"/>
      <c r="L388" s="29"/>
      <c r="M388" s="29"/>
      <c r="N388" s="29"/>
      <c r="O388" s="29"/>
      <c r="P388" s="29"/>
      <c r="Q388" s="29"/>
      <c r="R388" s="29"/>
      <c r="S388" s="29"/>
      <c r="T388" s="29"/>
      <c r="U388" s="29"/>
      <c r="V388" s="29"/>
      <c r="W388" s="29"/>
      <c r="X388" s="29"/>
    </row>
    <row r="389" spans="1:24" ht="15">
      <c r="A389" s="29"/>
      <c r="B389" s="29"/>
      <c r="C389" s="29"/>
      <c r="D389" s="33"/>
      <c r="E389" s="33"/>
      <c r="G389" s="29"/>
      <c r="H389" s="29"/>
      <c r="I389" s="29"/>
      <c r="J389" s="29"/>
      <c r="K389" s="29"/>
      <c r="L389" s="29"/>
      <c r="M389" s="29"/>
      <c r="N389" s="29"/>
      <c r="O389" s="29"/>
      <c r="P389" s="29"/>
      <c r="Q389" s="29"/>
      <c r="R389" s="29"/>
      <c r="S389" s="29"/>
      <c r="T389" s="29"/>
      <c r="U389" s="29"/>
      <c r="V389" s="29"/>
      <c r="W389" s="29"/>
      <c r="X389" s="29"/>
    </row>
    <row r="390" spans="1:24" ht="15">
      <c r="A390" s="29"/>
      <c r="B390" s="29"/>
      <c r="C390" s="29"/>
      <c r="D390" s="33"/>
      <c r="E390" s="33"/>
      <c r="G390" s="29"/>
      <c r="H390" s="29"/>
      <c r="I390" s="29"/>
      <c r="J390" s="29"/>
      <c r="K390" s="29"/>
      <c r="L390" s="29"/>
      <c r="M390" s="29"/>
      <c r="N390" s="29"/>
      <c r="O390" s="29"/>
      <c r="P390" s="29"/>
      <c r="Q390" s="29"/>
      <c r="R390" s="29"/>
      <c r="S390" s="29"/>
      <c r="T390" s="29"/>
      <c r="U390" s="29"/>
      <c r="V390" s="29"/>
      <c r="W390" s="29"/>
      <c r="X390" s="29"/>
    </row>
    <row r="391" spans="1:24" ht="15">
      <c r="A391" s="29"/>
      <c r="B391" s="29"/>
      <c r="C391" s="29"/>
      <c r="D391" s="33"/>
      <c r="E391" s="33"/>
      <c r="G391" s="29"/>
      <c r="H391" s="29"/>
      <c r="I391" s="29"/>
      <c r="J391" s="29"/>
      <c r="K391" s="29"/>
      <c r="L391" s="29"/>
      <c r="M391" s="29"/>
      <c r="N391" s="29"/>
      <c r="O391" s="29"/>
      <c r="P391" s="29"/>
      <c r="Q391" s="29"/>
      <c r="R391" s="29"/>
      <c r="S391" s="29"/>
      <c r="T391" s="29"/>
      <c r="U391" s="29"/>
      <c r="V391" s="29"/>
      <c r="W391" s="29"/>
      <c r="X391" s="29"/>
    </row>
    <row r="392" spans="1:24" ht="15">
      <c r="A392" s="29"/>
      <c r="B392" s="29"/>
      <c r="C392" s="29"/>
      <c r="D392" s="33"/>
      <c r="E392" s="33"/>
      <c r="G392" s="29"/>
      <c r="H392" s="29"/>
      <c r="I392" s="29"/>
      <c r="J392" s="29"/>
      <c r="K392" s="29"/>
      <c r="L392" s="29"/>
      <c r="M392" s="29"/>
      <c r="N392" s="29"/>
      <c r="O392" s="29"/>
      <c r="P392" s="29"/>
      <c r="Q392" s="29"/>
      <c r="R392" s="29"/>
      <c r="S392" s="29"/>
      <c r="T392" s="29"/>
      <c r="U392" s="29"/>
      <c r="V392" s="29"/>
      <c r="W392" s="29"/>
      <c r="X392" s="29"/>
    </row>
    <row r="393" spans="1:24" ht="15">
      <c r="A393" s="29"/>
      <c r="B393" s="29"/>
      <c r="C393" s="29"/>
      <c r="D393" s="33"/>
      <c r="E393" s="33"/>
      <c r="G393" s="29"/>
      <c r="H393" s="29"/>
      <c r="I393" s="29"/>
      <c r="J393" s="29"/>
      <c r="K393" s="29"/>
      <c r="L393" s="29"/>
      <c r="M393" s="29"/>
      <c r="N393" s="29"/>
      <c r="O393" s="29"/>
      <c r="P393" s="29"/>
      <c r="Q393" s="29"/>
      <c r="R393" s="29"/>
      <c r="S393" s="29"/>
      <c r="T393" s="29"/>
      <c r="U393" s="29"/>
      <c r="V393" s="29"/>
      <c r="W393" s="29"/>
      <c r="X393" s="29"/>
    </row>
    <row r="394" spans="1:24" ht="15">
      <c r="A394" s="29"/>
      <c r="B394" s="29"/>
      <c r="C394" s="29"/>
      <c r="D394" s="33"/>
      <c r="E394" s="33"/>
      <c r="G394" s="29"/>
      <c r="H394" s="29"/>
      <c r="I394" s="29"/>
      <c r="J394" s="29"/>
      <c r="K394" s="29"/>
      <c r="L394" s="29"/>
      <c r="M394" s="29"/>
      <c r="N394" s="29"/>
      <c r="O394" s="29"/>
      <c r="P394" s="29"/>
      <c r="Q394" s="29"/>
      <c r="R394" s="29"/>
      <c r="S394" s="29"/>
      <c r="T394" s="29"/>
      <c r="U394" s="29"/>
      <c r="V394" s="29"/>
      <c r="W394" s="29"/>
      <c r="X394" s="29"/>
    </row>
    <row r="395" spans="1:24" ht="15">
      <c r="A395" s="29"/>
      <c r="B395" s="29"/>
      <c r="C395" s="29"/>
      <c r="D395" s="33"/>
      <c r="E395" s="33"/>
      <c r="G395" s="29"/>
      <c r="H395" s="29"/>
      <c r="I395" s="29"/>
      <c r="J395" s="29"/>
      <c r="K395" s="29"/>
      <c r="L395" s="29"/>
      <c r="M395" s="29"/>
      <c r="N395" s="29"/>
      <c r="O395" s="29"/>
      <c r="P395" s="29"/>
      <c r="Q395" s="29"/>
      <c r="R395" s="29"/>
      <c r="S395" s="29"/>
      <c r="T395" s="29"/>
      <c r="U395" s="29"/>
      <c r="V395" s="29"/>
      <c r="W395" s="29"/>
      <c r="X395" s="29"/>
    </row>
    <row r="396" spans="1:24" ht="15">
      <c r="A396" s="29"/>
      <c r="B396" s="29"/>
      <c r="C396" s="29"/>
      <c r="D396" s="33"/>
      <c r="E396" s="33"/>
      <c r="G396" s="29"/>
      <c r="H396" s="29"/>
      <c r="I396" s="29"/>
      <c r="J396" s="29"/>
      <c r="K396" s="29"/>
      <c r="L396" s="29"/>
      <c r="M396" s="29"/>
      <c r="N396" s="29"/>
      <c r="O396" s="29"/>
      <c r="P396" s="29"/>
      <c r="Q396" s="29"/>
      <c r="R396" s="29"/>
      <c r="S396" s="29"/>
      <c r="T396" s="29"/>
      <c r="U396" s="29"/>
      <c r="V396" s="29"/>
      <c r="W396" s="29"/>
      <c r="X396" s="29"/>
    </row>
    <row r="397" spans="1:24" ht="15">
      <c r="A397" s="29"/>
      <c r="B397" s="29"/>
      <c r="C397" s="29"/>
      <c r="D397" s="33"/>
      <c r="E397" s="33"/>
      <c r="G397" s="29"/>
      <c r="H397" s="29"/>
      <c r="I397" s="29"/>
      <c r="J397" s="29"/>
      <c r="K397" s="29"/>
      <c r="L397" s="29"/>
      <c r="M397" s="29"/>
      <c r="N397" s="29"/>
      <c r="O397" s="29"/>
      <c r="P397" s="29"/>
      <c r="Q397" s="29"/>
      <c r="R397" s="29"/>
      <c r="S397" s="29"/>
      <c r="T397" s="29"/>
      <c r="U397" s="29"/>
      <c r="V397" s="29"/>
      <c r="W397" s="29"/>
      <c r="X397" s="29"/>
    </row>
    <row r="398" spans="1:24" ht="15">
      <c r="A398" s="29"/>
      <c r="B398" s="29"/>
      <c r="C398" s="29"/>
      <c r="D398" s="33"/>
      <c r="E398" s="33"/>
      <c r="G398" s="29"/>
      <c r="H398" s="29"/>
      <c r="I398" s="29"/>
      <c r="J398" s="29"/>
      <c r="K398" s="29"/>
      <c r="L398" s="29"/>
      <c r="M398" s="29"/>
      <c r="N398" s="29"/>
      <c r="O398" s="29"/>
      <c r="P398" s="29"/>
      <c r="Q398" s="29"/>
      <c r="R398" s="29"/>
      <c r="S398" s="29"/>
      <c r="T398" s="29"/>
      <c r="U398" s="29"/>
      <c r="V398" s="29"/>
      <c r="W398" s="29"/>
      <c r="X398" s="29"/>
    </row>
    <row r="399" spans="1:24" ht="15">
      <c r="A399" s="29"/>
      <c r="B399" s="29"/>
      <c r="C399" s="29"/>
      <c r="D399" s="33"/>
      <c r="E399" s="33"/>
      <c r="G399" s="29"/>
      <c r="H399" s="29"/>
      <c r="I399" s="29"/>
      <c r="J399" s="29"/>
      <c r="K399" s="29"/>
      <c r="L399" s="29"/>
      <c r="M399" s="29"/>
      <c r="N399" s="29"/>
      <c r="O399" s="29"/>
      <c r="P399" s="29"/>
      <c r="Q399" s="29"/>
      <c r="R399" s="29"/>
      <c r="S399" s="29"/>
      <c r="T399" s="29"/>
      <c r="U399" s="29"/>
      <c r="V399" s="29"/>
      <c r="W399" s="29"/>
      <c r="X399" s="29"/>
    </row>
    <row r="400" spans="1:24" ht="15">
      <c r="A400" s="29"/>
      <c r="B400" s="29"/>
      <c r="C400" s="29"/>
      <c r="D400" s="33"/>
      <c r="E400" s="33"/>
      <c r="G400" s="29"/>
      <c r="H400" s="29"/>
      <c r="I400" s="29"/>
      <c r="J400" s="29"/>
      <c r="K400" s="29"/>
      <c r="L400" s="29"/>
      <c r="M400" s="29"/>
      <c r="N400" s="29"/>
      <c r="O400" s="29"/>
      <c r="P400" s="29"/>
      <c r="Q400" s="29"/>
      <c r="R400" s="29"/>
      <c r="S400" s="29"/>
      <c r="T400" s="29"/>
      <c r="U400" s="29"/>
      <c r="V400" s="29"/>
      <c r="W400" s="29"/>
      <c r="X400" s="29"/>
    </row>
    <row r="401" spans="1:24" ht="15">
      <c r="A401" s="29"/>
      <c r="B401" s="29"/>
      <c r="C401" s="29"/>
      <c r="D401" s="33"/>
      <c r="E401" s="33"/>
      <c r="G401" s="29"/>
      <c r="H401" s="29"/>
      <c r="I401" s="29"/>
      <c r="J401" s="29"/>
      <c r="K401" s="29"/>
      <c r="L401" s="29"/>
      <c r="M401" s="29"/>
      <c r="N401" s="29"/>
      <c r="O401" s="29"/>
      <c r="P401" s="29"/>
      <c r="Q401" s="29"/>
      <c r="R401" s="29"/>
      <c r="S401" s="29"/>
      <c r="T401" s="29"/>
      <c r="U401" s="29"/>
      <c r="V401" s="29"/>
      <c r="W401" s="29"/>
      <c r="X401" s="29"/>
    </row>
    <row r="402" spans="1:24" ht="15">
      <c r="A402" s="29"/>
      <c r="B402" s="29"/>
      <c r="C402" s="29"/>
      <c r="D402" s="33"/>
      <c r="E402" s="33"/>
      <c r="G402" s="29"/>
      <c r="H402" s="29"/>
      <c r="I402" s="29"/>
      <c r="J402" s="29"/>
      <c r="K402" s="29"/>
      <c r="L402" s="29"/>
      <c r="M402" s="29"/>
      <c r="N402" s="29"/>
      <c r="O402" s="29"/>
      <c r="P402" s="29"/>
      <c r="Q402" s="29"/>
      <c r="R402" s="29"/>
      <c r="S402" s="29"/>
      <c r="T402" s="29"/>
      <c r="U402" s="29"/>
      <c r="V402" s="29"/>
      <c r="W402" s="29"/>
      <c r="X402" s="29"/>
    </row>
    <row r="403" spans="1:24" ht="15">
      <c r="A403" s="29"/>
      <c r="B403" s="29"/>
      <c r="C403" s="29"/>
      <c r="D403" s="33"/>
      <c r="E403" s="33"/>
      <c r="G403" s="29"/>
      <c r="H403" s="29"/>
      <c r="I403" s="29"/>
      <c r="J403" s="29"/>
      <c r="K403" s="29"/>
      <c r="L403" s="29"/>
      <c r="M403" s="29"/>
      <c r="N403" s="29"/>
      <c r="O403" s="29"/>
      <c r="P403" s="29"/>
      <c r="Q403" s="29"/>
      <c r="R403" s="29"/>
      <c r="S403" s="29"/>
      <c r="T403" s="29"/>
      <c r="U403" s="29"/>
      <c r="V403" s="29"/>
      <c r="W403" s="29"/>
      <c r="X403" s="29"/>
    </row>
    <row r="404" spans="1:24" ht="15">
      <c r="A404" s="29"/>
      <c r="B404" s="29"/>
      <c r="C404" s="29"/>
      <c r="D404" s="33"/>
      <c r="E404" s="33"/>
      <c r="G404" s="29"/>
      <c r="H404" s="29"/>
      <c r="I404" s="29"/>
      <c r="J404" s="29"/>
      <c r="K404" s="29"/>
      <c r="L404" s="29"/>
      <c r="M404" s="29"/>
      <c r="N404" s="29"/>
      <c r="O404" s="29"/>
      <c r="P404" s="29"/>
      <c r="Q404" s="29"/>
      <c r="R404" s="29"/>
      <c r="S404" s="29"/>
      <c r="T404" s="29"/>
      <c r="U404" s="29"/>
      <c r="V404" s="29"/>
      <c r="W404" s="29"/>
      <c r="X404" s="29"/>
    </row>
    <row r="405" spans="1:24" ht="15">
      <c r="A405" s="29"/>
      <c r="B405" s="29"/>
      <c r="C405" s="29"/>
      <c r="D405" s="33"/>
      <c r="E405" s="33"/>
      <c r="G405" s="29"/>
      <c r="H405" s="29"/>
      <c r="I405" s="29"/>
      <c r="J405" s="29"/>
      <c r="K405" s="29"/>
      <c r="L405" s="29"/>
      <c r="M405" s="29"/>
      <c r="N405" s="29"/>
      <c r="O405" s="29"/>
      <c r="P405" s="29"/>
      <c r="Q405" s="29"/>
      <c r="R405" s="29"/>
      <c r="S405" s="29"/>
      <c r="T405" s="29"/>
      <c r="U405" s="29"/>
      <c r="V405" s="29"/>
      <c r="W405" s="29"/>
      <c r="X405" s="29"/>
    </row>
    <row r="406" spans="1:24" ht="15">
      <c r="A406" s="29"/>
      <c r="B406" s="29"/>
      <c r="C406" s="29"/>
      <c r="D406" s="33"/>
      <c r="E406" s="33"/>
      <c r="G406" s="29"/>
      <c r="H406" s="29"/>
      <c r="I406" s="29"/>
      <c r="J406" s="29"/>
      <c r="K406" s="29"/>
      <c r="L406" s="29"/>
      <c r="M406" s="29"/>
      <c r="N406" s="29"/>
      <c r="O406" s="29"/>
      <c r="P406" s="29"/>
      <c r="Q406" s="29"/>
      <c r="R406" s="29"/>
      <c r="S406" s="29"/>
      <c r="T406" s="29"/>
      <c r="U406" s="29"/>
      <c r="V406" s="29"/>
      <c r="W406" s="29"/>
      <c r="X406" s="29"/>
    </row>
    <row r="407" spans="1:24" ht="15">
      <c r="A407" s="29"/>
      <c r="B407" s="29"/>
      <c r="C407" s="29"/>
      <c r="D407" s="33"/>
      <c r="E407" s="33"/>
      <c r="G407" s="29"/>
      <c r="H407" s="29"/>
      <c r="I407" s="29"/>
      <c r="J407" s="29"/>
      <c r="K407" s="29"/>
      <c r="L407" s="29"/>
      <c r="M407" s="29"/>
      <c r="N407" s="29"/>
      <c r="O407" s="29"/>
      <c r="P407" s="29"/>
      <c r="Q407" s="29"/>
      <c r="R407" s="29"/>
      <c r="S407" s="29"/>
      <c r="T407" s="29"/>
      <c r="U407" s="29"/>
      <c r="V407" s="29"/>
      <c r="W407" s="29"/>
      <c r="X407" s="29"/>
    </row>
    <row r="408" spans="1:24" ht="15">
      <c r="A408" s="29"/>
      <c r="B408" s="29"/>
      <c r="C408" s="29"/>
      <c r="D408" s="33"/>
      <c r="E408" s="33"/>
      <c r="G408" s="29"/>
      <c r="H408" s="29"/>
      <c r="I408" s="29"/>
      <c r="J408" s="29"/>
      <c r="K408" s="29"/>
      <c r="L408" s="29"/>
      <c r="M408" s="29"/>
      <c r="N408" s="29"/>
      <c r="O408" s="29"/>
      <c r="P408" s="29"/>
      <c r="Q408" s="29"/>
      <c r="R408" s="29"/>
      <c r="S408" s="29"/>
      <c r="T408" s="29"/>
      <c r="U408" s="29"/>
      <c r="V408" s="29"/>
      <c r="W408" s="29"/>
      <c r="X408" s="29"/>
    </row>
    <row r="409" spans="1:24" ht="15">
      <c r="A409" s="29"/>
      <c r="B409" s="29"/>
      <c r="C409" s="29"/>
      <c r="D409" s="33"/>
      <c r="E409" s="33"/>
      <c r="G409" s="29"/>
      <c r="H409" s="29"/>
      <c r="I409" s="29"/>
      <c r="J409" s="29"/>
      <c r="K409" s="29"/>
      <c r="L409" s="29"/>
      <c r="M409" s="29"/>
      <c r="N409" s="29"/>
      <c r="O409" s="29"/>
      <c r="P409" s="29"/>
      <c r="Q409" s="29"/>
      <c r="R409" s="29"/>
      <c r="S409" s="29"/>
      <c r="T409" s="29"/>
      <c r="U409" s="29"/>
      <c r="V409" s="29"/>
      <c r="W409" s="29"/>
      <c r="X409" s="29"/>
    </row>
    <row r="410" spans="1:24" ht="15">
      <c r="A410" s="29"/>
      <c r="B410" s="29"/>
      <c r="C410" s="29"/>
      <c r="D410" s="33"/>
      <c r="E410" s="33"/>
      <c r="G410" s="29"/>
      <c r="H410" s="29"/>
      <c r="I410" s="29"/>
      <c r="J410" s="29"/>
      <c r="K410" s="29"/>
      <c r="L410" s="29"/>
      <c r="M410" s="29"/>
      <c r="N410" s="29"/>
      <c r="O410" s="29"/>
      <c r="P410" s="29"/>
      <c r="Q410" s="29"/>
      <c r="R410" s="29"/>
      <c r="S410" s="29"/>
      <c r="T410" s="29"/>
      <c r="U410" s="29"/>
      <c r="V410" s="29"/>
      <c r="W410" s="29"/>
      <c r="X410" s="29"/>
    </row>
    <row r="411" spans="1:24" ht="15">
      <c r="A411" s="29"/>
      <c r="B411" s="29"/>
      <c r="C411" s="29"/>
      <c r="D411" s="33"/>
      <c r="E411" s="33"/>
      <c r="G411" s="29"/>
      <c r="H411" s="29"/>
      <c r="I411" s="29"/>
      <c r="J411" s="29"/>
      <c r="K411" s="29"/>
      <c r="L411" s="29"/>
      <c r="M411" s="29"/>
      <c r="N411" s="29"/>
      <c r="O411" s="29"/>
      <c r="P411" s="29"/>
      <c r="Q411" s="29"/>
      <c r="R411" s="29"/>
      <c r="S411" s="29"/>
      <c r="T411" s="29"/>
      <c r="U411" s="29"/>
      <c r="V411" s="29"/>
      <c r="W411" s="29"/>
      <c r="X411" s="29"/>
    </row>
    <row r="412" spans="1:24" ht="15">
      <c r="A412" s="29"/>
      <c r="B412" s="29"/>
      <c r="C412" s="29"/>
      <c r="D412" s="33"/>
      <c r="E412" s="33"/>
      <c r="G412" s="29"/>
      <c r="H412" s="29"/>
      <c r="I412" s="29"/>
      <c r="J412" s="29"/>
      <c r="K412" s="29"/>
      <c r="L412" s="29"/>
      <c r="M412" s="29"/>
      <c r="N412" s="29"/>
      <c r="O412" s="29"/>
      <c r="P412" s="29"/>
      <c r="Q412" s="29"/>
      <c r="R412" s="29"/>
      <c r="S412" s="29"/>
      <c r="T412" s="29"/>
      <c r="U412" s="29"/>
      <c r="V412" s="29"/>
      <c r="W412" s="29"/>
      <c r="X412" s="29"/>
    </row>
    <row r="413" spans="1:24" ht="15">
      <c r="A413" s="29"/>
      <c r="B413" s="29"/>
      <c r="C413" s="29"/>
      <c r="D413" s="33"/>
      <c r="E413" s="33"/>
      <c r="G413" s="29"/>
      <c r="H413" s="29"/>
      <c r="I413" s="29"/>
      <c r="J413" s="29"/>
      <c r="K413" s="29"/>
      <c r="L413" s="29"/>
      <c r="M413" s="29"/>
      <c r="N413" s="29"/>
      <c r="O413" s="29"/>
      <c r="P413" s="29"/>
      <c r="Q413" s="29"/>
      <c r="R413" s="29"/>
      <c r="S413" s="29"/>
      <c r="T413" s="29"/>
      <c r="U413" s="29"/>
      <c r="V413" s="29"/>
      <c r="W413" s="29"/>
      <c r="X413" s="29"/>
    </row>
    <row r="414" spans="1:24" ht="15">
      <c r="A414" s="29"/>
      <c r="B414" s="29"/>
      <c r="C414" s="29"/>
      <c r="D414" s="33"/>
      <c r="E414" s="33"/>
      <c r="G414" s="29"/>
      <c r="H414" s="29"/>
      <c r="I414" s="29"/>
      <c r="J414" s="29"/>
      <c r="K414" s="29"/>
      <c r="L414" s="29"/>
      <c r="M414" s="29"/>
      <c r="N414" s="29"/>
      <c r="O414" s="29"/>
      <c r="P414" s="29"/>
      <c r="Q414" s="29"/>
      <c r="R414" s="29"/>
      <c r="S414" s="29"/>
      <c r="T414" s="29"/>
      <c r="U414" s="29"/>
      <c r="V414" s="29"/>
      <c r="W414" s="29"/>
      <c r="X414" s="29"/>
    </row>
    <row r="415" spans="1:24" ht="15">
      <c r="A415" s="29"/>
      <c r="B415" s="29"/>
      <c r="C415" s="29"/>
      <c r="D415" s="33"/>
      <c r="E415" s="33"/>
      <c r="G415" s="29"/>
      <c r="H415" s="29"/>
      <c r="I415" s="29"/>
      <c r="J415" s="29"/>
      <c r="K415" s="29"/>
      <c r="L415" s="29"/>
      <c r="M415" s="29"/>
      <c r="N415" s="29"/>
      <c r="O415" s="29"/>
      <c r="P415" s="29"/>
      <c r="Q415" s="29"/>
      <c r="R415" s="29"/>
      <c r="S415" s="29"/>
      <c r="T415" s="29"/>
      <c r="U415" s="29"/>
      <c r="V415" s="29"/>
      <c r="W415" s="29"/>
      <c r="X415" s="29"/>
    </row>
    <row r="416" spans="1:24" ht="15">
      <c r="A416" s="29"/>
      <c r="B416" s="29"/>
      <c r="C416" s="29"/>
      <c r="D416" s="33"/>
      <c r="E416" s="33"/>
      <c r="G416" s="29"/>
      <c r="H416" s="29"/>
      <c r="I416" s="29"/>
      <c r="J416" s="29"/>
      <c r="K416" s="29"/>
      <c r="L416" s="29"/>
      <c r="M416" s="29"/>
      <c r="N416" s="29"/>
      <c r="O416" s="29"/>
      <c r="P416" s="29"/>
      <c r="Q416" s="29"/>
      <c r="R416" s="29"/>
      <c r="S416" s="29"/>
      <c r="T416" s="29"/>
      <c r="U416" s="29"/>
      <c r="V416" s="29"/>
      <c r="W416" s="29"/>
      <c r="X416" s="29"/>
    </row>
    <row r="417" spans="1:24" ht="15">
      <c r="A417" s="29"/>
      <c r="B417" s="29"/>
      <c r="C417" s="29"/>
      <c r="D417" s="33"/>
      <c r="E417" s="33"/>
      <c r="G417" s="29"/>
      <c r="H417" s="29"/>
      <c r="I417" s="29"/>
      <c r="J417" s="29"/>
      <c r="K417" s="29"/>
      <c r="L417" s="29"/>
      <c r="M417" s="29"/>
      <c r="N417" s="29"/>
      <c r="O417" s="29"/>
      <c r="P417" s="29"/>
      <c r="Q417" s="29"/>
      <c r="R417" s="29"/>
      <c r="S417" s="29"/>
      <c r="T417" s="29"/>
      <c r="U417" s="29"/>
      <c r="V417" s="29"/>
      <c r="W417" s="29"/>
      <c r="X417" s="29"/>
    </row>
    <row r="418" spans="1:24" ht="15">
      <c r="A418" s="29"/>
      <c r="B418" s="29"/>
      <c r="C418" s="29"/>
      <c r="D418" s="33"/>
      <c r="E418" s="33"/>
      <c r="G418" s="29"/>
      <c r="H418" s="29"/>
      <c r="I418" s="29"/>
      <c r="J418" s="29"/>
      <c r="K418" s="29"/>
      <c r="L418" s="29"/>
      <c r="M418" s="29"/>
      <c r="N418" s="29"/>
      <c r="O418" s="29"/>
      <c r="P418" s="29"/>
      <c r="Q418" s="29"/>
      <c r="R418" s="29"/>
      <c r="S418" s="29"/>
      <c r="T418" s="29"/>
      <c r="U418" s="29"/>
      <c r="V418" s="29"/>
      <c r="W418" s="29"/>
      <c r="X418" s="29"/>
    </row>
    <row r="419" spans="1:24" ht="15">
      <c r="A419" s="29"/>
      <c r="B419" s="29"/>
      <c r="C419" s="29"/>
      <c r="D419" s="33"/>
      <c r="E419" s="33"/>
      <c r="G419" s="29"/>
      <c r="H419" s="29"/>
      <c r="I419" s="29"/>
      <c r="J419" s="29"/>
      <c r="K419" s="29"/>
      <c r="L419" s="29"/>
      <c r="M419" s="29"/>
      <c r="N419" s="29"/>
      <c r="O419" s="29"/>
      <c r="P419" s="29"/>
      <c r="Q419" s="29"/>
      <c r="R419" s="29"/>
      <c r="S419" s="29"/>
      <c r="T419" s="29"/>
      <c r="U419" s="29"/>
      <c r="V419" s="29"/>
      <c r="W419" s="29"/>
      <c r="X419" s="29"/>
    </row>
    <row r="420" spans="1:24" ht="15">
      <c r="A420" s="29"/>
      <c r="B420" s="29"/>
      <c r="C420" s="29"/>
      <c r="D420" s="33"/>
      <c r="E420" s="33"/>
      <c r="G420" s="29"/>
      <c r="H420" s="29"/>
      <c r="I420" s="29"/>
      <c r="J420" s="29"/>
      <c r="K420" s="29"/>
      <c r="L420" s="29"/>
      <c r="M420" s="29"/>
      <c r="N420" s="29"/>
      <c r="O420" s="29"/>
      <c r="P420" s="29"/>
      <c r="Q420" s="29"/>
      <c r="R420" s="29"/>
      <c r="S420" s="29"/>
      <c r="T420" s="29"/>
      <c r="U420" s="29"/>
      <c r="V420" s="29"/>
      <c r="W420" s="29"/>
      <c r="X420" s="29"/>
    </row>
    <row r="421" spans="1:24" ht="15">
      <c r="A421" s="29"/>
      <c r="B421" s="29"/>
      <c r="C421" s="29"/>
      <c r="D421" s="33"/>
      <c r="E421" s="33"/>
      <c r="G421" s="29"/>
      <c r="H421" s="29"/>
      <c r="I421" s="29"/>
      <c r="J421" s="29"/>
      <c r="K421" s="29"/>
      <c r="L421" s="29"/>
      <c r="M421" s="29"/>
      <c r="N421" s="29"/>
      <c r="O421" s="29"/>
      <c r="P421" s="29"/>
      <c r="Q421" s="29"/>
      <c r="R421" s="29"/>
      <c r="S421" s="29"/>
      <c r="T421" s="29"/>
      <c r="U421" s="29"/>
      <c r="V421" s="29"/>
      <c r="W421" s="29"/>
      <c r="X421" s="29"/>
    </row>
    <row r="422" spans="1:24" ht="15">
      <c r="A422" s="29"/>
      <c r="B422" s="29"/>
      <c r="C422" s="29"/>
      <c r="D422" s="33"/>
      <c r="E422" s="33"/>
      <c r="G422" s="29"/>
      <c r="H422" s="29"/>
      <c r="I422" s="29"/>
      <c r="J422" s="29"/>
      <c r="K422" s="29"/>
      <c r="L422" s="29"/>
      <c r="M422" s="29"/>
      <c r="N422" s="29"/>
      <c r="O422" s="29"/>
      <c r="P422" s="29"/>
      <c r="Q422" s="29"/>
      <c r="R422" s="29"/>
      <c r="S422" s="29"/>
      <c r="T422" s="29"/>
      <c r="U422" s="29"/>
      <c r="V422" s="29"/>
      <c r="W422" s="29"/>
      <c r="X422" s="29"/>
    </row>
    <row r="423" spans="1:24" ht="15">
      <c r="A423" s="29"/>
      <c r="B423" s="29"/>
      <c r="C423" s="29"/>
      <c r="D423" s="33"/>
      <c r="E423" s="33"/>
      <c r="G423" s="29"/>
      <c r="H423" s="29"/>
      <c r="I423" s="29"/>
      <c r="J423" s="29"/>
      <c r="K423" s="29"/>
      <c r="L423" s="29"/>
      <c r="M423" s="29"/>
      <c r="N423" s="29"/>
      <c r="O423" s="29"/>
      <c r="P423" s="29"/>
      <c r="Q423" s="29"/>
      <c r="R423" s="29"/>
      <c r="S423" s="29"/>
      <c r="T423" s="29"/>
      <c r="U423" s="29"/>
      <c r="V423" s="29"/>
      <c r="W423" s="29"/>
      <c r="X423" s="29"/>
    </row>
    <row r="424" spans="1:24" ht="15">
      <c r="A424" s="29"/>
      <c r="B424" s="29"/>
      <c r="C424" s="29"/>
      <c r="D424" s="33"/>
      <c r="E424" s="33"/>
      <c r="G424" s="29"/>
      <c r="H424" s="29"/>
      <c r="I424" s="29"/>
      <c r="J424" s="29"/>
      <c r="K424" s="29"/>
      <c r="L424" s="29"/>
      <c r="M424" s="29"/>
      <c r="N424" s="29"/>
      <c r="O424" s="29"/>
      <c r="P424" s="29"/>
      <c r="Q424" s="29"/>
      <c r="R424" s="29"/>
      <c r="S424" s="29"/>
      <c r="T424" s="29"/>
      <c r="U424" s="29"/>
      <c r="V424" s="29"/>
      <c r="W424" s="29"/>
      <c r="X424" s="29"/>
    </row>
    <row r="425" spans="1:24" ht="15">
      <c r="A425" s="29"/>
      <c r="B425" s="29"/>
      <c r="C425" s="29"/>
      <c r="D425" s="33"/>
      <c r="E425" s="33"/>
      <c r="G425" s="29"/>
      <c r="H425" s="29"/>
      <c r="I425" s="29"/>
      <c r="J425" s="29"/>
      <c r="K425" s="29"/>
      <c r="L425" s="29"/>
      <c r="M425" s="29"/>
      <c r="N425" s="29"/>
      <c r="O425" s="29"/>
      <c r="P425" s="29"/>
      <c r="Q425" s="29"/>
      <c r="R425" s="29"/>
      <c r="S425" s="29"/>
      <c r="T425" s="29"/>
      <c r="U425" s="29"/>
      <c r="V425" s="29"/>
      <c r="W425" s="29"/>
      <c r="X425" s="29"/>
    </row>
    <row r="426" spans="1:24" ht="15">
      <c r="A426" s="29"/>
      <c r="B426" s="29"/>
      <c r="C426" s="29"/>
      <c r="D426" s="33"/>
      <c r="E426" s="33"/>
      <c r="G426" s="29"/>
      <c r="H426" s="29"/>
      <c r="I426" s="29"/>
      <c r="J426" s="29"/>
      <c r="K426" s="29"/>
      <c r="L426" s="29"/>
      <c r="M426" s="29"/>
      <c r="N426" s="29"/>
      <c r="O426" s="29"/>
      <c r="P426" s="29"/>
      <c r="Q426" s="29"/>
      <c r="R426" s="29"/>
      <c r="S426" s="29"/>
      <c r="T426" s="29"/>
      <c r="U426" s="29"/>
      <c r="V426" s="29"/>
      <c r="W426" s="29"/>
      <c r="X426" s="29"/>
    </row>
    <row r="427" spans="1:24" ht="15">
      <c r="A427" s="29"/>
      <c r="B427" s="29"/>
      <c r="C427" s="29"/>
      <c r="D427" s="33"/>
      <c r="E427" s="33"/>
      <c r="G427" s="29"/>
      <c r="H427" s="29"/>
      <c r="I427" s="29"/>
      <c r="J427" s="29"/>
      <c r="K427" s="29"/>
      <c r="L427" s="29"/>
      <c r="M427" s="29"/>
      <c r="N427" s="29"/>
      <c r="O427" s="29"/>
      <c r="P427" s="29"/>
      <c r="Q427" s="29"/>
      <c r="R427" s="29"/>
      <c r="S427" s="29"/>
      <c r="T427" s="29"/>
      <c r="U427" s="29"/>
      <c r="V427" s="29"/>
      <c r="W427" s="29"/>
      <c r="X427" s="29"/>
    </row>
    <row r="428" spans="1:24" ht="15">
      <c r="A428" s="29"/>
      <c r="B428" s="29"/>
      <c r="C428" s="29"/>
      <c r="D428" s="33"/>
      <c r="E428" s="33"/>
      <c r="G428" s="29"/>
      <c r="H428" s="29"/>
      <c r="I428" s="29"/>
      <c r="J428" s="29"/>
      <c r="K428" s="29"/>
      <c r="L428" s="29"/>
      <c r="M428" s="29"/>
      <c r="N428" s="29"/>
      <c r="O428" s="29"/>
      <c r="P428" s="29"/>
      <c r="Q428" s="29"/>
      <c r="R428" s="29"/>
      <c r="S428" s="29"/>
      <c r="T428" s="29"/>
      <c r="U428" s="29"/>
      <c r="V428" s="29"/>
      <c r="W428" s="29"/>
      <c r="X428" s="29"/>
    </row>
    <row r="429" spans="1:24" ht="15">
      <c r="A429" s="29"/>
      <c r="B429" s="29"/>
      <c r="C429" s="29"/>
      <c r="D429" s="33"/>
      <c r="E429" s="33"/>
      <c r="G429" s="29"/>
      <c r="H429" s="29"/>
      <c r="I429" s="29"/>
      <c r="J429" s="29"/>
      <c r="K429" s="29"/>
      <c r="L429" s="29"/>
      <c r="M429" s="29"/>
      <c r="N429" s="29"/>
      <c r="O429" s="29"/>
      <c r="P429" s="29"/>
      <c r="Q429" s="29"/>
      <c r="R429" s="29"/>
      <c r="S429" s="29"/>
      <c r="T429" s="29"/>
      <c r="U429" s="29"/>
      <c r="V429" s="29"/>
      <c r="W429" s="29"/>
      <c r="X429" s="29"/>
    </row>
    <row r="430" spans="1:24" ht="15">
      <c r="A430" s="29"/>
      <c r="B430" s="29"/>
      <c r="C430" s="29"/>
      <c r="D430" s="33"/>
      <c r="E430" s="33"/>
      <c r="G430" s="29"/>
      <c r="H430" s="29"/>
      <c r="I430" s="29"/>
      <c r="J430" s="29"/>
      <c r="K430" s="29"/>
      <c r="L430" s="29"/>
      <c r="M430" s="29"/>
      <c r="N430" s="29"/>
      <c r="O430" s="29"/>
      <c r="P430" s="29"/>
      <c r="Q430" s="29"/>
      <c r="R430" s="29"/>
      <c r="S430" s="29"/>
      <c r="T430" s="29"/>
      <c r="U430" s="29"/>
      <c r="V430" s="29"/>
      <c r="W430" s="29"/>
      <c r="X430" s="29"/>
    </row>
    <row r="431" spans="1:24" ht="15">
      <c r="A431" s="29"/>
      <c r="B431" s="29"/>
      <c r="C431" s="29"/>
      <c r="D431" s="33"/>
      <c r="E431" s="33"/>
      <c r="G431" s="29"/>
      <c r="H431" s="29"/>
      <c r="I431" s="29"/>
      <c r="J431" s="29"/>
      <c r="K431" s="29"/>
      <c r="L431" s="29"/>
      <c r="M431" s="29"/>
      <c r="N431" s="29"/>
      <c r="O431" s="29"/>
      <c r="P431" s="29"/>
      <c r="Q431" s="29"/>
      <c r="R431" s="29"/>
      <c r="S431" s="29"/>
      <c r="T431" s="29"/>
      <c r="U431" s="29"/>
      <c r="V431" s="29"/>
      <c r="W431" s="29"/>
      <c r="X431" s="29"/>
    </row>
    <row r="432" spans="1:24" ht="15">
      <c r="A432" s="29"/>
      <c r="B432" s="29"/>
      <c r="C432" s="29"/>
      <c r="D432" s="33"/>
      <c r="E432" s="33"/>
      <c r="G432" s="29"/>
      <c r="H432" s="29"/>
      <c r="I432" s="29"/>
      <c r="J432" s="29"/>
      <c r="K432" s="29"/>
      <c r="L432" s="29"/>
      <c r="M432" s="29"/>
      <c r="N432" s="29"/>
      <c r="O432" s="29"/>
      <c r="P432" s="29"/>
      <c r="Q432" s="29"/>
      <c r="R432" s="29"/>
      <c r="S432" s="29"/>
      <c r="T432" s="29"/>
      <c r="U432" s="29"/>
      <c r="V432" s="29"/>
      <c r="W432" s="29"/>
      <c r="X432" s="29"/>
    </row>
    <row r="433" spans="1:24" ht="15">
      <c r="A433" s="29"/>
      <c r="B433" s="29"/>
      <c r="C433" s="29"/>
      <c r="D433" s="33"/>
      <c r="E433" s="33"/>
      <c r="G433" s="29"/>
      <c r="H433" s="29"/>
      <c r="I433" s="29"/>
      <c r="J433" s="29"/>
      <c r="K433" s="29"/>
      <c r="L433" s="29"/>
      <c r="M433" s="29"/>
      <c r="N433" s="29"/>
      <c r="O433" s="29"/>
      <c r="P433" s="29"/>
      <c r="Q433" s="29"/>
      <c r="R433" s="29"/>
      <c r="S433" s="29"/>
      <c r="T433" s="29"/>
      <c r="U433" s="29"/>
      <c r="V433" s="29"/>
      <c r="W433" s="29"/>
      <c r="X433" s="29"/>
    </row>
    <row r="434" spans="1:24" ht="15">
      <c r="A434" s="29"/>
      <c r="B434" s="29"/>
      <c r="C434" s="29"/>
      <c r="D434" s="33"/>
      <c r="E434" s="33"/>
      <c r="G434" s="29"/>
      <c r="H434" s="29"/>
      <c r="I434" s="29"/>
      <c r="J434" s="29"/>
      <c r="K434" s="29"/>
      <c r="L434" s="29"/>
      <c r="M434" s="29"/>
      <c r="N434" s="29"/>
      <c r="O434" s="29"/>
      <c r="P434" s="29"/>
      <c r="Q434" s="29"/>
      <c r="R434" s="29"/>
      <c r="S434" s="29"/>
      <c r="T434" s="29"/>
      <c r="U434" s="29"/>
      <c r="V434" s="29"/>
      <c r="W434" s="29"/>
      <c r="X434" s="29"/>
    </row>
    <row r="435" spans="1:24" ht="15">
      <c r="A435" s="29"/>
      <c r="B435" s="29"/>
      <c r="C435" s="29"/>
      <c r="D435" s="33"/>
      <c r="E435" s="33"/>
      <c r="G435" s="29"/>
      <c r="H435" s="29"/>
      <c r="I435" s="29"/>
      <c r="J435" s="29"/>
      <c r="K435" s="29"/>
      <c r="L435" s="29"/>
      <c r="M435" s="29"/>
      <c r="N435" s="29"/>
      <c r="O435" s="29"/>
      <c r="P435" s="29"/>
      <c r="Q435" s="29"/>
      <c r="R435" s="29"/>
      <c r="S435" s="29"/>
      <c r="T435" s="29"/>
      <c r="U435" s="29"/>
      <c r="V435" s="29"/>
      <c r="W435" s="29"/>
      <c r="X435" s="29"/>
    </row>
    <row r="436" spans="1:24" ht="15">
      <c r="A436" s="29"/>
      <c r="B436" s="29"/>
      <c r="C436" s="29"/>
      <c r="D436" s="33"/>
      <c r="E436" s="33"/>
      <c r="G436" s="29"/>
      <c r="H436" s="29"/>
      <c r="I436" s="29"/>
      <c r="J436" s="29"/>
      <c r="K436" s="29"/>
      <c r="L436" s="29"/>
      <c r="M436" s="29"/>
      <c r="N436" s="29"/>
      <c r="O436" s="29"/>
      <c r="P436" s="29"/>
      <c r="Q436" s="29"/>
      <c r="R436" s="29"/>
      <c r="S436" s="29"/>
      <c r="T436" s="29"/>
      <c r="U436" s="29"/>
      <c r="V436" s="29"/>
      <c r="W436" s="29"/>
      <c r="X436" s="29"/>
    </row>
    <row r="437" spans="1:24" ht="15">
      <c r="A437" s="29"/>
      <c r="B437" s="29"/>
      <c r="C437" s="29"/>
      <c r="D437" s="33"/>
      <c r="E437" s="33"/>
      <c r="G437" s="29"/>
      <c r="H437" s="29"/>
      <c r="I437" s="29"/>
      <c r="J437" s="29"/>
      <c r="K437" s="29"/>
      <c r="L437" s="29"/>
      <c r="M437" s="29"/>
      <c r="N437" s="29"/>
      <c r="O437" s="29"/>
      <c r="P437" s="29"/>
      <c r="Q437" s="29"/>
      <c r="R437" s="29"/>
      <c r="S437" s="29"/>
      <c r="T437" s="29"/>
      <c r="U437" s="29"/>
      <c r="V437" s="29"/>
      <c r="W437" s="29"/>
      <c r="X437" s="29"/>
    </row>
    <row r="438" spans="1:24" ht="15">
      <c r="A438" s="29"/>
      <c r="B438" s="29"/>
      <c r="C438" s="29"/>
      <c r="D438" s="33"/>
      <c r="E438" s="33"/>
      <c r="G438" s="29"/>
      <c r="H438" s="29"/>
      <c r="I438" s="29"/>
      <c r="J438" s="29"/>
      <c r="K438" s="29"/>
      <c r="L438" s="29"/>
      <c r="M438" s="29"/>
      <c r="N438" s="29"/>
      <c r="O438" s="29"/>
      <c r="P438" s="29"/>
      <c r="Q438" s="29"/>
      <c r="R438" s="29"/>
      <c r="S438" s="29"/>
      <c r="T438" s="29"/>
      <c r="U438" s="29"/>
      <c r="V438" s="29"/>
      <c r="W438" s="29"/>
      <c r="X438" s="29"/>
    </row>
    <row r="439" spans="1:24" ht="15">
      <c r="A439" s="29"/>
      <c r="B439" s="29"/>
      <c r="C439" s="29"/>
      <c r="D439" s="33"/>
      <c r="E439" s="33"/>
      <c r="G439" s="29"/>
      <c r="H439" s="29"/>
      <c r="I439" s="29"/>
      <c r="J439" s="29"/>
      <c r="K439" s="29"/>
      <c r="L439" s="29"/>
      <c r="M439" s="29"/>
      <c r="N439" s="29"/>
      <c r="O439" s="29"/>
      <c r="P439" s="29"/>
      <c r="Q439" s="29"/>
      <c r="R439" s="29"/>
      <c r="S439" s="29"/>
      <c r="T439" s="29"/>
      <c r="U439" s="29"/>
      <c r="V439" s="29"/>
      <c r="W439" s="29"/>
      <c r="X439" s="29"/>
    </row>
    <row r="440" spans="1:24" ht="15">
      <c r="A440" s="29"/>
      <c r="B440" s="29"/>
      <c r="C440" s="29"/>
      <c r="D440" s="33"/>
      <c r="E440" s="33"/>
      <c r="G440" s="29"/>
      <c r="H440" s="29"/>
      <c r="I440" s="29"/>
      <c r="J440" s="29"/>
      <c r="K440" s="29"/>
      <c r="L440" s="29"/>
      <c r="M440" s="29"/>
      <c r="N440" s="29"/>
      <c r="O440" s="29"/>
      <c r="P440" s="29"/>
      <c r="Q440" s="29"/>
      <c r="R440" s="29"/>
      <c r="S440" s="29"/>
      <c r="T440" s="29"/>
      <c r="U440" s="29"/>
      <c r="V440" s="29"/>
      <c r="W440" s="29"/>
      <c r="X440" s="29"/>
    </row>
    <row r="441" spans="1:24" ht="15">
      <c r="A441" s="29"/>
      <c r="B441" s="29"/>
      <c r="C441" s="29"/>
      <c r="D441" s="33"/>
      <c r="E441" s="33"/>
      <c r="G441" s="29"/>
      <c r="H441" s="29"/>
      <c r="I441" s="29"/>
      <c r="J441" s="29"/>
      <c r="K441" s="29"/>
      <c r="L441" s="29"/>
      <c r="M441" s="29"/>
      <c r="N441" s="29"/>
      <c r="O441" s="29"/>
      <c r="P441" s="29"/>
      <c r="Q441" s="29"/>
      <c r="R441" s="29"/>
      <c r="S441" s="29"/>
      <c r="T441" s="29"/>
      <c r="U441" s="29"/>
      <c r="V441" s="29"/>
      <c r="W441" s="29"/>
      <c r="X441" s="29"/>
    </row>
    <row r="442" spans="1:24" ht="15">
      <c r="A442" s="29"/>
      <c r="B442" s="29"/>
      <c r="C442" s="29"/>
      <c r="D442" s="33"/>
      <c r="E442" s="33"/>
      <c r="G442" s="29"/>
      <c r="H442" s="29"/>
      <c r="I442" s="29"/>
      <c r="J442" s="29"/>
      <c r="K442" s="29"/>
      <c r="L442" s="29"/>
      <c r="M442" s="29"/>
      <c r="N442" s="29"/>
      <c r="O442" s="29"/>
      <c r="P442" s="29"/>
      <c r="Q442" s="29"/>
      <c r="R442" s="29"/>
      <c r="S442" s="29"/>
      <c r="T442" s="29"/>
      <c r="U442" s="29"/>
      <c r="V442" s="29"/>
      <c r="W442" s="29"/>
      <c r="X442" s="29"/>
    </row>
    <row r="443" spans="1:24" ht="15">
      <c r="A443" s="29"/>
      <c r="B443" s="29"/>
      <c r="C443" s="29"/>
      <c r="D443" s="33"/>
      <c r="E443" s="33"/>
      <c r="G443" s="29"/>
      <c r="H443" s="29"/>
      <c r="I443" s="29"/>
      <c r="J443" s="29"/>
      <c r="K443" s="29"/>
      <c r="L443" s="29"/>
      <c r="M443" s="29"/>
      <c r="N443" s="29"/>
      <c r="O443" s="29"/>
      <c r="P443" s="29"/>
      <c r="Q443" s="29"/>
      <c r="R443" s="29"/>
      <c r="S443" s="29"/>
      <c r="T443" s="29"/>
      <c r="U443" s="29"/>
      <c r="V443" s="29"/>
      <c r="W443" s="29"/>
      <c r="X443" s="29"/>
    </row>
    <row r="444" spans="1:24" ht="15">
      <c r="A444" s="29"/>
      <c r="B444" s="29"/>
      <c r="C444" s="29"/>
      <c r="D444" s="33"/>
      <c r="E444" s="33"/>
      <c r="G444" s="29"/>
      <c r="H444" s="29"/>
      <c r="I444" s="29"/>
      <c r="J444" s="29"/>
      <c r="K444" s="29"/>
      <c r="L444" s="29"/>
      <c r="M444" s="29"/>
      <c r="N444" s="29"/>
      <c r="O444" s="29"/>
      <c r="P444" s="29"/>
      <c r="Q444" s="29"/>
      <c r="R444" s="29"/>
      <c r="S444" s="29"/>
      <c r="T444" s="29"/>
      <c r="U444" s="29"/>
      <c r="V444" s="29"/>
      <c r="W444" s="29"/>
      <c r="X444" s="29"/>
    </row>
    <row r="445" spans="1:24" ht="15">
      <c r="A445" s="29"/>
      <c r="B445" s="29"/>
      <c r="C445" s="29"/>
      <c r="D445" s="33"/>
      <c r="E445" s="33"/>
      <c r="G445" s="29"/>
      <c r="H445" s="29"/>
      <c r="I445" s="29"/>
      <c r="J445" s="29"/>
      <c r="K445" s="29"/>
      <c r="L445" s="29"/>
      <c r="M445" s="29"/>
      <c r="N445" s="29"/>
      <c r="O445" s="29"/>
      <c r="P445" s="29"/>
      <c r="Q445" s="29"/>
      <c r="R445" s="29"/>
      <c r="S445" s="29"/>
      <c r="T445" s="29"/>
      <c r="U445" s="29"/>
      <c r="V445" s="29"/>
      <c r="W445" s="29"/>
      <c r="X445" s="29"/>
    </row>
    <row r="446" spans="1:24" ht="15">
      <c r="A446" s="29"/>
      <c r="B446" s="29"/>
      <c r="C446" s="29"/>
      <c r="D446" s="33"/>
      <c r="E446" s="33"/>
      <c r="G446" s="29"/>
      <c r="H446" s="29"/>
      <c r="I446" s="29"/>
      <c r="J446" s="29"/>
      <c r="K446" s="29"/>
      <c r="L446" s="29"/>
      <c r="M446" s="29"/>
      <c r="N446" s="29"/>
      <c r="O446" s="29"/>
      <c r="P446" s="29"/>
      <c r="Q446" s="29"/>
      <c r="R446" s="29"/>
      <c r="S446" s="29"/>
      <c r="T446" s="29"/>
      <c r="U446" s="29"/>
      <c r="V446" s="29"/>
      <c r="W446" s="29"/>
      <c r="X446" s="29"/>
    </row>
    <row r="447" spans="1:24" ht="15">
      <c r="A447" s="29"/>
      <c r="B447" s="29"/>
      <c r="C447" s="29"/>
      <c r="D447" s="33"/>
      <c r="E447" s="33"/>
      <c r="G447" s="29"/>
      <c r="H447" s="29"/>
      <c r="I447" s="29"/>
      <c r="J447" s="29"/>
      <c r="K447" s="29"/>
      <c r="L447" s="29"/>
      <c r="M447" s="29"/>
      <c r="N447" s="29"/>
      <c r="O447" s="29"/>
      <c r="P447" s="29"/>
      <c r="Q447" s="29"/>
      <c r="R447" s="29"/>
      <c r="S447" s="29"/>
      <c r="T447" s="29"/>
      <c r="U447" s="29"/>
      <c r="V447" s="29"/>
      <c r="W447" s="29"/>
      <c r="X447" s="29"/>
    </row>
    <row r="448" spans="1:24" ht="15">
      <c r="A448" s="29"/>
      <c r="B448" s="29"/>
      <c r="C448" s="29"/>
      <c r="D448" s="33"/>
      <c r="E448" s="33"/>
      <c r="G448" s="29"/>
      <c r="H448" s="29"/>
      <c r="I448" s="29"/>
      <c r="J448" s="29"/>
      <c r="K448" s="29"/>
      <c r="L448" s="29"/>
      <c r="M448" s="29"/>
      <c r="N448" s="29"/>
      <c r="O448" s="29"/>
      <c r="P448" s="29"/>
      <c r="Q448" s="29"/>
      <c r="R448" s="29"/>
      <c r="S448" s="29"/>
      <c r="T448" s="29"/>
      <c r="U448" s="29"/>
      <c r="V448" s="29"/>
      <c r="W448" s="29"/>
      <c r="X448" s="29"/>
    </row>
    <row r="449" spans="1:24" ht="15">
      <c r="A449" s="29"/>
      <c r="B449" s="29"/>
      <c r="C449" s="29"/>
      <c r="D449" s="33"/>
      <c r="E449" s="33"/>
      <c r="G449" s="29"/>
      <c r="H449" s="29"/>
      <c r="I449" s="29"/>
      <c r="J449" s="29"/>
      <c r="K449" s="29"/>
      <c r="L449" s="29"/>
      <c r="M449" s="29"/>
      <c r="N449" s="29"/>
      <c r="O449" s="29"/>
      <c r="P449" s="29"/>
      <c r="Q449" s="29"/>
      <c r="R449" s="29"/>
      <c r="S449" s="29"/>
      <c r="T449" s="29"/>
      <c r="U449" s="29"/>
      <c r="V449" s="29"/>
      <c r="W449" s="29"/>
      <c r="X449" s="29"/>
    </row>
    <row r="450" spans="1:24" ht="15">
      <c r="A450" s="29"/>
      <c r="B450" s="29"/>
      <c r="C450" s="29"/>
      <c r="D450" s="33"/>
      <c r="E450" s="33"/>
      <c r="G450" s="29"/>
      <c r="H450" s="29"/>
      <c r="I450" s="29"/>
      <c r="J450" s="29"/>
      <c r="K450" s="29"/>
      <c r="L450" s="29"/>
      <c r="M450" s="29"/>
      <c r="N450" s="29"/>
      <c r="O450" s="29"/>
      <c r="P450" s="29"/>
      <c r="Q450" s="29"/>
      <c r="R450" s="29"/>
      <c r="S450" s="29"/>
      <c r="T450" s="29"/>
      <c r="U450" s="29"/>
      <c r="V450" s="29"/>
      <c r="W450" s="29"/>
      <c r="X450" s="29"/>
    </row>
    <row r="451" spans="1:24" ht="15">
      <c r="A451" s="29"/>
      <c r="B451" s="29"/>
      <c r="C451" s="29"/>
      <c r="D451" s="33"/>
      <c r="E451" s="33"/>
      <c r="G451" s="29"/>
      <c r="H451" s="29"/>
      <c r="I451" s="29"/>
      <c r="J451" s="29"/>
      <c r="K451" s="29"/>
      <c r="L451" s="29"/>
      <c r="M451" s="29"/>
      <c r="N451" s="29"/>
      <c r="O451" s="29"/>
      <c r="P451" s="29"/>
      <c r="Q451" s="29"/>
      <c r="R451" s="29"/>
      <c r="S451" s="29"/>
      <c r="T451" s="29"/>
      <c r="U451" s="29"/>
      <c r="V451" s="29"/>
      <c r="W451" s="29"/>
      <c r="X451" s="29"/>
    </row>
    <row r="452" spans="1:24" ht="15">
      <c r="A452" s="29"/>
      <c r="B452" s="29"/>
      <c r="C452" s="29"/>
      <c r="D452" s="33"/>
      <c r="E452" s="33"/>
      <c r="G452" s="29"/>
      <c r="H452" s="29"/>
      <c r="I452" s="29"/>
      <c r="J452" s="29"/>
      <c r="K452" s="29"/>
      <c r="L452" s="29"/>
      <c r="M452" s="29"/>
      <c r="N452" s="29"/>
      <c r="O452" s="29"/>
      <c r="P452" s="29"/>
      <c r="Q452" s="29"/>
      <c r="R452" s="29"/>
      <c r="S452" s="29"/>
      <c r="T452" s="29"/>
      <c r="U452" s="29"/>
      <c r="V452" s="29"/>
      <c r="W452" s="29"/>
      <c r="X452" s="29"/>
    </row>
    <row r="453" spans="1:24" ht="15">
      <c r="A453" s="29"/>
      <c r="B453" s="29"/>
      <c r="C453" s="29"/>
      <c r="D453" s="33"/>
      <c r="E453" s="33"/>
      <c r="G453" s="29"/>
      <c r="H453" s="29"/>
      <c r="I453" s="29"/>
      <c r="J453" s="29"/>
      <c r="K453" s="29"/>
      <c r="L453" s="29"/>
      <c r="M453" s="29"/>
      <c r="N453" s="29"/>
      <c r="O453" s="29"/>
      <c r="P453" s="29"/>
      <c r="Q453" s="29"/>
      <c r="R453" s="29"/>
      <c r="S453" s="29"/>
      <c r="T453" s="29"/>
      <c r="U453" s="29"/>
      <c r="V453" s="29"/>
      <c r="W453" s="29"/>
      <c r="X453" s="29"/>
    </row>
    <row r="454" spans="1:24" ht="15">
      <c r="A454" s="29"/>
      <c r="B454" s="29"/>
      <c r="C454" s="29"/>
      <c r="D454" s="33"/>
      <c r="E454" s="33"/>
      <c r="G454" s="29"/>
      <c r="H454" s="29"/>
      <c r="I454" s="29"/>
      <c r="J454" s="29"/>
      <c r="K454" s="29"/>
      <c r="L454" s="29"/>
      <c r="M454" s="29"/>
      <c r="N454" s="29"/>
      <c r="O454" s="29"/>
      <c r="P454" s="29"/>
      <c r="Q454" s="29"/>
      <c r="R454" s="29"/>
      <c r="S454" s="29"/>
      <c r="T454" s="29"/>
      <c r="U454" s="29"/>
      <c r="V454" s="29"/>
      <c r="W454" s="29"/>
      <c r="X454" s="29"/>
    </row>
    <row r="455" spans="1:24" ht="15">
      <c r="A455" s="29"/>
      <c r="B455" s="29"/>
      <c r="C455" s="29"/>
      <c r="D455" s="33"/>
      <c r="E455" s="33"/>
      <c r="G455" s="29"/>
      <c r="H455" s="29"/>
      <c r="I455" s="29"/>
      <c r="J455" s="29"/>
      <c r="K455" s="29"/>
      <c r="L455" s="29"/>
      <c r="M455" s="29"/>
      <c r="N455" s="29"/>
      <c r="O455" s="29"/>
      <c r="P455" s="29"/>
      <c r="Q455" s="29"/>
      <c r="R455" s="29"/>
      <c r="S455" s="29"/>
      <c r="T455" s="29"/>
      <c r="U455" s="29"/>
      <c r="V455" s="29"/>
      <c r="W455" s="29"/>
      <c r="X455" s="29"/>
    </row>
    <row r="456" spans="1:24" ht="15">
      <c r="A456" s="29"/>
      <c r="B456" s="29"/>
      <c r="C456" s="29"/>
      <c r="D456" s="33"/>
      <c r="E456" s="33"/>
      <c r="G456" s="29"/>
      <c r="H456" s="29"/>
      <c r="I456" s="29"/>
      <c r="J456" s="29"/>
      <c r="K456" s="29"/>
      <c r="L456" s="29"/>
      <c r="M456" s="29"/>
      <c r="N456" s="29"/>
      <c r="O456" s="29"/>
      <c r="P456" s="29"/>
      <c r="Q456" s="29"/>
      <c r="R456" s="29"/>
      <c r="S456" s="29"/>
      <c r="T456" s="29"/>
      <c r="U456" s="29"/>
      <c r="V456" s="29"/>
      <c r="W456" s="29"/>
      <c r="X456" s="29"/>
    </row>
    <row r="457" spans="1:24" ht="15">
      <c r="A457" s="29"/>
      <c r="B457" s="29"/>
      <c r="C457" s="29"/>
      <c r="D457" s="33"/>
      <c r="E457" s="33"/>
      <c r="G457" s="29"/>
      <c r="H457" s="29"/>
      <c r="I457" s="29"/>
      <c r="J457" s="29"/>
      <c r="K457" s="29"/>
      <c r="L457" s="29"/>
      <c r="M457" s="29"/>
      <c r="N457" s="29"/>
      <c r="O457" s="29"/>
      <c r="P457" s="29"/>
      <c r="Q457" s="29"/>
      <c r="R457" s="29"/>
      <c r="S457" s="29"/>
      <c r="T457" s="29"/>
      <c r="U457" s="29"/>
      <c r="V457" s="29"/>
      <c r="W457" s="29"/>
      <c r="X457" s="29"/>
    </row>
    <row r="458" spans="1:24" ht="15">
      <c r="A458" s="29"/>
      <c r="B458" s="29"/>
      <c r="C458" s="29"/>
      <c r="D458" s="33"/>
      <c r="E458" s="33"/>
      <c r="G458" s="29"/>
      <c r="H458" s="29"/>
      <c r="I458" s="29"/>
      <c r="J458" s="29"/>
      <c r="K458" s="29"/>
      <c r="L458" s="29"/>
      <c r="M458" s="29"/>
      <c r="N458" s="29"/>
      <c r="O458" s="29"/>
      <c r="P458" s="29"/>
      <c r="Q458" s="29"/>
      <c r="R458" s="29"/>
      <c r="S458" s="29"/>
      <c r="T458" s="29"/>
      <c r="U458" s="29"/>
      <c r="V458" s="29"/>
      <c r="W458" s="29"/>
      <c r="X458" s="29"/>
    </row>
    <row r="459" spans="1:24" ht="15">
      <c r="A459" s="29"/>
      <c r="B459" s="29"/>
      <c r="C459" s="29"/>
      <c r="D459" s="33"/>
      <c r="E459" s="33"/>
      <c r="G459" s="29"/>
      <c r="H459" s="29"/>
      <c r="I459" s="29"/>
      <c r="J459" s="29"/>
      <c r="K459" s="29"/>
      <c r="L459" s="29"/>
      <c r="M459" s="29"/>
      <c r="N459" s="29"/>
      <c r="O459" s="29"/>
      <c r="P459" s="29"/>
      <c r="Q459" s="29"/>
      <c r="R459" s="29"/>
      <c r="S459" s="29"/>
      <c r="T459" s="29"/>
      <c r="U459" s="29"/>
      <c r="V459" s="29"/>
      <c r="W459" s="29"/>
      <c r="X459" s="29"/>
    </row>
    <row r="460" spans="1:24" ht="15">
      <c r="A460" s="29"/>
      <c r="B460" s="29"/>
      <c r="C460" s="29"/>
      <c r="D460" s="33"/>
      <c r="E460" s="33"/>
      <c r="G460" s="29"/>
      <c r="H460" s="29"/>
      <c r="I460" s="29"/>
      <c r="J460" s="29"/>
      <c r="K460" s="29"/>
      <c r="L460" s="29"/>
      <c r="M460" s="29"/>
      <c r="N460" s="29"/>
      <c r="O460" s="29"/>
      <c r="P460" s="29"/>
      <c r="Q460" s="29"/>
      <c r="R460" s="29"/>
      <c r="S460" s="29"/>
      <c r="T460" s="29"/>
      <c r="U460" s="29"/>
      <c r="V460" s="29"/>
      <c r="W460" s="29"/>
      <c r="X460" s="29"/>
    </row>
    <row r="461" spans="1:24" ht="15">
      <c r="A461" s="29"/>
      <c r="B461" s="29"/>
      <c r="C461" s="29"/>
      <c r="D461" s="33"/>
      <c r="E461" s="33"/>
      <c r="G461" s="29"/>
      <c r="H461" s="29"/>
      <c r="I461" s="29"/>
      <c r="J461" s="29"/>
      <c r="K461" s="29"/>
      <c r="L461" s="29"/>
      <c r="M461" s="29"/>
      <c r="N461" s="29"/>
      <c r="O461" s="29"/>
      <c r="P461" s="29"/>
      <c r="Q461" s="29"/>
      <c r="R461" s="29"/>
      <c r="S461" s="29"/>
      <c r="T461" s="29"/>
      <c r="U461" s="29"/>
      <c r="V461" s="29"/>
      <c r="W461" s="29"/>
      <c r="X461" s="29"/>
    </row>
    <row r="462" spans="1:24" ht="15">
      <c r="A462" s="29"/>
      <c r="B462" s="29"/>
      <c r="C462" s="29"/>
      <c r="D462" s="33"/>
      <c r="E462" s="33"/>
      <c r="G462" s="29"/>
      <c r="H462" s="29"/>
      <c r="I462" s="29"/>
      <c r="J462" s="29"/>
      <c r="K462" s="29"/>
      <c r="L462" s="29"/>
      <c r="M462" s="29"/>
      <c r="N462" s="29"/>
      <c r="O462" s="29"/>
      <c r="P462" s="29"/>
      <c r="Q462" s="29"/>
      <c r="R462" s="29"/>
      <c r="S462" s="29"/>
      <c r="T462" s="29"/>
      <c r="U462" s="29"/>
      <c r="V462" s="29"/>
      <c r="W462" s="29"/>
      <c r="X462" s="29"/>
    </row>
    <row r="463" spans="1:24" ht="15">
      <c r="A463" s="29"/>
      <c r="B463" s="29"/>
      <c r="C463" s="29"/>
      <c r="D463" s="33"/>
      <c r="E463" s="33"/>
      <c r="G463" s="29"/>
      <c r="H463" s="29"/>
      <c r="I463" s="29"/>
      <c r="J463" s="29"/>
      <c r="K463" s="29"/>
      <c r="L463" s="29"/>
      <c r="M463" s="29"/>
      <c r="N463" s="29"/>
      <c r="O463" s="29"/>
      <c r="P463" s="29"/>
      <c r="Q463" s="29"/>
      <c r="R463" s="29"/>
      <c r="S463" s="29"/>
      <c r="T463" s="29"/>
      <c r="U463" s="29"/>
      <c r="V463" s="29"/>
      <c r="W463" s="29"/>
      <c r="X463" s="29"/>
    </row>
    <row r="464" spans="1:24" ht="15">
      <c r="A464" s="29"/>
      <c r="B464" s="29"/>
      <c r="C464" s="29"/>
      <c r="D464" s="33"/>
      <c r="E464" s="33"/>
      <c r="G464" s="29"/>
      <c r="H464" s="29"/>
      <c r="I464" s="29"/>
      <c r="J464" s="29"/>
      <c r="K464" s="29"/>
      <c r="L464" s="29"/>
      <c r="M464" s="29"/>
      <c r="N464" s="29"/>
      <c r="O464" s="29"/>
      <c r="P464" s="29"/>
      <c r="Q464" s="29"/>
      <c r="R464" s="29"/>
      <c r="S464" s="29"/>
      <c r="T464" s="29"/>
      <c r="U464" s="29"/>
      <c r="V464" s="29"/>
      <c r="W464" s="29"/>
      <c r="X464" s="29"/>
    </row>
    <row r="465" spans="1:24" ht="15">
      <c r="A465" s="29"/>
      <c r="B465" s="29"/>
      <c r="C465" s="29"/>
      <c r="D465" s="33"/>
      <c r="E465" s="33"/>
      <c r="G465" s="29"/>
      <c r="H465" s="29"/>
      <c r="I465" s="29"/>
      <c r="J465" s="29"/>
      <c r="K465" s="29"/>
      <c r="L465" s="29"/>
      <c r="M465" s="29"/>
      <c r="N465" s="29"/>
      <c r="O465" s="29"/>
      <c r="P465" s="29"/>
      <c r="Q465" s="29"/>
      <c r="R465" s="29"/>
      <c r="S465" s="29"/>
      <c r="T465" s="29"/>
      <c r="U465" s="29"/>
      <c r="V465" s="29"/>
      <c r="W465" s="29"/>
      <c r="X465" s="29"/>
    </row>
    <row r="466" spans="1:24" ht="15">
      <c r="A466" s="29"/>
      <c r="B466" s="29"/>
      <c r="C466" s="29"/>
      <c r="D466" s="33"/>
      <c r="E466" s="33"/>
      <c r="G466" s="29"/>
      <c r="H466" s="29"/>
      <c r="I466" s="29"/>
      <c r="J466" s="29"/>
      <c r="K466" s="29"/>
      <c r="L466" s="29"/>
      <c r="M466" s="29"/>
      <c r="N466" s="29"/>
      <c r="O466" s="29"/>
      <c r="P466" s="29"/>
      <c r="Q466" s="29"/>
      <c r="R466" s="29"/>
      <c r="S466" s="29"/>
      <c r="T466" s="29"/>
      <c r="U466" s="29"/>
      <c r="V466" s="29"/>
      <c r="W466" s="29"/>
      <c r="X466" s="29"/>
    </row>
    <row r="467" spans="1:24" ht="15">
      <c r="A467" s="29"/>
      <c r="B467" s="29"/>
      <c r="C467" s="29"/>
      <c r="D467" s="33"/>
      <c r="E467" s="33"/>
      <c r="G467" s="29"/>
      <c r="H467" s="29"/>
      <c r="I467" s="29"/>
      <c r="J467" s="29"/>
      <c r="K467" s="29"/>
      <c r="L467" s="29"/>
      <c r="M467" s="29"/>
      <c r="N467" s="29"/>
      <c r="O467" s="29"/>
      <c r="P467" s="29"/>
      <c r="Q467" s="29"/>
      <c r="R467" s="29"/>
      <c r="S467" s="29"/>
      <c r="T467" s="29"/>
      <c r="U467" s="29"/>
      <c r="V467" s="29"/>
      <c r="W467" s="29"/>
      <c r="X467" s="29"/>
    </row>
    <row r="468" spans="1:24" ht="15">
      <c r="A468" s="29"/>
      <c r="B468" s="29"/>
      <c r="C468" s="29"/>
      <c r="D468" s="33"/>
      <c r="E468" s="33"/>
      <c r="G468" s="29"/>
      <c r="H468" s="29"/>
      <c r="I468" s="29"/>
      <c r="J468" s="29"/>
      <c r="K468" s="29"/>
      <c r="L468" s="29"/>
      <c r="M468" s="29"/>
      <c r="N468" s="29"/>
      <c r="O468" s="29"/>
      <c r="P468" s="29"/>
      <c r="Q468" s="29"/>
      <c r="R468" s="29"/>
      <c r="S468" s="29"/>
      <c r="T468" s="29"/>
      <c r="U468" s="29"/>
      <c r="V468" s="29"/>
      <c r="W468" s="29"/>
      <c r="X468" s="29"/>
    </row>
    <row r="469" spans="1:24" ht="15">
      <c r="A469" s="29"/>
      <c r="B469" s="29"/>
      <c r="C469" s="29"/>
      <c r="D469" s="33"/>
      <c r="E469" s="33"/>
      <c r="G469" s="29"/>
      <c r="H469" s="29"/>
      <c r="I469" s="29"/>
      <c r="J469" s="29"/>
      <c r="K469" s="29"/>
      <c r="L469" s="29"/>
      <c r="M469" s="29"/>
      <c r="N469" s="29"/>
      <c r="O469" s="29"/>
      <c r="P469" s="29"/>
      <c r="Q469" s="29"/>
      <c r="R469" s="29"/>
      <c r="S469" s="29"/>
      <c r="T469" s="29"/>
      <c r="U469" s="29"/>
      <c r="V469" s="29"/>
      <c r="W469" s="29"/>
      <c r="X469" s="29"/>
    </row>
    <row r="470" spans="1:24" ht="15">
      <c r="A470" s="29"/>
      <c r="B470" s="29"/>
      <c r="C470" s="29"/>
      <c r="D470" s="33"/>
      <c r="E470" s="33"/>
      <c r="G470" s="29"/>
      <c r="H470" s="29"/>
      <c r="I470" s="29"/>
      <c r="J470" s="29"/>
      <c r="K470" s="29"/>
      <c r="L470" s="29"/>
      <c r="M470" s="29"/>
      <c r="N470" s="29"/>
      <c r="O470" s="29"/>
      <c r="P470" s="29"/>
      <c r="Q470" s="29"/>
      <c r="R470" s="29"/>
      <c r="S470" s="29"/>
      <c r="T470" s="29"/>
      <c r="U470" s="29"/>
      <c r="V470" s="29"/>
      <c r="W470" s="29"/>
      <c r="X470" s="29"/>
    </row>
    <row r="471" spans="1:24" ht="15">
      <c r="A471" s="29"/>
      <c r="B471" s="29"/>
      <c r="C471" s="29"/>
      <c r="D471" s="33"/>
      <c r="E471" s="33"/>
      <c r="G471" s="29"/>
      <c r="H471" s="29"/>
      <c r="I471" s="29"/>
      <c r="J471" s="29"/>
      <c r="K471" s="29"/>
      <c r="L471" s="29"/>
      <c r="M471" s="29"/>
      <c r="N471" s="29"/>
      <c r="O471" s="29"/>
      <c r="P471" s="29"/>
      <c r="Q471" s="29"/>
      <c r="R471" s="29"/>
      <c r="S471" s="29"/>
      <c r="T471" s="29"/>
      <c r="U471" s="29"/>
      <c r="V471" s="29"/>
      <c r="W471" s="29"/>
      <c r="X471" s="29"/>
    </row>
    <row r="472" spans="1:24" ht="15">
      <c r="A472" s="29"/>
      <c r="B472" s="29"/>
      <c r="C472" s="29"/>
      <c r="D472" s="33"/>
      <c r="E472" s="33"/>
      <c r="G472" s="29"/>
      <c r="H472" s="29"/>
      <c r="I472" s="29"/>
      <c r="J472" s="29"/>
      <c r="K472" s="29"/>
      <c r="L472" s="29"/>
      <c r="M472" s="29"/>
      <c r="N472" s="29"/>
      <c r="O472" s="29"/>
      <c r="P472" s="29"/>
      <c r="Q472" s="29"/>
      <c r="R472" s="29"/>
      <c r="S472" s="29"/>
      <c r="T472" s="29"/>
      <c r="U472" s="29"/>
      <c r="V472" s="29"/>
      <c r="W472" s="29"/>
      <c r="X472" s="29"/>
    </row>
    <row r="473" spans="1:24" ht="15">
      <c r="A473" s="29"/>
      <c r="B473" s="29"/>
      <c r="C473" s="29"/>
      <c r="D473" s="33"/>
      <c r="E473" s="33"/>
      <c r="G473" s="29"/>
      <c r="H473" s="29"/>
      <c r="I473" s="29"/>
      <c r="J473" s="29"/>
      <c r="K473" s="29"/>
      <c r="L473" s="29"/>
      <c r="M473" s="29"/>
      <c r="N473" s="29"/>
      <c r="O473" s="29"/>
      <c r="P473" s="29"/>
      <c r="Q473" s="29"/>
      <c r="R473" s="29"/>
      <c r="S473" s="29"/>
      <c r="T473" s="29"/>
      <c r="U473" s="29"/>
      <c r="V473" s="29"/>
      <c r="W473" s="29"/>
      <c r="X473" s="29"/>
    </row>
    <row r="474" spans="1:24" ht="15">
      <c r="A474" s="29"/>
      <c r="B474" s="29"/>
      <c r="C474" s="29"/>
      <c r="D474" s="33"/>
      <c r="E474" s="33"/>
      <c r="G474" s="29"/>
      <c r="H474" s="29"/>
      <c r="I474" s="29"/>
      <c r="J474" s="29"/>
      <c r="K474" s="29"/>
      <c r="L474" s="29"/>
      <c r="M474" s="29"/>
      <c r="N474" s="29"/>
      <c r="O474" s="29"/>
      <c r="P474" s="29"/>
      <c r="Q474" s="29"/>
      <c r="R474" s="29"/>
      <c r="S474" s="29"/>
      <c r="T474" s="29"/>
      <c r="U474" s="29"/>
      <c r="V474" s="29"/>
      <c r="W474" s="29"/>
      <c r="X474" s="29"/>
    </row>
    <row r="475" spans="1:24" ht="15">
      <c r="A475" s="29"/>
      <c r="B475" s="29"/>
      <c r="C475" s="29"/>
      <c r="D475" s="33"/>
      <c r="E475" s="33"/>
      <c r="G475" s="29"/>
      <c r="H475" s="29"/>
      <c r="I475" s="29"/>
      <c r="J475" s="29"/>
      <c r="K475" s="29"/>
      <c r="L475" s="29"/>
      <c r="M475" s="29"/>
      <c r="N475" s="29"/>
      <c r="O475" s="29"/>
      <c r="P475" s="29"/>
      <c r="Q475" s="29"/>
      <c r="R475" s="29"/>
      <c r="S475" s="29"/>
      <c r="T475" s="29"/>
      <c r="U475" s="29"/>
      <c r="V475" s="29"/>
      <c r="W475" s="29"/>
      <c r="X475" s="29"/>
    </row>
    <row r="476" spans="1:24" ht="15">
      <c r="A476" s="29"/>
      <c r="B476" s="29"/>
      <c r="C476" s="29"/>
      <c r="D476" s="33"/>
      <c r="E476" s="33"/>
      <c r="G476" s="29"/>
      <c r="H476" s="29"/>
      <c r="I476" s="29"/>
      <c r="J476" s="29"/>
      <c r="K476" s="29"/>
      <c r="L476" s="29"/>
      <c r="M476" s="29"/>
      <c r="N476" s="29"/>
      <c r="O476" s="29"/>
      <c r="P476" s="29"/>
      <c r="Q476" s="29"/>
      <c r="R476" s="29"/>
      <c r="S476" s="29"/>
      <c r="T476" s="29"/>
      <c r="U476" s="29"/>
      <c r="V476" s="29"/>
      <c r="W476" s="29"/>
      <c r="X476" s="29"/>
    </row>
    <row r="477" spans="1:24" ht="15">
      <c r="A477" s="29"/>
      <c r="B477" s="29"/>
      <c r="C477" s="29"/>
      <c r="D477" s="33"/>
      <c r="E477" s="33"/>
      <c r="G477" s="29"/>
      <c r="H477" s="29"/>
      <c r="I477" s="29"/>
      <c r="J477" s="29"/>
      <c r="K477" s="29"/>
      <c r="L477" s="29"/>
      <c r="M477" s="29"/>
      <c r="N477" s="29"/>
      <c r="O477" s="29"/>
      <c r="P477" s="29"/>
      <c r="Q477" s="29"/>
      <c r="R477" s="29"/>
      <c r="S477" s="29"/>
      <c r="T477" s="29"/>
      <c r="U477" s="29"/>
      <c r="V477" s="29"/>
      <c r="W477" s="29"/>
      <c r="X477" s="29"/>
    </row>
    <row r="478" spans="1:24" ht="15">
      <c r="A478" s="29"/>
      <c r="B478" s="29"/>
      <c r="C478" s="29"/>
      <c r="D478" s="33"/>
      <c r="E478" s="33"/>
      <c r="G478" s="29"/>
      <c r="H478" s="29"/>
      <c r="I478" s="29"/>
      <c r="J478" s="29"/>
      <c r="K478" s="29"/>
      <c r="L478" s="29"/>
      <c r="M478" s="29"/>
      <c r="N478" s="29"/>
      <c r="O478" s="29"/>
      <c r="P478" s="29"/>
      <c r="Q478" s="29"/>
      <c r="R478" s="29"/>
      <c r="S478" s="29"/>
      <c r="T478" s="29"/>
      <c r="U478" s="29"/>
      <c r="V478" s="29"/>
      <c r="W478" s="29"/>
      <c r="X478" s="29"/>
    </row>
    <row r="479" spans="1:24" ht="15">
      <c r="A479" s="29"/>
      <c r="B479" s="29"/>
      <c r="C479" s="29"/>
      <c r="D479" s="33"/>
      <c r="E479" s="33"/>
      <c r="G479" s="29"/>
      <c r="H479" s="29"/>
      <c r="I479" s="29"/>
      <c r="J479" s="29"/>
      <c r="K479" s="29"/>
      <c r="L479" s="29"/>
      <c r="M479" s="29"/>
      <c r="N479" s="29"/>
      <c r="O479" s="29"/>
      <c r="P479" s="29"/>
      <c r="Q479" s="29"/>
      <c r="R479" s="29"/>
      <c r="S479" s="29"/>
      <c r="T479" s="29"/>
      <c r="U479" s="29"/>
      <c r="V479" s="29"/>
      <c r="W479" s="29"/>
      <c r="X479" s="29"/>
    </row>
    <row r="480" spans="1:24" ht="15">
      <c r="A480" s="29"/>
      <c r="B480" s="29"/>
      <c r="C480" s="29"/>
      <c r="D480" s="33"/>
      <c r="E480" s="33"/>
      <c r="G480" s="29"/>
      <c r="H480" s="29"/>
      <c r="I480" s="29"/>
      <c r="J480" s="29"/>
      <c r="K480" s="29"/>
      <c r="L480" s="29"/>
      <c r="M480" s="29"/>
      <c r="N480" s="29"/>
      <c r="O480" s="29"/>
      <c r="P480" s="29"/>
      <c r="Q480" s="29"/>
      <c r="R480" s="29"/>
      <c r="S480" s="29"/>
      <c r="T480" s="29"/>
      <c r="U480" s="29"/>
      <c r="V480" s="29"/>
      <c r="W480" s="29"/>
      <c r="X480" s="29"/>
    </row>
    <row r="481" spans="1:24" ht="15">
      <c r="A481" s="29"/>
      <c r="B481" s="29"/>
      <c r="C481" s="29"/>
      <c r="D481" s="33"/>
      <c r="E481" s="33"/>
      <c r="G481" s="29"/>
      <c r="H481" s="29"/>
      <c r="I481" s="29"/>
      <c r="J481" s="29"/>
      <c r="K481" s="29"/>
      <c r="L481" s="29"/>
      <c r="M481" s="29"/>
      <c r="N481" s="29"/>
      <c r="O481" s="29"/>
      <c r="P481" s="29"/>
      <c r="Q481" s="29"/>
      <c r="R481" s="29"/>
      <c r="S481" s="29"/>
      <c r="T481" s="29"/>
      <c r="U481" s="29"/>
      <c r="V481" s="29"/>
      <c r="W481" s="29"/>
      <c r="X481" s="29"/>
    </row>
    <row r="482" spans="1:24" ht="15">
      <c r="A482" s="29"/>
      <c r="B482" s="29"/>
      <c r="C482" s="29"/>
      <c r="D482" s="33"/>
      <c r="E482" s="33"/>
      <c r="G482" s="29"/>
      <c r="H482" s="29"/>
      <c r="I482" s="29"/>
      <c r="J482" s="29"/>
      <c r="K482" s="29"/>
      <c r="L482" s="29"/>
      <c r="M482" s="29"/>
      <c r="N482" s="29"/>
      <c r="O482" s="29"/>
      <c r="P482" s="29"/>
      <c r="Q482" s="29"/>
      <c r="R482" s="29"/>
      <c r="S482" s="29"/>
      <c r="T482" s="29"/>
      <c r="U482" s="29"/>
      <c r="V482" s="29"/>
      <c r="W482" s="29"/>
      <c r="X482" s="29"/>
    </row>
    <row r="483" spans="1:24" ht="15">
      <c r="A483" s="29"/>
      <c r="B483" s="29"/>
      <c r="C483" s="29"/>
      <c r="D483" s="33"/>
      <c r="E483" s="33"/>
      <c r="G483" s="29"/>
      <c r="H483" s="29"/>
      <c r="I483" s="29"/>
      <c r="J483" s="29"/>
      <c r="K483" s="29"/>
      <c r="L483" s="29"/>
      <c r="M483" s="29"/>
      <c r="N483" s="29"/>
      <c r="O483" s="29"/>
      <c r="P483" s="29"/>
      <c r="Q483" s="29"/>
      <c r="R483" s="29"/>
      <c r="S483" s="29"/>
      <c r="T483" s="29"/>
      <c r="U483" s="29"/>
      <c r="V483" s="29"/>
      <c r="W483" s="29"/>
      <c r="X483" s="29"/>
    </row>
    <row r="484" spans="1:24" ht="15">
      <c r="A484" s="29"/>
      <c r="B484" s="29"/>
      <c r="C484" s="29"/>
      <c r="D484" s="33"/>
      <c r="E484" s="33"/>
      <c r="G484" s="29"/>
      <c r="H484" s="29"/>
      <c r="I484" s="29"/>
      <c r="J484" s="29"/>
      <c r="K484" s="29"/>
      <c r="L484" s="29"/>
      <c r="M484" s="29"/>
      <c r="N484" s="29"/>
      <c r="O484" s="29"/>
      <c r="P484" s="29"/>
      <c r="Q484" s="29"/>
      <c r="R484" s="29"/>
      <c r="S484" s="29"/>
      <c r="T484" s="29"/>
      <c r="U484" s="29"/>
      <c r="V484" s="29"/>
      <c r="W484" s="29"/>
      <c r="X484" s="29"/>
    </row>
    <row r="485" spans="1:24" ht="15">
      <c r="A485" s="29"/>
      <c r="B485" s="29"/>
      <c r="C485" s="29"/>
      <c r="D485" s="33"/>
      <c r="E485" s="33"/>
      <c r="G485" s="29"/>
      <c r="H485" s="29"/>
      <c r="I485" s="29"/>
      <c r="J485" s="29"/>
      <c r="K485" s="29"/>
      <c r="L485" s="29"/>
      <c r="M485" s="29"/>
      <c r="N485" s="29"/>
      <c r="O485" s="29"/>
      <c r="P485" s="29"/>
      <c r="Q485" s="29"/>
      <c r="R485" s="29"/>
      <c r="S485" s="29"/>
      <c r="T485" s="29"/>
      <c r="U485" s="29"/>
      <c r="V485" s="29"/>
      <c r="W485" s="29"/>
      <c r="X485" s="29"/>
    </row>
    <row r="486" spans="1:24" ht="15">
      <c r="A486" s="29"/>
      <c r="B486" s="29"/>
      <c r="C486" s="29"/>
      <c r="D486" s="33"/>
      <c r="E486" s="33"/>
      <c r="G486" s="29"/>
      <c r="H486" s="29"/>
      <c r="I486" s="29"/>
      <c r="J486" s="29"/>
      <c r="K486" s="29"/>
      <c r="L486" s="29"/>
      <c r="M486" s="29"/>
      <c r="N486" s="29"/>
      <c r="O486" s="29"/>
      <c r="P486" s="29"/>
      <c r="Q486" s="29"/>
      <c r="R486" s="29"/>
      <c r="S486" s="29"/>
      <c r="T486" s="29"/>
      <c r="U486" s="29"/>
      <c r="V486" s="29"/>
      <c r="W486" s="29"/>
      <c r="X486" s="29"/>
    </row>
    <row r="487" spans="1:24" ht="15">
      <c r="A487" s="29"/>
      <c r="B487" s="29"/>
      <c r="C487" s="29"/>
      <c r="D487" s="33"/>
      <c r="E487" s="33"/>
      <c r="G487" s="29"/>
      <c r="H487" s="29"/>
      <c r="I487" s="29"/>
      <c r="J487" s="29"/>
      <c r="K487" s="29"/>
      <c r="L487" s="29"/>
      <c r="M487" s="29"/>
      <c r="N487" s="29"/>
      <c r="O487" s="29"/>
      <c r="P487" s="29"/>
      <c r="Q487" s="29"/>
      <c r="R487" s="29"/>
      <c r="S487" s="29"/>
      <c r="T487" s="29"/>
      <c r="U487" s="29"/>
      <c r="V487" s="29"/>
      <c r="W487" s="29"/>
      <c r="X487" s="29"/>
    </row>
    <row r="488" spans="1:24" ht="15">
      <c r="A488" s="29"/>
      <c r="B488" s="29"/>
      <c r="C488" s="29"/>
      <c r="D488" s="33"/>
      <c r="E488" s="33"/>
      <c r="G488" s="29"/>
      <c r="H488" s="29"/>
      <c r="I488" s="29"/>
      <c r="J488" s="29"/>
      <c r="K488" s="29"/>
      <c r="L488" s="29"/>
      <c r="M488" s="29"/>
      <c r="N488" s="29"/>
      <c r="O488" s="29"/>
      <c r="P488" s="29"/>
      <c r="Q488" s="29"/>
      <c r="R488" s="29"/>
      <c r="S488" s="29"/>
      <c r="T488" s="29"/>
      <c r="U488" s="29"/>
      <c r="V488" s="29"/>
      <c r="W488" s="29"/>
      <c r="X488" s="29"/>
    </row>
    <row r="489" spans="1:24" ht="15">
      <c r="A489" s="29"/>
      <c r="B489" s="29"/>
      <c r="C489" s="29"/>
      <c r="D489" s="33"/>
      <c r="E489" s="33"/>
      <c r="G489" s="29"/>
      <c r="H489" s="29"/>
      <c r="I489" s="29"/>
      <c r="J489" s="29"/>
      <c r="K489" s="29"/>
      <c r="L489" s="29"/>
      <c r="M489" s="29"/>
      <c r="N489" s="29"/>
      <c r="O489" s="29"/>
      <c r="P489" s="29"/>
      <c r="Q489" s="29"/>
      <c r="R489" s="29"/>
      <c r="S489" s="29"/>
      <c r="T489" s="29"/>
      <c r="U489" s="29"/>
      <c r="V489" s="29"/>
      <c r="W489" s="29"/>
      <c r="X489" s="29"/>
    </row>
    <row r="490" spans="1:24" ht="15">
      <c r="A490" s="29"/>
      <c r="B490" s="29"/>
      <c r="C490" s="29"/>
      <c r="D490" s="33"/>
      <c r="E490" s="33"/>
      <c r="G490" s="29"/>
      <c r="H490" s="29"/>
      <c r="I490" s="29"/>
      <c r="J490" s="29"/>
      <c r="K490" s="29"/>
      <c r="L490" s="29"/>
      <c r="M490" s="29"/>
      <c r="N490" s="29"/>
      <c r="O490" s="29"/>
      <c r="P490" s="29"/>
      <c r="Q490" s="29"/>
      <c r="R490" s="29"/>
      <c r="S490" s="29"/>
      <c r="T490" s="29"/>
      <c r="U490" s="29"/>
      <c r="V490" s="29"/>
      <c r="W490" s="29"/>
      <c r="X490" s="29"/>
    </row>
    <row r="491" spans="1:24" ht="15">
      <c r="A491" s="29"/>
      <c r="B491" s="29"/>
      <c r="C491" s="29"/>
      <c r="D491" s="33"/>
      <c r="E491" s="33"/>
      <c r="G491" s="29"/>
      <c r="H491" s="29"/>
      <c r="I491" s="29"/>
      <c r="J491" s="29"/>
      <c r="K491" s="29"/>
      <c r="L491" s="29"/>
      <c r="M491" s="29"/>
      <c r="N491" s="29"/>
      <c r="O491" s="29"/>
      <c r="P491" s="29"/>
      <c r="Q491" s="29"/>
      <c r="R491" s="29"/>
      <c r="S491" s="29"/>
      <c r="T491" s="29"/>
      <c r="U491" s="29"/>
      <c r="V491" s="29"/>
      <c r="W491" s="29"/>
      <c r="X491" s="29"/>
    </row>
    <row r="492" spans="1:24" ht="15">
      <c r="A492" s="29"/>
      <c r="B492" s="29"/>
      <c r="C492" s="29"/>
      <c r="D492" s="33"/>
      <c r="E492" s="33"/>
      <c r="G492" s="29"/>
      <c r="H492" s="29"/>
      <c r="I492" s="29"/>
      <c r="J492" s="29"/>
      <c r="K492" s="29"/>
      <c r="L492" s="29"/>
      <c r="M492" s="29"/>
      <c r="N492" s="29"/>
      <c r="O492" s="29"/>
      <c r="P492" s="29"/>
      <c r="Q492" s="29"/>
      <c r="R492" s="29"/>
      <c r="S492" s="29"/>
      <c r="T492" s="29"/>
      <c r="U492" s="29"/>
      <c r="V492" s="29"/>
      <c r="W492" s="29"/>
      <c r="X492" s="29"/>
    </row>
    <row r="493" spans="1:24" ht="15">
      <c r="A493" s="29"/>
      <c r="B493" s="29"/>
      <c r="C493" s="29"/>
      <c r="D493" s="33"/>
      <c r="E493" s="33"/>
      <c r="G493" s="29"/>
      <c r="H493" s="29"/>
      <c r="I493" s="29"/>
      <c r="J493" s="29"/>
      <c r="K493" s="29"/>
      <c r="L493" s="29"/>
      <c r="M493" s="29"/>
      <c r="N493" s="29"/>
      <c r="O493" s="29"/>
      <c r="P493" s="29"/>
      <c r="Q493" s="29"/>
      <c r="R493" s="29"/>
      <c r="S493" s="29"/>
      <c r="T493" s="29"/>
      <c r="U493" s="29"/>
      <c r="V493" s="29"/>
      <c r="W493" s="29"/>
      <c r="X493" s="29"/>
    </row>
    <row r="494" spans="1:24" ht="15">
      <c r="A494" s="29"/>
      <c r="B494" s="29"/>
      <c r="C494" s="29"/>
      <c r="D494" s="33"/>
      <c r="E494" s="33"/>
      <c r="G494" s="29"/>
      <c r="H494" s="29"/>
      <c r="I494" s="29"/>
      <c r="J494" s="29"/>
      <c r="K494" s="29"/>
      <c r="L494" s="29"/>
      <c r="M494" s="29"/>
      <c r="N494" s="29"/>
      <c r="O494" s="29"/>
      <c r="P494" s="29"/>
      <c r="Q494" s="29"/>
      <c r="R494" s="29"/>
      <c r="S494" s="29"/>
      <c r="T494" s="29"/>
      <c r="U494" s="29"/>
      <c r="V494" s="29"/>
      <c r="W494" s="29"/>
      <c r="X494" s="29"/>
    </row>
    <row r="495" spans="1:24" ht="15">
      <c r="A495" s="29"/>
      <c r="B495" s="29"/>
      <c r="C495" s="29"/>
      <c r="D495" s="33"/>
      <c r="E495" s="33"/>
      <c r="G495" s="29"/>
      <c r="H495" s="29"/>
      <c r="I495" s="29"/>
      <c r="J495" s="29"/>
      <c r="K495" s="29"/>
      <c r="L495" s="29"/>
      <c r="M495" s="29"/>
      <c r="N495" s="29"/>
      <c r="O495" s="29"/>
      <c r="P495" s="29"/>
      <c r="Q495" s="29"/>
      <c r="R495" s="29"/>
      <c r="S495" s="29"/>
      <c r="T495" s="29"/>
      <c r="U495" s="29"/>
      <c r="V495" s="29"/>
      <c r="W495" s="29"/>
      <c r="X495" s="29"/>
    </row>
    <row r="496" spans="1:24" ht="15">
      <c r="A496" s="29"/>
      <c r="B496" s="29"/>
      <c r="C496" s="29"/>
      <c r="D496" s="33"/>
      <c r="E496" s="33"/>
      <c r="G496" s="29"/>
      <c r="H496" s="29"/>
      <c r="I496" s="29"/>
      <c r="J496" s="29"/>
      <c r="K496" s="29"/>
      <c r="L496" s="29"/>
      <c r="M496" s="29"/>
      <c r="N496" s="29"/>
      <c r="O496" s="29"/>
      <c r="P496" s="29"/>
      <c r="Q496" s="29"/>
      <c r="R496" s="29"/>
      <c r="S496" s="29"/>
      <c r="T496" s="29"/>
      <c r="U496" s="29"/>
      <c r="V496" s="29"/>
      <c r="W496" s="29"/>
      <c r="X496" s="29"/>
    </row>
    <row r="497" spans="1:24" ht="15">
      <c r="A497" s="29"/>
      <c r="B497" s="29"/>
      <c r="C497" s="29"/>
      <c r="D497" s="33"/>
      <c r="E497" s="33"/>
      <c r="G497" s="29"/>
      <c r="H497" s="29"/>
      <c r="I497" s="29"/>
      <c r="J497" s="29"/>
      <c r="K497" s="29"/>
      <c r="L497" s="29"/>
      <c r="M497" s="29"/>
      <c r="N497" s="29"/>
      <c r="O497" s="29"/>
      <c r="P497" s="29"/>
      <c r="Q497" s="29"/>
      <c r="R497" s="29"/>
      <c r="S497" s="29"/>
      <c r="T497" s="29"/>
      <c r="U497" s="29"/>
      <c r="V497" s="29"/>
      <c r="W497" s="29"/>
      <c r="X497" s="29"/>
    </row>
    <row r="498" spans="1:24" ht="15">
      <c r="A498" s="29"/>
      <c r="B498" s="29"/>
      <c r="C498" s="29"/>
      <c r="D498" s="33"/>
      <c r="E498" s="33"/>
      <c r="G498" s="29"/>
      <c r="H498" s="29"/>
      <c r="I498" s="29"/>
      <c r="J498" s="29"/>
      <c r="K498" s="29"/>
      <c r="L498" s="29"/>
      <c r="M498" s="29"/>
      <c r="N498" s="29"/>
      <c r="O498" s="29"/>
      <c r="P498" s="29"/>
      <c r="Q498" s="29"/>
      <c r="R498" s="29"/>
      <c r="S498" s="29"/>
      <c r="T498" s="29"/>
      <c r="U498" s="29"/>
      <c r="V498" s="29"/>
      <c r="W498" s="29"/>
      <c r="X498" s="29"/>
    </row>
    <row r="499" spans="1:24" ht="15">
      <c r="A499" s="29"/>
      <c r="B499" s="29"/>
      <c r="C499" s="29"/>
      <c r="D499" s="33"/>
      <c r="E499" s="33"/>
      <c r="G499" s="29"/>
      <c r="H499" s="29"/>
      <c r="I499" s="29"/>
      <c r="J499" s="29"/>
      <c r="K499" s="29"/>
      <c r="L499" s="29"/>
      <c r="M499" s="29"/>
      <c r="N499" s="29"/>
      <c r="O499" s="29"/>
      <c r="P499" s="29"/>
      <c r="Q499" s="29"/>
      <c r="R499" s="29"/>
      <c r="S499" s="29"/>
      <c r="T499" s="29"/>
      <c r="U499" s="29"/>
      <c r="V499" s="29"/>
      <c r="W499" s="29"/>
      <c r="X499" s="29"/>
    </row>
    <row r="500" spans="1:24" ht="15">
      <c r="A500" s="29"/>
      <c r="B500" s="29"/>
      <c r="C500" s="29"/>
      <c r="D500" s="33"/>
      <c r="E500" s="33"/>
      <c r="G500" s="29"/>
      <c r="H500" s="29"/>
      <c r="I500" s="29"/>
      <c r="J500" s="29"/>
      <c r="K500" s="29"/>
      <c r="L500" s="29"/>
      <c r="M500" s="29"/>
      <c r="N500" s="29"/>
      <c r="O500" s="29"/>
      <c r="P500" s="29"/>
      <c r="Q500" s="29"/>
      <c r="R500" s="29"/>
      <c r="S500" s="29"/>
      <c r="T500" s="29"/>
      <c r="U500" s="29"/>
      <c r="V500" s="29"/>
      <c r="W500" s="29"/>
      <c r="X500" s="29"/>
    </row>
    <row r="501" spans="1:24" ht="15">
      <c r="A501" s="29"/>
      <c r="B501" s="29"/>
      <c r="C501" s="29"/>
      <c r="D501" s="33"/>
      <c r="E501" s="33"/>
      <c r="G501" s="29"/>
      <c r="H501" s="29"/>
      <c r="I501" s="29"/>
      <c r="J501" s="29"/>
      <c r="K501" s="29"/>
      <c r="L501" s="29"/>
      <c r="M501" s="29"/>
      <c r="N501" s="29"/>
      <c r="O501" s="29"/>
      <c r="P501" s="29"/>
      <c r="Q501" s="29"/>
      <c r="R501" s="29"/>
      <c r="S501" s="29"/>
      <c r="T501" s="29"/>
      <c r="U501" s="29"/>
      <c r="V501" s="29"/>
      <c r="W501" s="29"/>
      <c r="X501" s="29"/>
    </row>
    <row r="502" spans="1:24" ht="15">
      <c r="A502" s="29"/>
      <c r="B502" s="29"/>
      <c r="C502" s="29"/>
      <c r="D502" s="33"/>
      <c r="E502" s="33"/>
      <c r="G502" s="29"/>
      <c r="H502" s="29"/>
      <c r="I502" s="29"/>
      <c r="J502" s="29"/>
      <c r="K502" s="29"/>
      <c r="L502" s="29"/>
      <c r="M502" s="29"/>
      <c r="N502" s="29"/>
      <c r="O502" s="29"/>
      <c r="P502" s="29"/>
      <c r="Q502" s="29"/>
      <c r="R502" s="29"/>
      <c r="S502" s="29"/>
      <c r="T502" s="29"/>
      <c r="U502" s="29"/>
      <c r="V502" s="29"/>
      <c r="W502" s="29"/>
      <c r="X502" s="29"/>
    </row>
    <row r="503" spans="1:24" ht="15">
      <c r="A503" s="29"/>
      <c r="B503" s="29"/>
      <c r="C503" s="29"/>
      <c r="D503" s="33"/>
      <c r="E503" s="33"/>
      <c r="G503" s="29"/>
      <c r="H503" s="29"/>
      <c r="I503" s="29"/>
      <c r="J503" s="29"/>
      <c r="K503" s="29"/>
      <c r="L503" s="29"/>
      <c r="M503" s="29"/>
      <c r="N503" s="29"/>
      <c r="O503" s="29"/>
      <c r="P503" s="29"/>
      <c r="Q503" s="29"/>
      <c r="R503" s="29"/>
      <c r="S503" s="29"/>
      <c r="T503" s="29"/>
      <c r="U503" s="29"/>
      <c r="V503" s="29"/>
      <c r="W503" s="29"/>
      <c r="X503" s="29"/>
    </row>
    <row r="504" spans="1:24" ht="15">
      <c r="A504" s="29"/>
      <c r="B504" s="29"/>
      <c r="C504" s="29"/>
      <c r="D504" s="33"/>
      <c r="E504" s="33"/>
      <c r="G504" s="29"/>
      <c r="H504" s="29"/>
      <c r="I504" s="29"/>
      <c r="J504" s="29"/>
      <c r="K504" s="29"/>
      <c r="L504" s="29"/>
      <c r="M504" s="29"/>
      <c r="N504" s="29"/>
      <c r="O504" s="29"/>
      <c r="P504" s="29"/>
      <c r="Q504" s="29"/>
      <c r="R504" s="29"/>
      <c r="S504" s="29"/>
      <c r="T504" s="29"/>
      <c r="U504" s="29"/>
      <c r="V504" s="29"/>
      <c r="W504" s="29"/>
      <c r="X504" s="29"/>
    </row>
    <row r="505" spans="1:24" ht="15">
      <c r="A505" s="29"/>
      <c r="B505" s="29"/>
      <c r="C505" s="29"/>
      <c r="D505" s="33"/>
      <c r="E505" s="33"/>
      <c r="G505" s="29"/>
      <c r="H505" s="29"/>
      <c r="I505" s="29"/>
      <c r="J505" s="29"/>
      <c r="K505" s="29"/>
      <c r="L505" s="29"/>
      <c r="M505" s="29"/>
      <c r="N505" s="29"/>
      <c r="O505" s="29"/>
      <c r="P505" s="29"/>
      <c r="Q505" s="29"/>
      <c r="R505" s="29"/>
      <c r="S505" s="29"/>
      <c r="T505" s="29"/>
      <c r="U505" s="29"/>
      <c r="V505" s="29"/>
      <c r="W505" s="29"/>
      <c r="X505" s="29"/>
    </row>
    <row r="506" spans="1:24" ht="15">
      <c r="A506" s="29"/>
      <c r="B506" s="29"/>
      <c r="C506" s="29"/>
      <c r="D506" s="33"/>
      <c r="E506" s="33"/>
      <c r="G506" s="29"/>
      <c r="H506" s="29"/>
      <c r="I506" s="29"/>
      <c r="J506" s="29"/>
      <c r="K506" s="29"/>
      <c r="L506" s="29"/>
      <c r="M506" s="29"/>
      <c r="N506" s="29"/>
      <c r="O506" s="29"/>
      <c r="P506" s="29"/>
      <c r="Q506" s="29"/>
      <c r="R506" s="29"/>
      <c r="S506" s="29"/>
      <c r="T506" s="29"/>
      <c r="U506" s="29"/>
      <c r="V506" s="29"/>
      <c r="W506" s="29"/>
      <c r="X506" s="29"/>
    </row>
    <row r="507" spans="1:24" ht="15">
      <c r="A507" s="29"/>
      <c r="B507" s="29"/>
      <c r="C507" s="29"/>
      <c r="D507" s="33"/>
      <c r="E507" s="33"/>
      <c r="G507" s="29"/>
      <c r="H507" s="29"/>
      <c r="I507" s="29"/>
      <c r="J507" s="29"/>
      <c r="K507" s="29"/>
      <c r="L507" s="29"/>
      <c r="M507" s="29"/>
      <c r="N507" s="29"/>
      <c r="O507" s="29"/>
      <c r="P507" s="29"/>
      <c r="Q507" s="29"/>
      <c r="R507" s="29"/>
      <c r="S507" s="29"/>
      <c r="T507" s="29"/>
      <c r="U507" s="29"/>
      <c r="V507" s="29"/>
      <c r="W507" s="29"/>
      <c r="X507" s="29"/>
    </row>
    <row r="508" spans="1:24" ht="15">
      <c r="A508" s="29"/>
      <c r="B508" s="29"/>
      <c r="C508" s="29"/>
      <c r="D508" s="33"/>
      <c r="E508" s="33"/>
      <c r="G508" s="29"/>
      <c r="H508" s="29"/>
      <c r="I508" s="29"/>
      <c r="J508" s="29"/>
      <c r="K508" s="29"/>
      <c r="L508" s="29"/>
      <c r="M508" s="29"/>
      <c r="N508" s="29"/>
      <c r="O508" s="29"/>
      <c r="P508" s="29"/>
      <c r="Q508" s="29"/>
      <c r="R508" s="29"/>
      <c r="S508" s="29"/>
      <c r="T508" s="29"/>
      <c r="U508" s="29"/>
      <c r="V508" s="29"/>
      <c r="W508" s="29"/>
      <c r="X508" s="29"/>
    </row>
    <row r="509" spans="1:24" ht="15">
      <c r="A509" s="29"/>
      <c r="B509" s="29"/>
      <c r="C509" s="29"/>
      <c r="D509" s="33"/>
      <c r="E509" s="33"/>
      <c r="G509" s="29"/>
      <c r="H509" s="29"/>
      <c r="I509" s="29"/>
      <c r="J509" s="29"/>
      <c r="K509" s="29"/>
      <c r="L509" s="29"/>
      <c r="M509" s="29"/>
      <c r="N509" s="29"/>
      <c r="O509" s="29"/>
      <c r="P509" s="29"/>
      <c r="Q509" s="29"/>
      <c r="R509" s="29"/>
      <c r="S509" s="29"/>
      <c r="T509" s="29"/>
      <c r="U509" s="29"/>
      <c r="V509" s="29"/>
      <c r="W509" s="29"/>
      <c r="X509" s="29"/>
    </row>
    <row r="510" spans="1:24" ht="15">
      <c r="A510" s="29"/>
      <c r="B510" s="29"/>
      <c r="C510" s="29"/>
      <c r="D510" s="33"/>
      <c r="E510" s="33"/>
      <c r="G510" s="29"/>
      <c r="H510" s="29"/>
      <c r="I510" s="29"/>
      <c r="J510" s="29"/>
      <c r="K510" s="29"/>
      <c r="L510" s="29"/>
      <c r="M510" s="29"/>
      <c r="N510" s="29"/>
      <c r="O510" s="29"/>
      <c r="P510" s="29"/>
      <c r="Q510" s="29"/>
      <c r="R510" s="29"/>
      <c r="S510" s="29"/>
      <c r="T510" s="29"/>
      <c r="U510" s="29"/>
      <c r="V510" s="29"/>
      <c r="W510" s="29"/>
      <c r="X510" s="29"/>
    </row>
    <row r="511" spans="1:24" ht="15">
      <c r="A511" s="29"/>
      <c r="B511" s="29"/>
      <c r="C511" s="29"/>
      <c r="D511" s="33"/>
      <c r="E511" s="33"/>
      <c r="G511" s="29"/>
      <c r="H511" s="29"/>
      <c r="I511" s="29"/>
      <c r="J511" s="29"/>
      <c r="K511" s="29"/>
      <c r="L511" s="29"/>
      <c r="M511" s="29"/>
      <c r="N511" s="29"/>
      <c r="O511" s="29"/>
      <c r="P511" s="29"/>
      <c r="Q511" s="29"/>
      <c r="R511" s="29"/>
      <c r="S511" s="29"/>
      <c r="T511" s="29"/>
      <c r="U511" s="29"/>
      <c r="V511" s="29"/>
      <c r="W511" s="29"/>
      <c r="X511" s="29"/>
    </row>
    <row r="512" spans="1:24" ht="15">
      <c r="A512" s="29"/>
      <c r="B512" s="29"/>
      <c r="C512" s="29"/>
      <c r="D512" s="33"/>
      <c r="E512" s="33"/>
      <c r="G512" s="29"/>
      <c r="H512" s="29"/>
      <c r="I512" s="29"/>
      <c r="J512" s="29"/>
      <c r="K512" s="29"/>
      <c r="L512" s="29"/>
      <c r="M512" s="29"/>
      <c r="N512" s="29"/>
      <c r="O512" s="29"/>
      <c r="P512" s="29"/>
      <c r="Q512" s="29"/>
      <c r="R512" s="29"/>
      <c r="S512" s="29"/>
      <c r="T512" s="29"/>
      <c r="U512" s="29"/>
      <c r="V512" s="29"/>
      <c r="W512" s="29"/>
      <c r="X512" s="29"/>
    </row>
    <row r="513" spans="1:24" ht="15">
      <c r="A513" s="29"/>
      <c r="B513" s="29"/>
      <c r="C513" s="29"/>
      <c r="D513" s="33"/>
      <c r="E513" s="33"/>
      <c r="G513" s="29"/>
      <c r="H513" s="29"/>
      <c r="I513" s="29"/>
      <c r="J513" s="29"/>
      <c r="K513" s="29"/>
      <c r="L513" s="29"/>
      <c r="M513" s="29"/>
      <c r="N513" s="29"/>
      <c r="O513" s="29"/>
      <c r="P513" s="29"/>
      <c r="Q513" s="29"/>
      <c r="R513" s="29"/>
      <c r="S513" s="29"/>
      <c r="T513" s="29"/>
      <c r="U513" s="29"/>
      <c r="V513" s="29"/>
      <c r="W513" s="29"/>
      <c r="X513" s="29"/>
    </row>
    <row r="514" spans="1:24" ht="15">
      <c r="A514" s="29"/>
      <c r="B514" s="29"/>
      <c r="C514" s="29"/>
      <c r="D514" s="33"/>
      <c r="E514" s="33"/>
      <c r="G514" s="29"/>
      <c r="H514" s="29"/>
      <c r="I514" s="29"/>
      <c r="J514" s="29"/>
      <c r="K514" s="29"/>
      <c r="L514" s="29"/>
      <c r="M514" s="29"/>
      <c r="N514" s="29"/>
      <c r="O514" s="29"/>
      <c r="P514" s="29"/>
      <c r="Q514" s="29"/>
      <c r="R514" s="29"/>
      <c r="S514" s="29"/>
      <c r="T514" s="29"/>
      <c r="U514" s="29"/>
      <c r="V514" s="29"/>
      <c r="W514" s="29"/>
      <c r="X514" s="29"/>
    </row>
    <row r="515" spans="1:24" ht="15">
      <c r="A515" s="29"/>
      <c r="B515" s="29"/>
      <c r="C515" s="29"/>
      <c r="D515" s="33"/>
      <c r="E515" s="33"/>
      <c r="G515" s="29"/>
      <c r="H515" s="29"/>
      <c r="I515" s="29"/>
      <c r="J515" s="29"/>
      <c r="K515" s="29"/>
      <c r="L515" s="29"/>
      <c r="M515" s="29"/>
      <c r="N515" s="29"/>
      <c r="O515" s="29"/>
      <c r="P515" s="29"/>
      <c r="Q515" s="29"/>
      <c r="R515" s="29"/>
      <c r="S515" s="29"/>
      <c r="T515" s="29"/>
      <c r="U515" s="29"/>
      <c r="V515" s="29"/>
      <c r="W515" s="29"/>
      <c r="X515" s="29"/>
    </row>
    <row r="516" spans="1:24" ht="15">
      <c r="A516" s="29"/>
      <c r="B516" s="29"/>
      <c r="C516" s="29"/>
      <c r="D516" s="33"/>
      <c r="E516" s="33"/>
      <c r="G516" s="29"/>
      <c r="H516" s="29"/>
      <c r="I516" s="29"/>
      <c r="J516" s="29"/>
      <c r="K516" s="29"/>
      <c r="L516" s="29"/>
      <c r="M516" s="29"/>
      <c r="N516" s="29"/>
      <c r="O516" s="29"/>
      <c r="P516" s="29"/>
      <c r="Q516" s="29"/>
      <c r="R516" s="29"/>
      <c r="S516" s="29"/>
      <c r="T516" s="29"/>
      <c r="U516" s="29"/>
      <c r="V516" s="29"/>
      <c r="W516" s="29"/>
      <c r="X516" s="29"/>
    </row>
    <row r="517" spans="1:24" ht="15">
      <c r="A517" s="29"/>
      <c r="B517" s="29"/>
      <c r="C517" s="29"/>
      <c r="D517" s="33"/>
      <c r="E517" s="33"/>
      <c r="G517" s="29"/>
      <c r="H517" s="29"/>
      <c r="I517" s="29"/>
      <c r="J517" s="29"/>
      <c r="K517" s="29"/>
      <c r="L517" s="29"/>
      <c r="M517" s="29"/>
      <c r="N517" s="29"/>
      <c r="O517" s="29"/>
      <c r="P517" s="29"/>
      <c r="Q517" s="29"/>
      <c r="R517" s="29"/>
      <c r="S517" s="29"/>
      <c r="T517" s="29"/>
      <c r="U517" s="29"/>
      <c r="V517" s="29"/>
      <c r="W517" s="29"/>
      <c r="X517" s="29"/>
    </row>
    <row r="518" spans="1:24" ht="15">
      <c r="A518" s="29"/>
      <c r="B518" s="29"/>
      <c r="C518" s="29"/>
      <c r="D518" s="33"/>
      <c r="E518" s="33"/>
      <c r="G518" s="29"/>
      <c r="H518" s="29"/>
      <c r="I518" s="29"/>
      <c r="J518" s="29"/>
      <c r="K518" s="29"/>
      <c r="L518" s="29"/>
      <c r="M518" s="29"/>
      <c r="N518" s="29"/>
      <c r="O518" s="29"/>
      <c r="P518" s="29"/>
      <c r="Q518" s="29"/>
      <c r="R518" s="29"/>
      <c r="S518" s="29"/>
      <c r="T518" s="29"/>
      <c r="U518" s="29"/>
      <c r="V518" s="29"/>
      <c r="W518" s="29"/>
      <c r="X518" s="29"/>
    </row>
    <row r="519" spans="1:24" ht="15">
      <c r="A519" s="29"/>
      <c r="B519" s="29"/>
      <c r="C519" s="29"/>
      <c r="D519" s="33"/>
      <c r="E519" s="33"/>
      <c r="G519" s="29"/>
      <c r="H519" s="29"/>
      <c r="I519" s="29"/>
      <c r="J519" s="29"/>
      <c r="K519" s="29"/>
      <c r="L519" s="29"/>
      <c r="M519" s="29"/>
      <c r="N519" s="29"/>
      <c r="O519" s="29"/>
      <c r="P519" s="29"/>
      <c r="Q519" s="29"/>
      <c r="R519" s="29"/>
      <c r="S519" s="29"/>
      <c r="T519" s="29"/>
      <c r="U519" s="29"/>
      <c r="V519" s="29"/>
      <c r="W519" s="29"/>
      <c r="X519" s="29"/>
    </row>
    <row r="520" spans="1:24" ht="15">
      <c r="A520" s="29"/>
      <c r="B520" s="29"/>
      <c r="C520" s="29"/>
      <c r="D520" s="33"/>
      <c r="E520" s="33"/>
      <c r="G520" s="29"/>
      <c r="H520" s="29"/>
      <c r="I520" s="29"/>
      <c r="J520" s="29"/>
      <c r="K520" s="29"/>
      <c r="L520" s="29"/>
      <c r="M520" s="29"/>
      <c r="N520" s="29"/>
      <c r="O520" s="29"/>
      <c r="P520" s="29"/>
      <c r="Q520" s="29"/>
      <c r="R520" s="29"/>
      <c r="S520" s="29"/>
      <c r="T520" s="29"/>
      <c r="U520" s="29"/>
      <c r="V520" s="29"/>
      <c r="W520" s="29"/>
      <c r="X520" s="29"/>
    </row>
    <row r="521" spans="1:24" ht="15">
      <c r="A521" s="29"/>
      <c r="B521" s="29"/>
      <c r="C521" s="29"/>
      <c r="D521" s="33"/>
      <c r="E521" s="33"/>
      <c r="G521" s="29"/>
      <c r="H521" s="29"/>
      <c r="I521" s="29"/>
      <c r="J521" s="29"/>
      <c r="K521" s="29"/>
      <c r="L521" s="29"/>
      <c r="M521" s="29"/>
      <c r="N521" s="29"/>
      <c r="O521" s="29"/>
      <c r="P521" s="29"/>
      <c r="Q521" s="29"/>
      <c r="R521" s="29"/>
      <c r="S521" s="29"/>
      <c r="T521" s="29"/>
      <c r="U521" s="29"/>
      <c r="V521" s="29"/>
      <c r="W521" s="29"/>
      <c r="X521" s="29"/>
    </row>
    <row r="522" spans="1:24" ht="15">
      <c r="A522" s="29"/>
      <c r="B522" s="29"/>
      <c r="C522" s="29"/>
      <c r="D522" s="33"/>
      <c r="E522" s="33"/>
      <c r="G522" s="29"/>
      <c r="H522" s="29"/>
      <c r="I522" s="29"/>
      <c r="J522" s="29"/>
      <c r="K522" s="29"/>
      <c r="L522" s="29"/>
      <c r="M522" s="29"/>
      <c r="N522" s="29"/>
      <c r="O522" s="29"/>
      <c r="P522" s="29"/>
      <c r="Q522" s="29"/>
      <c r="R522" s="29"/>
      <c r="S522" s="29"/>
      <c r="T522" s="29"/>
      <c r="U522" s="29"/>
      <c r="V522" s="29"/>
      <c r="W522" s="29"/>
      <c r="X522" s="29"/>
    </row>
    <row r="523" spans="1:24" ht="15">
      <c r="A523" s="29"/>
      <c r="B523" s="29"/>
      <c r="C523" s="29"/>
      <c r="D523" s="33"/>
      <c r="E523" s="33"/>
      <c r="G523" s="29"/>
      <c r="H523" s="29"/>
      <c r="I523" s="29"/>
      <c r="J523" s="29"/>
      <c r="K523" s="29"/>
      <c r="L523" s="29"/>
      <c r="M523" s="29"/>
      <c r="N523" s="29"/>
      <c r="O523" s="29"/>
      <c r="P523" s="29"/>
      <c r="Q523" s="29"/>
      <c r="R523" s="29"/>
      <c r="S523" s="29"/>
      <c r="T523" s="29"/>
      <c r="U523" s="29"/>
      <c r="V523" s="29"/>
      <c r="W523" s="29"/>
      <c r="X523" s="29"/>
    </row>
    <row r="524" spans="1:24" ht="15">
      <c r="A524" s="29"/>
      <c r="B524" s="29"/>
      <c r="C524" s="29"/>
      <c r="D524" s="33"/>
      <c r="E524" s="33"/>
      <c r="G524" s="29"/>
      <c r="H524" s="29"/>
      <c r="I524" s="29"/>
      <c r="J524" s="29"/>
      <c r="K524" s="29"/>
      <c r="L524" s="29"/>
      <c r="M524" s="29"/>
      <c r="N524" s="29"/>
      <c r="O524" s="29"/>
      <c r="P524" s="29"/>
      <c r="Q524" s="29"/>
      <c r="R524" s="29"/>
      <c r="S524" s="29"/>
      <c r="T524" s="29"/>
      <c r="U524" s="29"/>
      <c r="V524" s="29"/>
      <c r="W524" s="29"/>
      <c r="X524" s="29"/>
    </row>
    <row r="525" spans="1:24" ht="15">
      <c r="A525" s="29"/>
      <c r="B525" s="29"/>
      <c r="C525" s="29"/>
      <c r="D525" s="33"/>
      <c r="E525" s="33"/>
      <c r="G525" s="29"/>
      <c r="H525" s="29"/>
      <c r="I525" s="29"/>
      <c r="J525" s="29"/>
      <c r="K525" s="29"/>
      <c r="L525" s="29"/>
      <c r="M525" s="29"/>
      <c r="N525" s="29"/>
      <c r="O525" s="29"/>
      <c r="P525" s="29"/>
      <c r="Q525" s="29"/>
      <c r="R525" s="29"/>
      <c r="S525" s="29"/>
      <c r="T525" s="29"/>
      <c r="U525" s="29"/>
      <c r="V525" s="29"/>
      <c r="W525" s="29"/>
      <c r="X525" s="29"/>
    </row>
    <row r="526" spans="1:24" ht="15">
      <c r="A526" s="29"/>
      <c r="B526" s="29"/>
      <c r="C526" s="29"/>
      <c r="D526" s="33"/>
      <c r="E526" s="33"/>
      <c r="G526" s="29"/>
      <c r="H526" s="29"/>
      <c r="I526" s="29"/>
      <c r="J526" s="29"/>
      <c r="K526" s="29"/>
      <c r="L526" s="29"/>
      <c r="M526" s="29"/>
      <c r="N526" s="29"/>
      <c r="O526" s="29"/>
      <c r="P526" s="29"/>
      <c r="Q526" s="29"/>
      <c r="R526" s="29"/>
      <c r="S526" s="29"/>
      <c r="T526" s="29"/>
      <c r="U526" s="29"/>
      <c r="V526" s="29"/>
      <c r="W526" s="29"/>
      <c r="X526" s="29"/>
    </row>
    <row r="527" spans="1:24" ht="15">
      <c r="A527" s="29"/>
      <c r="B527" s="29"/>
      <c r="C527" s="29"/>
      <c r="D527" s="33"/>
      <c r="E527" s="33"/>
      <c r="G527" s="29"/>
      <c r="H527" s="29"/>
      <c r="I527" s="29"/>
      <c r="J527" s="29"/>
      <c r="K527" s="29"/>
      <c r="L527" s="29"/>
      <c r="M527" s="29"/>
      <c r="N527" s="29"/>
      <c r="O527" s="29"/>
      <c r="P527" s="29"/>
      <c r="Q527" s="29"/>
      <c r="R527" s="29"/>
      <c r="S527" s="29"/>
      <c r="T527" s="29"/>
      <c r="U527" s="29"/>
      <c r="V527" s="29"/>
      <c r="W527" s="29"/>
      <c r="X527" s="29"/>
    </row>
    <row r="528" spans="1:24" ht="15">
      <c r="A528" s="29"/>
      <c r="B528" s="29"/>
      <c r="C528" s="29"/>
      <c r="D528" s="33"/>
      <c r="E528" s="33"/>
      <c r="G528" s="29"/>
      <c r="H528" s="29"/>
      <c r="I528" s="29"/>
      <c r="J528" s="29"/>
      <c r="K528" s="29"/>
      <c r="L528" s="29"/>
      <c r="M528" s="29"/>
      <c r="N528" s="29"/>
      <c r="O528" s="29"/>
      <c r="P528" s="29"/>
      <c r="Q528" s="29"/>
      <c r="R528" s="29"/>
      <c r="S528" s="29"/>
      <c r="T528" s="29"/>
      <c r="U528" s="29"/>
      <c r="V528" s="29"/>
      <c r="W528" s="29"/>
      <c r="X528" s="29"/>
    </row>
    <row r="529" spans="1:24" ht="15">
      <c r="A529" s="29"/>
      <c r="B529" s="29"/>
      <c r="C529" s="29"/>
      <c r="D529" s="33"/>
      <c r="E529" s="33"/>
      <c r="G529" s="29"/>
      <c r="H529" s="29"/>
      <c r="I529" s="29"/>
      <c r="J529" s="29"/>
      <c r="K529" s="29"/>
      <c r="L529" s="29"/>
      <c r="M529" s="29"/>
      <c r="N529" s="29"/>
      <c r="O529" s="29"/>
      <c r="P529" s="29"/>
      <c r="Q529" s="29"/>
      <c r="R529" s="29"/>
      <c r="S529" s="29"/>
      <c r="T529" s="29"/>
      <c r="U529" s="29"/>
      <c r="V529" s="29"/>
      <c r="W529" s="29"/>
      <c r="X529" s="29"/>
    </row>
    <row r="530" spans="1:24" ht="15">
      <c r="A530" s="29"/>
      <c r="B530" s="29"/>
      <c r="C530" s="29"/>
      <c r="D530" s="33"/>
      <c r="E530" s="33"/>
      <c r="G530" s="29"/>
      <c r="H530" s="29"/>
      <c r="I530" s="29"/>
      <c r="J530" s="29"/>
      <c r="K530" s="29"/>
      <c r="L530" s="29"/>
      <c r="M530" s="29"/>
      <c r="N530" s="29"/>
      <c r="O530" s="29"/>
      <c r="P530" s="29"/>
      <c r="Q530" s="29"/>
      <c r="R530" s="29"/>
      <c r="S530" s="29"/>
      <c r="T530" s="29"/>
      <c r="U530" s="29"/>
      <c r="V530" s="29"/>
      <c r="W530" s="29"/>
      <c r="X530" s="29"/>
    </row>
    <row r="531" spans="1:24" ht="15">
      <c r="A531" s="29"/>
      <c r="B531" s="29"/>
      <c r="C531" s="29"/>
      <c r="D531" s="33"/>
      <c r="E531" s="33"/>
      <c r="G531" s="29"/>
      <c r="H531" s="29"/>
      <c r="I531" s="29"/>
      <c r="J531" s="29"/>
      <c r="K531" s="29"/>
      <c r="L531" s="29"/>
      <c r="M531" s="29"/>
      <c r="N531" s="29"/>
      <c r="O531" s="29"/>
      <c r="P531" s="29"/>
      <c r="Q531" s="29"/>
      <c r="R531" s="29"/>
      <c r="S531" s="29"/>
      <c r="T531" s="29"/>
      <c r="U531" s="29"/>
      <c r="V531" s="29"/>
      <c r="W531" s="29"/>
      <c r="X531" s="29"/>
    </row>
    <row r="532" spans="1:24" ht="15">
      <c r="A532" s="29"/>
      <c r="B532" s="29"/>
      <c r="C532" s="29"/>
      <c r="D532" s="33"/>
      <c r="E532" s="33"/>
      <c r="G532" s="29"/>
      <c r="H532" s="29"/>
      <c r="I532" s="29"/>
      <c r="J532" s="29"/>
      <c r="K532" s="29"/>
      <c r="L532" s="29"/>
      <c r="M532" s="29"/>
      <c r="N532" s="29"/>
      <c r="O532" s="29"/>
      <c r="P532" s="29"/>
      <c r="Q532" s="29"/>
      <c r="R532" s="29"/>
      <c r="S532" s="29"/>
      <c r="T532" s="29"/>
      <c r="U532" s="29"/>
      <c r="V532" s="29"/>
      <c r="W532" s="29"/>
      <c r="X532" s="29"/>
    </row>
    <row r="533" spans="1:24" ht="15">
      <c r="A533" s="29"/>
      <c r="B533" s="29"/>
      <c r="C533" s="29"/>
      <c r="D533" s="33"/>
      <c r="E533" s="33"/>
      <c r="G533" s="29"/>
      <c r="H533" s="29"/>
      <c r="I533" s="29"/>
      <c r="J533" s="29"/>
      <c r="K533" s="29"/>
      <c r="L533" s="29"/>
      <c r="M533" s="29"/>
      <c r="N533" s="29"/>
      <c r="O533" s="29"/>
      <c r="P533" s="29"/>
      <c r="Q533" s="29"/>
      <c r="R533" s="29"/>
      <c r="S533" s="29"/>
      <c r="T533" s="29"/>
      <c r="U533" s="29"/>
      <c r="V533" s="29"/>
      <c r="W533" s="29"/>
      <c r="X533" s="29"/>
    </row>
    <row r="534" spans="1:24" ht="15">
      <c r="A534" s="29"/>
      <c r="B534" s="29"/>
      <c r="C534" s="29"/>
      <c r="D534" s="33"/>
      <c r="E534" s="33"/>
      <c r="G534" s="29"/>
      <c r="H534" s="29"/>
      <c r="I534" s="29"/>
      <c r="J534" s="29"/>
      <c r="K534" s="29"/>
      <c r="L534" s="29"/>
      <c r="M534" s="29"/>
      <c r="N534" s="29"/>
      <c r="O534" s="29"/>
      <c r="P534" s="29"/>
      <c r="Q534" s="29"/>
      <c r="R534" s="29"/>
      <c r="S534" s="29"/>
      <c r="T534" s="29"/>
      <c r="U534" s="29"/>
      <c r="V534" s="29"/>
      <c r="W534" s="29"/>
      <c r="X534" s="29"/>
    </row>
    <row r="535" spans="1:24" ht="15">
      <c r="A535" s="29"/>
      <c r="B535" s="29"/>
      <c r="C535" s="29"/>
      <c r="D535" s="33"/>
      <c r="E535" s="33"/>
      <c r="G535" s="29"/>
      <c r="H535" s="29"/>
      <c r="I535" s="29"/>
      <c r="J535" s="29"/>
      <c r="K535" s="29"/>
      <c r="L535" s="29"/>
      <c r="M535" s="29"/>
      <c r="N535" s="29"/>
      <c r="O535" s="29"/>
      <c r="P535" s="29"/>
      <c r="Q535" s="29"/>
      <c r="R535" s="29"/>
      <c r="S535" s="29"/>
      <c r="T535" s="29"/>
      <c r="U535" s="29"/>
      <c r="V535" s="29"/>
      <c r="W535" s="29"/>
      <c r="X535" s="29"/>
    </row>
    <row r="536" spans="1:24" ht="15">
      <c r="A536" s="29"/>
      <c r="B536" s="29"/>
      <c r="C536" s="29"/>
      <c r="D536" s="33"/>
      <c r="E536" s="33"/>
      <c r="G536" s="29"/>
      <c r="H536" s="29"/>
      <c r="I536" s="29"/>
      <c r="J536" s="29"/>
      <c r="K536" s="29"/>
      <c r="L536" s="29"/>
      <c r="M536" s="29"/>
      <c r="N536" s="29"/>
      <c r="O536" s="29"/>
      <c r="P536" s="29"/>
      <c r="Q536" s="29"/>
      <c r="R536" s="29"/>
      <c r="S536" s="29"/>
      <c r="T536" s="29"/>
      <c r="U536" s="29"/>
      <c r="V536" s="29"/>
      <c r="W536" s="29"/>
      <c r="X536" s="29"/>
    </row>
    <row r="537" spans="1:24" ht="15">
      <c r="A537" s="29"/>
      <c r="B537" s="29"/>
      <c r="C537" s="29"/>
      <c r="D537" s="33"/>
      <c r="E537" s="33"/>
      <c r="G537" s="29"/>
      <c r="H537" s="29"/>
      <c r="I537" s="29"/>
      <c r="J537" s="29"/>
      <c r="K537" s="29"/>
      <c r="L537" s="29"/>
      <c r="M537" s="29"/>
      <c r="N537" s="29"/>
      <c r="O537" s="29"/>
      <c r="P537" s="29"/>
      <c r="Q537" s="29"/>
      <c r="R537" s="29"/>
      <c r="S537" s="29"/>
      <c r="T537" s="29"/>
      <c r="U537" s="29"/>
      <c r="V537" s="29"/>
      <c r="W537" s="29"/>
      <c r="X537" s="29"/>
    </row>
    <row r="538" spans="1:24" ht="15">
      <c r="A538" s="29"/>
      <c r="B538" s="29"/>
      <c r="C538" s="29"/>
      <c r="D538" s="33"/>
      <c r="E538" s="33"/>
      <c r="G538" s="29"/>
      <c r="H538" s="29"/>
      <c r="I538" s="29"/>
      <c r="J538" s="29"/>
      <c r="K538" s="29"/>
      <c r="L538" s="29"/>
      <c r="M538" s="29"/>
      <c r="N538" s="29"/>
      <c r="O538" s="29"/>
      <c r="P538" s="29"/>
      <c r="Q538" s="29"/>
      <c r="R538" s="29"/>
      <c r="S538" s="29"/>
      <c r="T538" s="29"/>
      <c r="U538" s="29"/>
      <c r="V538" s="29"/>
      <c r="W538" s="29"/>
      <c r="X538" s="29"/>
    </row>
    <row r="539" spans="1:24" ht="15">
      <c r="A539" s="29"/>
      <c r="B539" s="29"/>
      <c r="C539" s="29"/>
      <c r="D539" s="33"/>
      <c r="E539" s="33"/>
      <c r="G539" s="29"/>
      <c r="H539" s="29"/>
      <c r="I539" s="29"/>
      <c r="J539" s="29"/>
      <c r="K539" s="29"/>
      <c r="L539" s="29"/>
      <c r="M539" s="29"/>
      <c r="N539" s="29"/>
      <c r="O539" s="29"/>
      <c r="P539" s="29"/>
      <c r="Q539" s="29"/>
      <c r="R539" s="29"/>
      <c r="S539" s="29"/>
      <c r="T539" s="29"/>
      <c r="U539" s="29"/>
      <c r="V539" s="29"/>
      <c r="W539" s="29"/>
      <c r="X539" s="29"/>
    </row>
    <row r="540" spans="1:24" ht="15">
      <c r="A540" s="29"/>
      <c r="B540" s="29"/>
      <c r="C540" s="29"/>
      <c r="D540" s="33"/>
      <c r="E540" s="33"/>
      <c r="G540" s="29"/>
      <c r="H540" s="29"/>
      <c r="I540" s="29"/>
      <c r="J540" s="29"/>
      <c r="K540" s="29"/>
      <c r="L540" s="29"/>
      <c r="M540" s="29"/>
      <c r="N540" s="29"/>
      <c r="O540" s="29"/>
      <c r="P540" s="29"/>
      <c r="Q540" s="29"/>
      <c r="R540" s="29"/>
      <c r="S540" s="29"/>
      <c r="T540" s="29"/>
      <c r="U540" s="29"/>
      <c r="V540" s="29"/>
      <c r="W540" s="29"/>
      <c r="X540" s="29"/>
    </row>
    <row r="541" spans="1:24" ht="15">
      <c r="A541" s="29"/>
      <c r="B541" s="29"/>
      <c r="C541" s="29"/>
      <c r="D541" s="33"/>
      <c r="E541" s="33"/>
      <c r="G541" s="29"/>
      <c r="H541" s="29"/>
      <c r="I541" s="29"/>
      <c r="J541" s="29"/>
      <c r="K541" s="29"/>
      <c r="L541" s="29"/>
      <c r="M541" s="29"/>
      <c r="N541" s="29"/>
      <c r="O541" s="29"/>
      <c r="P541" s="29"/>
      <c r="Q541" s="29"/>
      <c r="R541" s="29"/>
      <c r="S541" s="29"/>
      <c r="T541" s="29"/>
      <c r="U541" s="29"/>
      <c r="V541" s="29"/>
      <c r="W541" s="29"/>
      <c r="X541" s="29"/>
    </row>
    <row r="542" spans="1:24" ht="15">
      <c r="A542" s="29"/>
      <c r="B542" s="29"/>
      <c r="C542" s="29"/>
      <c r="D542" s="33"/>
      <c r="E542" s="33"/>
      <c r="G542" s="29"/>
      <c r="H542" s="29"/>
      <c r="I542" s="29"/>
      <c r="J542" s="29"/>
      <c r="K542" s="29"/>
      <c r="L542" s="29"/>
      <c r="M542" s="29"/>
      <c r="N542" s="29"/>
      <c r="O542" s="29"/>
      <c r="P542" s="29"/>
      <c r="Q542" s="29"/>
      <c r="R542" s="29"/>
      <c r="S542" s="29"/>
      <c r="T542" s="29"/>
      <c r="U542" s="29"/>
      <c r="V542" s="29"/>
      <c r="W542" s="29"/>
      <c r="X542" s="29"/>
    </row>
    <row r="543" spans="1:24" ht="15">
      <c r="A543" s="29"/>
      <c r="B543" s="29"/>
      <c r="C543" s="29"/>
      <c r="D543" s="33"/>
      <c r="E543" s="33"/>
      <c r="G543" s="29"/>
      <c r="H543" s="29"/>
      <c r="I543" s="29"/>
      <c r="J543" s="29"/>
      <c r="K543" s="29"/>
      <c r="L543" s="29"/>
      <c r="M543" s="29"/>
      <c r="N543" s="29"/>
      <c r="O543" s="29"/>
      <c r="P543" s="29"/>
      <c r="Q543" s="29"/>
      <c r="R543" s="29"/>
      <c r="S543" s="29"/>
      <c r="T543" s="29"/>
      <c r="U543" s="29"/>
      <c r="V543" s="29"/>
      <c r="W543" s="29"/>
      <c r="X543" s="29"/>
    </row>
    <row r="544" spans="1:24" ht="15">
      <c r="A544" s="29"/>
      <c r="B544" s="29"/>
      <c r="C544" s="29"/>
      <c r="D544" s="33"/>
      <c r="E544" s="33"/>
      <c r="G544" s="29"/>
      <c r="H544" s="29"/>
      <c r="I544" s="29"/>
      <c r="J544" s="29"/>
      <c r="K544" s="29"/>
      <c r="L544" s="29"/>
      <c r="M544" s="29"/>
      <c r="N544" s="29"/>
      <c r="O544" s="29"/>
      <c r="P544" s="29"/>
      <c r="Q544" s="29"/>
      <c r="R544" s="29"/>
      <c r="S544" s="29"/>
      <c r="T544" s="29"/>
      <c r="U544" s="29"/>
      <c r="V544" s="29"/>
      <c r="W544" s="29"/>
      <c r="X544" s="29"/>
    </row>
    <row r="545" spans="1:24" ht="15">
      <c r="A545" s="29"/>
      <c r="B545" s="29"/>
      <c r="C545" s="29"/>
      <c r="D545" s="33"/>
      <c r="E545" s="33"/>
      <c r="G545" s="29"/>
      <c r="H545" s="29"/>
      <c r="I545" s="29"/>
      <c r="J545" s="29"/>
      <c r="K545" s="29"/>
      <c r="L545" s="29"/>
      <c r="M545" s="29"/>
      <c r="N545" s="29"/>
      <c r="O545" s="29"/>
      <c r="P545" s="29"/>
      <c r="Q545" s="29"/>
      <c r="R545" s="29"/>
      <c r="S545" s="29"/>
      <c r="T545" s="29"/>
      <c r="U545" s="29"/>
      <c r="V545" s="29"/>
      <c r="W545" s="29"/>
      <c r="X545" s="29"/>
    </row>
    <row r="546" spans="1:24" ht="15">
      <c r="A546" s="29"/>
      <c r="B546" s="29"/>
      <c r="C546" s="29"/>
      <c r="D546" s="33"/>
      <c r="E546" s="33"/>
      <c r="G546" s="29"/>
      <c r="H546" s="29"/>
      <c r="I546" s="29"/>
      <c r="J546" s="29"/>
      <c r="K546" s="29"/>
      <c r="L546" s="29"/>
      <c r="M546" s="29"/>
      <c r="N546" s="29"/>
      <c r="O546" s="29"/>
      <c r="P546" s="29"/>
      <c r="Q546" s="29"/>
      <c r="R546" s="29"/>
      <c r="S546" s="29"/>
      <c r="T546" s="29"/>
      <c r="U546" s="29"/>
      <c r="V546" s="29"/>
      <c r="W546" s="29"/>
      <c r="X546" s="29"/>
    </row>
    <row r="547" spans="1:24" ht="15">
      <c r="A547" s="29"/>
      <c r="B547" s="29"/>
      <c r="C547" s="29"/>
      <c r="D547" s="33"/>
      <c r="E547" s="33"/>
      <c r="G547" s="29"/>
      <c r="H547" s="29"/>
      <c r="I547" s="29"/>
      <c r="J547" s="29"/>
      <c r="K547" s="29"/>
      <c r="L547" s="29"/>
      <c r="M547" s="29"/>
      <c r="N547" s="29"/>
      <c r="O547" s="29"/>
      <c r="P547" s="29"/>
      <c r="Q547" s="29"/>
      <c r="R547" s="29"/>
      <c r="S547" s="29"/>
      <c r="T547" s="29"/>
      <c r="U547" s="29"/>
      <c r="V547" s="29"/>
      <c r="W547" s="29"/>
      <c r="X547" s="29"/>
    </row>
    <row r="548" spans="1:24" ht="15">
      <c r="A548" s="29"/>
      <c r="B548" s="29"/>
      <c r="C548" s="29"/>
      <c r="D548" s="33"/>
      <c r="E548" s="33"/>
      <c r="G548" s="29"/>
      <c r="H548" s="29"/>
      <c r="I548" s="29"/>
      <c r="J548" s="29"/>
      <c r="K548" s="29"/>
      <c r="L548" s="29"/>
      <c r="M548" s="29"/>
      <c r="N548" s="29"/>
      <c r="O548" s="29"/>
      <c r="P548" s="29"/>
      <c r="Q548" s="29"/>
      <c r="R548" s="29"/>
      <c r="S548" s="29"/>
      <c r="T548" s="29"/>
      <c r="U548" s="29"/>
      <c r="V548" s="29"/>
      <c r="W548" s="29"/>
      <c r="X548" s="29"/>
    </row>
    <row r="549" spans="1:24" ht="15">
      <c r="A549" s="29"/>
      <c r="B549" s="29"/>
      <c r="C549" s="29"/>
      <c r="D549" s="33"/>
      <c r="E549" s="33"/>
      <c r="G549" s="29"/>
      <c r="H549" s="29"/>
      <c r="I549" s="29"/>
      <c r="J549" s="29"/>
      <c r="K549" s="29"/>
      <c r="L549" s="29"/>
      <c r="M549" s="29"/>
      <c r="N549" s="29"/>
      <c r="O549" s="29"/>
      <c r="P549" s="29"/>
      <c r="Q549" s="29"/>
      <c r="R549" s="29"/>
      <c r="S549" s="29"/>
      <c r="T549" s="29"/>
      <c r="U549" s="29"/>
      <c r="V549" s="29"/>
      <c r="W549" s="29"/>
      <c r="X549" s="29"/>
    </row>
    <row r="550" spans="1:24" ht="15">
      <c r="A550" s="29"/>
      <c r="B550" s="29"/>
      <c r="C550" s="29"/>
      <c r="D550" s="33"/>
      <c r="E550" s="33"/>
      <c r="G550" s="29"/>
      <c r="H550" s="29"/>
      <c r="I550" s="29"/>
      <c r="J550" s="29"/>
      <c r="K550" s="29"/>
      <c r="L550" s="29"/>
      <c r="M550" s="29"/>
      <c r="N550" s="29"/>
      <c r="O550" s="29"/>
      <c r="P550" s="29"/>
      <c r="Q550" s="29"/>
      <c r="R550" s="29"/>
      <c r="S550" s="29"/>
      <c r="T550" s="29"/>
      <c r="U550" s="29"/>
      <c r="V550" s="29"/>
      <c r="W550" s="29"/>
      <c r="X550" s="29"/>
    </row>
    <row r="551" spans="1:24" ht="15">
      <c r="A551" s="29"/>
      <c r="B551" s="29"/>
      <c r="C551" s="29"/>
      <c r="D551" s="33"/>
      <c r="E551" s="33"/>
      <c r="G551" s="29"/>
      <c r="H551" s="29"/>
      <c r="I551" s="29"/>
      <c r="J551" s="29"/>
      <c r="K551" s="29"/>
      <c r="L551" s="29"/>
      <c r="M551" s="29"/>
      <c r="N551" s="29"/>
      <c r="O551" s="29"/>
      <c r="P551" s="29"/>
      <c r="Q551" s="29"/>
      <c r="R551" s="29"/>
      <c r="S551" s="29"/>
      <c r="T551" s="29"/>
      <c r="U551" s="29"/>
      <c r="V551" s="29"/>
      <c r="W551" s="29"/>
      <c r="X551" s="29"/>
    </row>
    <row r="552" spans="1:24" ht="15">
      <c r="A552" s="29"/>
      <c r="B552" s="29"/>
      <c r="C552" s="29"/>
      <c r="D552" s="33"/>
      <c r="E552" s="33"/>
      <c r="G552" s="29"/>
      <c r="H552" s="29"/>
      <c r="I552" s="29"/>
      <c r="J552" s="29"/>
      <c r="K552" s="29"/>
      <c r="L552" s="29"/>
      <c r="M552" s="29"/>
      <c r="N552" s="29"/>
      <c r="O552" s="29"/>
      <c r="P552" s="29"/>
      <c r="Q552" s="29"/>
      <c r="R552" s="29"/>
      <c r="S552" s="29"/>
      <c r="T552" s="29"/>
      <c r="U552" s="29"/>
      <c r="V552" s="29"/>
      <c r="W552" s="29"/>
      <c r="X552" s="29"/>
    </row>
    <row r="553" spans="1:24" ht="15">
      <c r="A553" s="29"/>
      <c r="B553" s="29"/>
      <c r="C553" s="29"/>
      <c r="D553" s="33"/>
      <c r="E553" s="33"/>
      <c r="G553" s="29"/>
      <c r="H553" s="29"/>
      <c r="I553" s="29"/>
      <c r="J553" s="29"/>
      <c r="K553" s="29"/>
      <c r="L553" s="29"/>
      <c r="M553" s="29"/>
      <c r="N553" s="29"/>
      <c r="O553" s="29"/>
      <c r="P553" s="29"/>
      <c r="Q553" s="29"/>
      <c r="R553" s="29"/>
      <c r="S553" s="29"/>
      <c r="T553" s="29"/>
      <c r="U553" s="29"/>
      <c r="V553" s="29"/>
      <c r="W553" s="29"/>
      <c r="X553" s="29"/>
    </row>
    <row r="554" spans="1:24" ht="15">
      <c r="A554" s="29"/>
      <c r="B554" s="29"/>
      <c r="C554" s="29"/>
      <c r="D554" s="33"/>
      <c r="E554" s="33"/>
      <c r="G554" s="29"/>
      <c r="H554" s="29"/>
      <c r="I554" s="29"/>
      <c r="J554" s="29"/>
      <c r="K554" s="29"/>
      <c r="L554" s="29"/>
      <c r="M554" s="29"/>
      <c r="N554" s="29"/>
      <c r="O554" s="29"/>
      <c r="P554" s="29"/>
      <c r="Q554" s="29"/>
      <c r="R554" s="29"/>
      <c r="S554" s="29"/>
      <c r="T554" s="29"/>
      <c r="U554" s="29"/>
      <c r="V554" s="29"/>
      <c r="W554" s="29"/>
      <c r="X554" s="29"/>
    </row>
    <row r="555" spans="1:24" ht="15">
      <c r="A555" s="29"/>
      <c r="B555" s="29"/>
      <c r="C555" s="29"/>
      <c r="D555" s="33"/>
      <c r="E555" s="33"/>
      <c r="G555" s="29"/>
      <c r="H555" s="29"/>
      <c r="I555" s="29"/>
      <c r="J555" s="29"/>
      <c r="K555" s="29"/>
      <c r="L555" s="29"/>
      <c r="M555" s="29"/>
      <c r="N555" s="29"/>
      <c r="O555" s="29"/>
      <c r="P555" s="29"/>
      <c r="Q555" s="29"/>
      <c r="R555" s="29"/>
      <c r="S555" s="29"/>
      <c r="T555" s="29"/>
      <c r="U555" s="29"/>
      <c r="V555" s="29"/>
      <c r="W555" s="29"/>
      <c r="X555" s="29"/>
    </row>
    <row r="556" spans="1:24" ht="15">
      <c r="A556" s="29"/>
      <c r="B556" s="29"/>
      <c r="C556" s="29"/>
      <c r="D556" s="33"/>
      <c r="E556" s="33"/>
      <c r="G556" s="29"/>
      <c r="H556" s="29"/>
      <c r="I556" s="29"/>
      <c r="J556" s="29"/>
      <c r="K556" s="29"/>
      <c r="L556" s="29"/>
      <c r="M556" s="29"/>
      <c r="N556" s="29"/>
      <c r="O556" s="29"/>
      <c r="P556" s="29"/>
      <c r="Q556" s="29"/>
      <c r="R556" s="29"/>
      <c r="S556" s="29"/>
      <c r="T556" s="29"/>
      <c r="U556" s="29"/>
      <c r="V556" s="29"/>
      <c r="W556" s="29"/>
      <c r="X556" s="29"/>
    </row>
    <row r="557" spans="1:24" ht="15">
      <c r="A557" s="29"/>
      <c r="B557" s="29"/>
      <c r="C557" s="29"/>
      <c r="D557" s="33"/>
      <c r="E557" s="33"/>
      <c r="G557" s="29"/>
      <c r="H557" s="29"/>
      <c r="I557" s="29"/>
      <c r="J557" s="29"/>
      <c r="K557" s="29"/>
      <c r="L557" s="29"/>
      <c r="M557" s="29"/>
      <c r="N557" s="29"/>
      <c r="O557" s="29"/>
      <c r="P557" s="29"/>
      <c r="Q557" s="29"/>
      <c r="R557" s="29"/>
      <c r="S557" s="29"/>
      <c r="T557" s="29"/>
      <c r="U557" s="29"/>
      <c r="V557" s="29"/>
      <c r="W557" s="29"/>
      <c r="X557" s="29"/>
    </row>
    <row r="558" spans="1:24" ht="15">
      <c r="A558" s="29"/>
      <c r="B558" s="29"/>
      <c r="C558" s="29"/>
      <c r="D558" s="33"/>
      <c r="E558" s="33"/>
      <c r="G558" s="29"/>
      <c r="H558" s="29"/>
      <c r="I558" s="29"/>
      <c r="J558" s="29"/>
      <c r="K558" s="29"/>
      <c r="L558" s="29"/>
      <c r="M558" s="29"/>
      <c r="N558" s="29"/>
      <c r="O558" s="29"/>
      <c r="P558" s="29"/>
      <c r="Q558" s="29"/>
      <c r="R558" s="29"/>
      <c r="S558" s="29"/>
      <c r="T558" s="29"/>
      <c r="U558" s="29"/>
      <c r="V558" s="29"/>
      <c r="W558" s="29"/>
      <c r="X558" s="29"/>
    </row>
    <row r="559" spans="1:24" ht="15">
      <c r="A559" s="29"/>
      <c r="B559" s="29"/>
      <c r="C559" s="29"/>
      <c r="D559" s="33"/>
      <c r="E559" s="33"/>
      <c r="G559" s="29"/>
      <c r="H559" s="29"/>
      <c r="I559" s="29"/>
      <c r="J559" s="29"/>
      <c r="K559" s="29"/>
      <c r="L559" s="29"/>
      <c r="M559" s="29"/>
      <c r="N559" s="29"/>
      <c r="O559" s="29"/>
      <c r="P559" s="29"/>
      <c r="Q559" s="29"/>
      <c r="R559" s="29"/>
      <c r="S559" s="29"/>
      <c r="T559" s="29"/>
      <c r="U559" s="29"/>
      <c r="V559" s="29"/>
      <c r="W559" s="29"/>
      <c r="X559" s="29"/>
    </row>
    <row r="560" spans="1:24" ht="15">
      <c r="A560" s="29"/>
      <c r="B560" s="29"/>
      <c r="C560" s="29"/>
      <c r="D560" s="33"/>
      <c r="E560" s="33"/>
      <c r="G560" s="29"/>
      <c r="H560" s="29"/>
      <c r="I560" s="29"/>
      <c r="J560" s="29"/>
      <c r="K560" s="29"/>
      <c r="L560" s="29"/>
      <c r="M560" s="29"/>
      <c r="N560" s="29"/>
      <c r="O560" s="29"/>
      <c r="P560" s="29"/>
      <c r="Q560" s="29"/>
      <c r="R560" s="29"/>
      <c r="S560" s="29"/>
      <c r="T560" s="29"/>
      <c r="U560" s="29"/>
      <c r="V560" s="29"/>
      <c r="W560" s="29"/>
      <c r="X560" s="29"/>
    </row>
    <row r="561" spans="1:24" ht="15">
      <c r="A561" s="29"/>
      <c r="B561" s="29"/>
      <c r="C561" s="29"/>
      <c r="D561" s="33"/>
      <c r="E561" s="33"/>
      <c r="G561" s="29"/>
      <c r="H561" s="29"/>
      <c r="I561" s="29"/>
      <c r="J561" s="29"/>
      <c r="K561" s="29"/>
      <c r="L561" s="29"/>
      <c r="M561" s="29"/>
      <c r="N561" s="29"/>
      <c r="O561" s="29"/>
      <c r="P561" s="29"/>
      <c r="Q561" s="29"/>
      <c r="R561" s="29"/>
      <c r="S561" s="29"/>
      <c r="T561" s="29"/>
      <c r="U561" s="29"/>
      <c r="V561" s="29"/>
      <c r="W561" s="29"/>
      <c r="X561" s="29"/>
    </row>
    <row r="562" spans="1:24" ht="15">
      <c r="A562" s="29"/>
      <c r="B562" s="29"/>
      <c r="C562" s="29"/>
      <c r="D562" s="33"/>
      <c r="E562" s="33"/>
      <c r="G562" s="29"/>
      <c r="H562" s="29"/>
      <c r="I562" s="29"/>
      <c r="J562" s="29"/>
      <c r="K562" s="29"/>
      <c r="L562" s="29"/>
      <c r="M562" s="29"/>
      <c r="N562" s="29"/>
      <c r="O562" s="29"/>
      <c r="P562" s="29"/>
      <c r="Q562" s="29"/>
      <c r="R562" s="29"/>
      <c r="S562" s="29"/>
      <c r="T562" s="29"/>
      <c r="U562" s="29"/>
      <c r="V562" s="29"/>
      <c r="W562" s="29"/>
      <c r="X562" s="29"/>
    </row>
    <row r="563" spans="1:24" ht="15">
      <c r="A563" s="29"/>
      <c r="B563" s="29"/>
      <c r="C563" s="29"/>
      <c r="D563" s="33"/>
      <c r="E563" s="33"/>
      <c r="G563" s="29"/>
      <c r="H563" s="29"/>
      <c r="I563" s="29"/>
      <c r="J563" s="29"/>
      <c r="K563" s="29"/>
      <c r="L563" s="29"/>
      <c r="M563" s="29"/>
      <c r="N563" s="29"/>
      <c r="O563" s="29"/>
      <c r="P563" s="29"/>
      <c r="Q563" s="29"/>
      <c r="R563" s="29"/>
      <c r="S563" s="29"/>
      <c r="T563" s="29"/>
      <c r="U563" s="29"/>
      <c r="V563" s="29"/>
      <c r="W563" s="29"/>
      <c r="X563" s="29"/>
    </row>
    <row r="564" spans="1:24" ht="15">
      <c r="A564" s="29"/>
      <c r="B564" s="29"/>
      <c r="C564" s="29"/>
      <c r="D564" s="33"/>
      <c r="E564" s="33"/>
      <c r="G564" s="29"/>
      <c r="H564" s="29"/>
      <c r="I564" s="29"/>
      <c r="J564" s="29"/>
      <c r="K564" s="29"/>
      <c r="L564" s="29"/>
      <c r="M564" s="29"/>
      <c r="N564" s="29"/>
      <c r="O564" s="29"/>
      <c r="P564" s="29"/>
      <c r="Q564" s="29"/>
      <c r="R564" s="29"/>
      <c r="S564" s="29"/>
      <c r="T564" s="29"/>
      <c r="U564" s="29"/>
      <c r="V564" s="29"/>
      <c r="W564" s="29"/>
      <c r="X564" s="29"/>
    </row>
    <row r="565" spans="1:24" ht="15">
      <c r="A565" s="29"/>
      <c r="B565" s="29"/>
      <c r="C565" s="29"/>
      <c r="D565" s="33"/>
      <c r="E565" s="33"/>
      <c r="G565" s="29"/>
      <c r="H565" s="29"/>
      <c r="I565" s="29"/>
      <c r="J565" s="29"/>
      <c r="K565" s="29"/>
      <c r="L565" s="29"/>
      <c r="M565" s="29"/>
      <c r="N565" s="29"/>
      <c r="O565" s="29"/>
      <c r="P565" s="29"/>
      <c r="Q565" s="29"/>
      <c r="R565" s="29"/>
      <c r="S565" s="29"/>
      <c r="T565" s="29"/>
      <c r="U565" s="29"/>
      <c r="V565" s="29"/>
      <c r="W565" s="29"/>
      <c r="X565" s="29"/>
    </row>
    <row r="566" spans="1:24" ht="15">
      <c r="A566" s="29"/>
      <c r="B566" s="29"/>
      <c r="C566" s="29"/>
      <c r="D566" s="33"/>
      <c r="E566" s="33"/>
      <c r="G566" s="29"/>
      <c r="H566" s="29"/>
      <c r="I566" s="29"/>
      <c r="J566" s="29"/>
      <c r="K566" s="29"/>
      <c r="L566" s="29"/>
      <c r="M566" s="29"/>
      <c r="N566" s="29"/>
      <c r="O566" s="29"/>
      <c r="P566" s="29"/>
      <c r="Q566" s="29"/>
      <c r="R566" s="29"/>
      <c r="S566" s="29"/>
      <c r="T566" s="29"/>
      <c r="U566" s="29"/>
      <c r="V566" s="29"/>
      <c r="W566" s="29"/>
      <c r="X566" s="29"/>
    </row>
    <row r="567" spans="1:24" ht="15">
      <c r="A567" s="29"/>
      <c r="B567" s="29"/>
      <c r="C567" s="29"/>
      <c r="D567" s="33"/>
      <c r="E567" s="33"/>
      <c r="G567" s="29"/>
      <c r="H567" s="29"/>
      <c r="I567" s="29"/>
      <c r="J567" s="29"/>
      <c r="K567" s="29"/>
      <c r="L567" s="29"/>
      <c r="M567" s="29"/>
      <c r="N567" s="29"/>
      <c r="O567" s="29"/>
      <c r="P567" s="29"/>
      <c r="Q567" s="29"/>
      <c r="R567" s="29"/>
      <c r="S567" s="29"/>
      <c r="T567" s="29"/>
      <c r="U567" s="29"/>
      <c r="V567" s="29"/>
      <c r="W567" s="29"/>
      <c r="X567" s="29"/>
    </row>
    <row r="568" spans="1:24" ht="15">
      <c r="A568" s="29"/>
      <c r="B568" s="29"/>
      <c r="C568" s="29"/>
      <c r="D568" s="33"/>
      <c r="E568" s="33"/>
      <c r="G568" s="29"/>
      <c r="H568" s="29"/>
      <c r="I568" s="29"/>
      <c r="J568" s="29"/>
      <c r="K568" s="29"/>
      <c r="L568" s="29"/>
      <c r="M568" s="29"/>
      <c r="N568" s="29"/>
      <c r="O568" s="29"/>
      <c r="P568" s="29"/>
      <c r="Q568" s="29"/>
      <c r="R568" s="29"/>
      <c r="S568" s="29"/>
      <c r="T568" s="29"/>
      <c r="U568" s="29"/>
      <c r="V568" s="29"/>
      <c r="W568" s="29"/>
      <c r="X568" s="29"/>
    </row>
    <row r="569" spans="1:24" ht="15">
      <c r="A569" s="29"/>
      <c r="B569" s="29"/>
      <c r="C569" s="29"/>
      <c r="D569" s="33"/>
      <c r="E569" s="33"/>
      <c r="G569" s="29"/>
      <c r="H569" s="29"/>
      <c r="I569" s="29"/>
      <c r="J569" s="29"/>
      <c r="K569" s="29"/>
      <c r="L569" s="29"/>
      <c r="M569" s="29"/>
      <c r="N569" s="29"/>
      <c r="O569" s="29"/>
      <c r="P569" s="29"/>
      <c r="Q569" s="29"/>
      <c r="R569" s="29"/>
      <c r="S569" s="29"/>
      <c r="T569" s="29"/>
      <c r="U569" s="29"/>
      <c r="V569" s="29"/>
      <c r="W569" s="29"/>
      <c r="X569" s="29"/>
    </row>
    <row r="570" spans="1:24" ht="15">
      <c r="A570" s="29"/>
      <c r="B570" s="29"/>
      <c r="C570" s="29"/>
      <c r="D570" s="33"/>
      <c r="E570" s="33"/>
      <c r="G570" s="29"/>
      <c r="H570" s="29"/>
      <c r="I570" s="29"/>
      <c r="J570" s="29"/>
      <c r="K570" s="29"/>
      <c r="L570" s="29"/>
      <c r="M570" s="29"/>
      <c r="N570" s="29"/>
      <c r="O570" s="29"/>
      <c r="P570" s="29"/>
      <c r="Q570" s="29"/>
      <c r="R570" s="29"/>
      <c r="S570" s="29"/>
      <c r="T570" s="29"/>
      <c r="U570" s="29"/>
      <c r="V570" s="29"/>
      <c r="W570" s="29"/>
      <c r="X570" s="29"/>
    </row>
    <row r="571" spans="1:24" ht="15">
      <c r="A571" s="29"/>
      <c r="B571" s="29"/>
      <c r="C571" s="29"/>
      <c r="D571" s="33"/>
      <c r="E571" s="33"/>
      <c r="G571" s="29"/>
      <c r="H571" s="29"/>
      <c r="I571" s="29"/>
      <c r="J571" s="29"/>
      <c r="K571" s="29"/>
      <c r="L571" s="29"/>
      <c r="M571" s="29"/>
      <c r="N571" s="29"/>
      <c r="O571" s="29"/>
      <c r="P571" s="29"/>
      <c r="Q571" s="29"/>
      <c r="R571" s="29"/>
      <c r="S571" s="29"/>
      <c r="T571" s="29"/>
      <c r="U571" s="29"/>
      <c r="V571" s="29"/>
      <c r="W571" s="29"/>
      <c r="X571" s="29"/>
    </row>
    <row r="572" spans="1:24" ht="15">
      <c r="A572" s="29"/>
      <c r="B572" s="29"/>
      <c r="C572" s="29"/>
      <c r="D572" s="33"/>
      <c r="E572" s="33"/>
      <c r="G572" s="29"/>
      <c r="H572" s="29"/>
      <c r="I572" s="29"/>
      <c r="J572" s="29"/>
      <c r="K572" s="29"/>
      <c r="L572" s="29"/>
      <c r="M572" s="29"/>
      <c r="N572" s="29"/>
      <c r="O572" s="29"/>
      <c r="P572" s="29"/>
      <c r="Q572" s="29"/>
      <c r="R572" s="29"/>
      <c r="S572" s="29"/>
      <c r="T572" s="29"/>
      <c r="U572" s="29"/>
      <c r="V572" s="29"/>
      <c r="W572" s="29"/>
      <c r="X572" s="29"/>
    </row>
    <row r="573" spans="1:24" ht="15">
      <c r="A573" s="29"/>
      <c r="B573" s="29"/>
      <c r="C573" s="29"/>
      <c r="D573" s="33"/>
      <c r="E573" s="33"/>
      <c r="G573" s="29"/>
      <c r="H573" s="29"/>
      <c r="I573" s="29"/>
      <c r="J573" s="29"/>
      <c r="K573" s="29"/>
      <c r="L573" s="29"/>
      <c r="M573" s="29"/>
      <c r="N573" s="29"/>
      <c r="O573" s="29"/>
      <c r="P573" s="29"/>
      <c r="Q573" s="29"/>
      <c r="R573" s="29"/>
      <c r="S573" s="29"/>
      <c r="T573" s="29"/>
      <c r="U573" s="29"/>
      <c r="V573" s="29"/>
      <c r="W573" s="29"/>
      <c r="X573" s="29"/>
    </row>
    <row r="574" spans="1:24" ht="15">
      <c r="A574" s="29"/>
      <c r="B574" s="29"/>
      <c r="C574" s="29"/>
      <c r="D574" s="33"/>
      <c r="E574" s="33"/>
      <c r="G574" s="29"/>
      <c r="H574" s="29"/>
      <c r="I574" s="29"/>
      <c r="J574" s="29"/>
      <c r="K574" s="29"/>
      <c r="L574" s="29"/>
      <c r="M574" s="29"/>
      <c r="N574" s="29"/>
      <c r="O574" s="29"/>
      <c r="P574" s="29"/>
      <c r="Q574" s="29"/>
      <c r="R574" s="29"/>
      <c r="S574" s="29"/>
      <c r="T574" s="29"/>
      <c r="U574" s="29"/>
      <c r="V574" s="29"/>
      <c r="W574" s="29"/>
      <c r="X574" s="29"/>
    </row>
    <row r="575" spans="1:24" ht="15">
      <c r="A575" s="29"/>
      <c r="B575" s="29"/>
      <c r="C575" s="29"/>
      <c r="D575" s="33"/>
      <c r="E575" s="33"/>
      <c r="G575" s="29"/>
      <c r="H575" s="29"/>
      <c r="I575" s="29"/>
      <c r="J575" s="29"/>
      <c r="K575" s="29"/>
      <c r="L575" s="29"/>
      <c r="M575" s="29"/>
      <c r="N575" s="29"/>
      <c r="O575" s="29"/>
      <c r="P575" s="29"/>
      <c r="Q575" s="29"/>
      <c r="R575" s="29"/>
      <c r="S575" s="29"/>
      <c r="T575" s="29"/>
      <c r="U575" s="29"/>
      <c r="V575" s="29"/>
      <c r="W575" s="29"/>
      <c r="X575" s="29"/>
    </row>
    <row r="576" spans="1:24" ht="15">
      <c r="A576" s="29"/>
      <c r="B576" s="29"/>
      <c r="C576" s="29"/>
      <c r="D576" s="33"/>
      <c r="E576" s="33"/>
      <c r="G576" s="29"/>
      <c r="H576" s="29"/>
      <c r="I576" s="29"/>
      <c r="J576" s="29"/>
      <c r="K576" s="29"/>
      <c r="L576" s="29"/>
      <c r="M576" s="29"/>
      <c r="N576" s="29"/>
      <c r="O576" s="29"/>
      <c r="P576" s="29"/>
      <c r="Q576" s="29"/>
      <c r="R576" s="29"/>
      <c r="S576" s="29"/>
      <c r="T576" s="29"/>
      <c r="U576" s="29"/>
      <c r="V576" s="29"/>
      <c r="W576" s="29"/>
      <c r="X576" s="29"/>
    </row>
    <row r="577" spans="1:24" ht="15">
      <c r="A577" s="29"/>
      <c r="B577" s="29"/>
      <c r="C577" s="29"/>
      <c r="D577" s="33"/>
      <c r="E577" s="33"/>
      <c r="G577" s="29"/>
      <c r="H577" s="29"/>
      <c r="I577" s="29"/>
      <c r="J577" s="29"/>
      <c r="K577" s="29"/>
      <c r="L577" s="29"/>
      <c r="M577" s="29"/>
      <c r="N577" s="29"/>
      <c r="O577" s="29"/>
      <c r="P577" s="29"/>
      <c r="Q577" s="29"/>
      <c r="R577" s="29"/>
      <c r="S577" s="29"/>
      <c r="T577" s="29"/>
      <c r="U577" s="29"/>
      <c r="V577" s="29"/>
      <c r="W577" s="29"/>
      <c r="X577" s="29"/>
    </row>
    <row r="578" spans="1:24" ht="15">
      <c r="A578" s="29"/>
      <c r="B578" s="29"/>
      <c r="C578" s="29"/>
      <c r="D578" s="33"/>
      <c r="E578" s="33"/>
      <c r="G578" s="29"/>
      <c r="H578" s="29"/>
      <c r="I578" s="29"/>
      <c r="J578" s="29"/>
      <c r="K578" s="29"/>
      <c r="L578" s="29"/>
      <c r="M578" s="29"/>
      <c r="N578" s="29"/>
      <c r="O578" s="29"/>
      <c r="P578" s="29"/>
      <c r="Q578" s="29"/>
      <c r="R578" s="29"/>
      <c r="S578" s="29"/>
      <c r="T578" s="29"/>
      <c r="U578" s="29"/>
      <c r="V578" s="29"/>
      <c r="W578" s="29"/>
      <c r="X578" s="29"/>
    </row>
    <row r="579" spans="1:24" ht="15">
      <c r="A579" s="29"/>
      <c r="B579" s="29"/>
      <c r="C579" s="29"/>
      <c r="D579" s="33"/>
      <c r="E579" s="33"/>
      <c r="G579" s="29"/>
      <c r="H579" s="29"/>
      <c r="I579" s="29"/>
      <c r="J579" s="29"/>
      <c r="K579" s="29"/>
      <c r="L579" s="29"/>
      <c r="M579" s="29"/>
      <c r="N579" s="29"/>
      <c r="O579" s="29"/>
      <c r="P579" s="29"/>
      <c r="Q579" s="29"/>
      <c r="R579" s="29"/>
      <c r="S579" s="29"/>
      <c r="T579" s="29"/>
      <c r="U579" s="29"/>
      <c r="V579" s="29"/>
      <c r="W579" s="29"/>
      <c r="X579" s="29"/>
    </row>
    <row r="580" spans="1:24" ht="15">
      <c r="A580" s="29"/>
      <c r="B580" s="29"/>
      <c r="C580" s="29"/>
      <c r="D580" s="33"/>
      <c r="E580" s="33"/>
      <c r="G580" s="29"/>
      <c r="H580" s="29"/>
      <c r="I580" s="29"/>
      <c r="J580" s="29"/>
      <c r="K580" s="29"/>
      <c r="L580" s="29"/>
      <c r="M580" s="29"/>
      <c r="N580" s="29"/>
      <c r="O580" s="29"/>
      <c r="P580" s="29"/>
      <c r="Q580" s="29"/>
      <c r="R580" s="29"/>
      <c r="S580" s="29"/>
      <c r="T580" s="29"/>
      <c r="U580" s="29"/>
      <c r="V580" s="29"/>
      <c r="W580" s="29"/>
      <c r="X580" s="29"/>
    </row>
    <row r="581" spans="1:24" ht="15">
      <c r="A581" s="29"/>
      <c r="B581" s="29"/>
      <c r="C581" s="29"/>
      <c r="D581" s="33"/>
      <c r="E581" s="33"/>
      <c r="G581" s="29"/>
      <c r="H581" s="29"/>
      <c r="I581" s="29"/>
      <c r="J581" s="29"/>
      <c r="K581" s="29"/>
      <c r="L581" s="29"/>
      <c r="M581" s="29"/>
      <c r="N581" s="29"/>
      <c r="O581" s="29"/>
      <c r="P581" s="29"/>
      <c r="Q581" s="29"/>
      <c r="R581" s="29"/>
      <c r="S581" s="29"/>
      <c r="T581" s="29"/>
      <c r="U581" s="29"/>
      <c r="V581" s="29"/>
      <c r="W581" s="29"/>
      <c r="X581" s="29"/>
    </row>
    <row r="582" spans="1:24" ht="15">
      <c r="A582" s="29"/>
      <c r="B582" s="29"/>
      <c r="C582" s="29"/>
      <c r="D582" s="33"/>
      <c r="E582" s="33"/>
      <c r="G582" s="29"/>
      <c r="H582" s="29"/>
      <c r="I582" s="29"/>
      <c r="J582" s="29"/>
      <c r="K582" s="29"/>
      <c r="L582" s="29"/>
      <c r="M582" s="29"/>
      <c r="N582" s="29"/>
      <c r="O582" s="29"/>
      <c r="P582" s="29"/>
      <c r="Q582" s="29"/>
      <c r="R582" s="29"/>
      <c r="S582" s="29"/>
      <c r="T582" s="29"/>
      <c r="U582" s="29"/>
      <c r="V582" s="29"/>
      <c r="W582" s="29"/>
      <c r="X582" s="29"/>
    </row>
    <row r="583" spans="1:24" ht="15">
      <c r="A583" s="29"/>
      <c r="B583" s="29"/>
      <c r="C583" s="29"/>
      <c r="D583" s="33"/>
      <c r="E583" s="33"/>
      <c r="G583" s="29"/>
      <c r="H583" s="29"/>
      <c r="I583" s="29"/>
      <c r="J583" s="29"/>
      <c r="K583" s="29"/>
      <c r="L583" s="29"/>
      <c r="M583" s="29"/>
      <c r="N583" s="29"/>
      <c r="O583" s="29"/>
      <c r="P583" s="29"/>
      <c r="Q583" s="29"/>
      <c r="R583" s="29"/>
      <c r="S583" s="29"/>
      <c r="T583" s="29"/>
      <c r="U583" s="29"/>
      <c r="V583" s="29"/>
      <c r="W583" s="29"/>
      <c r="X583" s="29"/>
    </row>
    <row r="584" spans="1:24" ht="15">
      <c r="A584" s="29"/>
      <c r="B584" s="29"/>
      <c r="C584" s="29"/>
      <c r="D584" s="33"/>
      <c r="E584" s="33"/>
      <c r="G584" s="29"/>
      <c r="H584" s="29"/>
      <c r="I584" s="29"/>
      <c r="J584" s="29"/>
      <c r="K584" s="29"/>
      <c r="L584" s="29"/>
      <c r="M584" s="29"/>
      <c r="N584" s="29"/>
      <c r="O584" s="29"/>
      <c r="P584" s="29"/>
      <c r="Q584" s="29"/>
      <c r="R584" s="29"/>
      <c r="S584" s="29"/>
      <c r="T584" s="29"/>
      <c r="U584" s="29"/>
      <c r="V584" s="29"/>
      <c r="W584" s="29"/>
      <c r="X584" s="29"/>
    </row>
    <row r="585" spans="1:24" ht="15">
      <c r="A585" s="29"/>
      <c r="B585" s="29"/>
      <c r="C585" s="29"/>
      <c r="D585" s="33"/>
      <c r="E585" s="33"/>
      <c r="G585" s="29"/>
      <c r="H585" s="29"/>
      <c r="I585" s="29"/>
      <c r="J585" s="29"/>
      <c r="K585" s="29"/>
      <c r="L585" s="29"/>
      <c r="M585" s="29"/>
      <c r="N585" s="29"/>
      <c r="O585" s="29"/>
      <c r="P585" s="29"/>
      <c r="Q585" s="29"/>
      <c r="R585" s="29"/>
      <c r="S585" s="29"/>
      <c r="T585" s="29"/>
      <c r="U585" s="29"/>
      <c r="V585" s="29"/>
      <c r="W585" s="29"/>
      <c r="X585" s="29"/>
    </row>
    <row r="586" spans="1:24" ht="15">
      <c r="A586" s="29"/>
      <c r="B586" s="29"/>
      <c r="C586" s="29"/>
      <c r="D586" s="33"/>
      <c r="E586" s="33"/>
      <c r="G586" s="29"/>
      <c r="H586" s="29"/>
      <c r="I586" s="29"/>
      <c r="J586" s="29"/>
      <c r="K586" s="29"/>
      <c r="L586" s="29"/>
      <c r="M586" s="29"/>
      <c r="N586" s="29"/>
      <c r="O586" s="29"/>
      <c r="P586" s="29"/>
      <c r="Q586" s="29"/>
      <c r="R586" s="29"/>
      <c r="S586" s="29"/>
      <c r="T586" s="29"/>
      <c r="U586" s="29"/>
      <c r="V586" s="29"/>
      <c r="W586" s="29"/>
      <c r="X586" s="29"/>
    </row>
    <row r="587" spans="1:24" ht="15">
      <c r="A587" s="29"/>
      <c r="B587" s="29"/>
      <c r="C587" s="29"/>
      <c r="D587" s="33"/>
      <c r="E587" s="33"/>
      <c r="G587" s="29"/>
      <c r="H587" s="29"/>
      <c r="I587" s="29"/>
      <c r="J587" s="29"/>
      <c r="K587" s="29"/>
      <c r="L587" s="29"/>
      <c r="M587" s="29"/>
      <c r="N587" s="29"/>
      <c r="O587" s="29"/>
      <c r="P587" s="29"/>
      <c r="Q587" s="29"/>
      <c r="R587" s="29"/>
      <c r="S587" s="29"/>
      <c r="T587" s="29"/>
      <c r="U587" s="29"/>
      <c r="V587" s="29"/>
      <c r="W587" s="29"/>
      <c r="X587" s="29"/>
    </row>
    <row r="588" spans="1:24" ht="15">
      <c r="A588" s="29"/>
      <c r="B588" s="29"/>
      <c r="C588" s="29"/>
      <c r="D588" s="33"/>
      <c r="E588" s="33"/>
      <c r="G588" s="29"/>
      <c r="H588" s="29"/>
      <c r="I588" s="29"/>
      <c r="J588" s="29"/>
      <c r="K588" s="29"/>
      <c r="L588" s="29"/>
      <c r="M588" s="29"/>
      <c r="N588" s="29"/>
      <c r="O588" s="29"/>
      <c r="P588" s="29"/>
      <c r="Q588" s="29"/>
      <c r="R588" s="29"/>
      <c r="S588" s="29"/>
      <c r="T588" s="29"/>
      <c r="U588" s="29"/>
      <c r="V588" s="29"/>
      <c r="W588" s="29"/>
      <c r="X588" s="29"/>
    </row>
    <row r="589" spans="1:24" ht="15">
      <c r="A589" s="29"/>
      <c r="B589" s="29"/>
      <c r="C589" s="29"/>
      <c r="D589" s="33"/>
      <c r="E589" s="33"/>
      <c r="G589" s="29"/>
      <c r="H589" s="29"/>
      <c r="I589" s="29"/>
      <c r="J589" s="29"/>
      <c r="K589" s="29"/>
      <c r="L589" s="29"/>
      <c r="M589" s="29"/>
      <c r="N589" s="29"/>
      <c r="O589" s="29"/>
      <c r="P589" s="29"/>
      <c r="Q589" s="29"/>
      <c r="R589" s="29"/>
      <c r="S589" s="29"/>
      <c r="T589" s="29"/>
      <c r="U589" s="29"/>
      <c r="V589" s="29"/>
      <c r="W589" s="29"/>
      <c r="X589" s="29"/>
    </row>
    <row r="590" spans="1:24" ht="15">
      <c r="A590" s="29"/>
      <c r="B590" s="29"/>
      <c r="C590" s="29"/>
      <c r="D590" s="33"/>
      <c r="E590" s="33"/>
      <c r="G590" s="29"/>
      <c r="H590" s="29"/>
      <c r="I590" s="29"/>
      <c r="J590" s="29"/>
      <c r="K590" s="29"/>
      <c r="L590" s="29"/>
      <c r="M590" s="29"/>
      <c r="N590" s="29"/>
      <c r="O590" s="29"/>
      <c r="P590" s="29"/>
      <c r="Q590" s="29"/>
      <c r="R590" s="29"/>
      <c r="S590" s="29"/>
      <c r="T590" s="29"/>
      <c r="U590" s="29"/>
      <c r="V590" s="29"/>
      <c r="W590" s="29"/>
      <c r="X590" s="29"/>
    </row>
    <row r="591" spans="1:24" ht="15">
      <c r="A591" s="29"/>
      <c r="B591" s="29"/>
      <c r="C591" s="29"/>
      <c r="D591" s="33"/>
      <c r="E591" s="33"/>
      <c r="G591" s="29"/>
      <c r="H591" s="29"/>
      <c r="I591" s="29"/>
      <c r="J591" s="29"/>
      <c r="K591" s="29"/>
      <c r="L591" s="29"/>
      <c r="M591" s="29"/>
      <c r="N591" s="29"/>
      <c r="O591" s="29"/>
      <c r="P591" s="29"/>
      <c r="Q591" s="29"/>
      <c r="R591" s="29"/>
      <c r="S591" s="29"/>
      <c r="T591" s="29"/>
      <c r="U591" s="29"/>
      <c r="V591" s="29"/>
      <c r="W591" s="29"/>
      <c r="X591" s="29"/>
    </row>
    <row r="592" spans="1:24" ht="15">
      <c r="A592" s="29"/>
      <c r="B592" s="29"/>
      <c r="C592" s="29"/>
      <c r="D592" s="33"/>
      <c r="E592" s="33"/>
      <c r="G592" s="29"/>
      <c r="H592" s="29"/>
      <c r="I592" s="29"/>
      <c r="J592" s="29"/>
      <c r="K592" s="29"/>
      <c r="L592" s="29"/>
      <c r="M592" s="29"/>
      <c r="N592" s="29"/>
      <c r="O592" s="29"/>
      <c r="P592" s="29"/>
      <c r="Q592" s="29"/>
      <c r="R592" s="29"/>
      <c r="S592" s="29"/>
      <c r="T592" s="29"/>
      <c r="U592" s="29"/>
      <c r="V592" s="29"/>
      <c r="W592" s="29"/>
      <c r="X592" s="29"/>
    </row>
    <row r="593" spans="1:24" ht="15">
      <c r="A593" s="29"/>
      <c r="B593" s="29"/>
      <c r="C593" s="29"/>
      <c r="D593" s="33"/>
      <c r="E593" s="33"/>
      <c r="G593" s="29"/>
      <c r="H593" s="29"/>
      <c r="I593" s="29"/>
      <c r="J593" s="29"/>
      <c r="K593" s="29"/>
      <c r="L593" s="29"/>
      <c r="M593" s="29"/>
      <c r="N593" s="29"/>
      <c r="O593" s="29"/>
      <c r="P593" s="29"/>
      <c r="Q593" s="29"/>
      <c r="R593" s="29"/>
      <c r="S593" s="29"/>
      <c r="T593" s="29"/>
      <c r="U593" s="29"/>
      <c r="V593" s="29"/>
      <c r="W593" s="29"/>
      <c r="X593" s="29"/>
    </row>
    <row r="594" spans="1:24" ht="15">
      <c r="A594" s="29"/>
      <c r="B594" s="29"/>
      <c r="C594" s="29"/>
      <c r="D594" s="33"/>
      <c r="E594" s="33"/>
      <c r="G594" s="29"/>
      <c r="H594" s="29"/>
      <c r="I594" s="29"/>
      <c r="J594" s="29"/>
      <c r="K594" s="29"/>
      <c r="L594" s="29"/>
      <c r="M594" s="29"/>
      <c r="N594" s="29"/>
      <c r="O594" s="29"/>
      <c r="P594" s="29"/>
      <c r="Q594" s="29"/>
      <c r="R594" s="29"/>
      <c r="S594" s="29"/>
      <c r="T594" s="29"/>
      <c r="U594" s="29"/>
      <c r="V594" s="29"/>
      <c r="W594" s="29"/>
      <c r="X594" s="29"/>
    </row>
    <row r="595" spans="1:24" ht="15">
      <c r="A595" s="29"/>
      <c r="B595" s="29"/>
      <c r="C595" s="29"/>
      <c r="D595" s="33"/>
      <c r="E595" s="33"/>
      <c r="G595" s="29"/>
      <c r="H595" s="29"/>
      <c r="I595" s="29"/>
      <c r="J595" s="29"/>
      <c r="K595" s="29"/>
      <c r="L595" s="29"/>
      <c r="M595" s="29"/>
      <c r="N595" s="29"/>
      <c r="O595" s="29"/>
      <c r="P595" s="29"/>
      <c r="Q595" s="29"/>
      <c r="R595" s="29"/>
      <c r="S595" s="29"/>
      <c r="T595" s="29"/>
      <c r="U595" s="29"/>
      <c r="V595" s="29"/>
      <c r="W595" s="29"/>
      <c r="X595" s="29"/>
    </row>
    <row r="596" spans="1:24" ht="15">
      <c r="A596" s="29"/>
      <c r="B596" s="29"/>
      <c r="C596" s="29"/>
      <c r="D596" s="33"/>
      <c r="E596" s="33"/>
      <c r="G596" s="29"/>
      <c r="H596" s="29"/>
      <c r="I596" s="29"/>
      <c r="J596" s="29"/>
      <c r="K596" s="29"/>
      <c r="L596" s="29"/>
      <c r="M596" s="29"/>
      <c r="N596" s="29"/>
      <c r="O596" s="29"/>
      <c r="P596" s="29"/>
      <c r="Q596" s="29"/>
      <c r="R596" s="29"/>
      <c r="S596" s="29"/>
      <c r="T596" s="29"/>
      <c r="U596" s="29"/>
      <c r="V596" s="29"/>
      <c r="W596" s="29"/>
      <c r="X596" s="29"/>
    </row>
    <row r="597" spans="1:24" ht="15">
      <c r="A597" s="29"/>
      <c r="B597" s="29"/>
      <c r="C597" s="29"/>
      <c r="D597" s="33"/>
      <c r="E597" s="33"/>
      <c r="G597" s="29"/>
      <c r="H597" s="29"/>
      <c r="I597" s="29"/>
      <c r="J597" s="29"/>
      <c r="K597" s="29"/>
      <c r="L597" s="29"/>
      <c r="M597" s="29"/>
      <c r="N597" s="29"/>
      <c r="O597" s="29"/>
      <c r="P597" s="29"/>
      <c r="Q597" s="29"/>
      <c r="R597" s="29"/>
      <c r="S597" s="29"/>
      <c r="T597" s="29"/>
      <c r="U597" s="29"/>
      <c r="V597" s="29"/>
      <c r="W597" s="29"/>
      <c r="X597" s="29"/>
    </row>
    <row r="598" spans="1:24" ht="15">
      <c r="A598" s="29"/>
      <c r="B598" s="29"/>
      <c r="C598" s="29"/>
      <c r="D598" s="33"/>
      <c r="E598" s="33"/>
      <c r="G598" s="29"/>
      <c r="H598" s="29"/>
      <c r="I598" s="29"/>
      <c r="J598" s="29"/>
      <c r="K598" s="29"/>
      <c r="L598" s="29"/>
      <c r="M598" s="29"/>
      <c r="N598" s="29"/>
      <c r="O598" s="29"/>
      <c r="P598" s="29"/>
      <c r="Q598" s="29"/>
      <c r="R598" s="29"/>
      <c r="S598" s="29"/>
      <c r="T598" s="29"/>
      <c r="U598" s="29"/>
      <c r="V598" s="29"/>
      <c r="W598" s="29"/>
      <c r="X598" s="29"/>
    </row>
    <row r="599" spans="1:24" ht="15">
      <c r="A599" s="29"/>
      <c r="B599" s="29"/>
      <c r="C599" s="29"/>
      <c r="D599" s="33"/>
      <c r="E599" s="33"/>
      <c r="G599" s="29"/>
      <c r="H599" s="29"/>
      <c r="I599" s="29"/>
      <c r="J599" s="29"/>
      <c r="K599" s="29"/>
      <c r="L599" s="29"/>
      <c r="M599" s="29"/>
      <c r="N599" s="29"/>
      <c r="O599" s="29"/>
      <c r="P599" s="29"/>
      <c r="Q599" s="29"/>
      <c r="R599" s="29"/>
      <c r="S599" s="29"/>
      <c r="T599" s="29"/>
      <c r="U599" s="29"/>
      <c r="V599" s="29"/>
      <c r="W599" s="29"/>
      <c r="X599" s="29"/>
    </row>
    <row r="600" spans="1:24" ht="15">
      <c r="A600" s="29"/>
      <c r="B600" s="29"/>
      <c r="C600" s="29"/>
      <c r="D600" s="33"/>
      <c r="E600" s="33"/>
      <c r="G600" s="29"/>
      <c r="H600" s="29"/>
      <c r="I600" s="29"/>
      <c r="J600" s="29"/>
      <c r="K600" s="29"/>
      <c r="L600" s="29"/>
      <c r="M600" s="29"/>
      <c r="N600" s="29"/>
      <c r="O600" s="29"/>
      <c r="P600" s="29"/>
      <c r="Q600" s="29"/>
      <c r="R600" s="29"/>
      <c r="S600" s="29"/>
      <c r="T600" s="29"/>
      <c r="U600" s="29"/>
      <c r="V600" s="29"/>
      <c r="W600" s="29"/>
      <c r="X600" s="29"/>
    </row>
    <row r="601" spans="1:24" ht="15">
      <c r="A601" s="29"/>
      <c r="B601" s="29"/>
      <c r="C601" s="29"/>
      <c r="D601" s="33"/>
      <c r="E601" s="33"/>
      <c r="G601" s="29"/>
      <c r="H601" s="29"/>
      <c r="I601" s="29"/>
      <c r="J601" s="29"/>
      <c r="K601" s="29"/>
      <c r="L601" s="29"/>
      <c r="M601" s="29"/>
      <c r="N601" s="29"/>
      <c r="O601" s="29"/>
      <c r="P601" s="29"/>
      <c r="Q601" s="29"/>
      <c r="R601" s="29"/>
      <c r="S601" s="29"/>
      <c r="T601" s="29"/>
      <c r="U601" s="29"/>
      <c r="V601" s="29"/>
      <c r="W601" s="29"/>
      <c r="X601" s="29"/>
    </row>
    <row r="602" spans="1:24" ht="15">
      <c r="A602" s="29"/>
      <c r="B602" s="29"/>
      <c r="C602" s="29"/>
      <c r="D602" s="33"/>
      <c r="E602" s="33"/>
      <c r="G602" s="29"/>
      <c r="H602" s="29"/>
      <c r="I602" s="29"/>
      <c r="J602" s="29"/>
      <c r="K602" s="29"/>
      <c r="L602" s="29"/>
      <c r="M602" s="29"/>
      <c r="N602" s="29"/>
      <c r="O602" s="29"/>
      <c r="P602" s="29"/>
      <c r="Q602" s="29"/>
      <c r="R602" s="29"/>
      <c r="S602" s="29"/>
      <c r="T602" s="29"/>
      <c r="U602" s="29"/>
      <c r="V602" s="29"/>
      <c r="W602" s="29"/>
      <c r="X602" s="29"/>
    </row>
    <row r="603" spans="1:24" ht="15">
      <c r="A603" s="29"/>
      <c r="B603" s="29"/>
      <c r="C603" s="29"/>
      <c r="D603" s="33"/>
      <c r="E603" s="33"/>
      <c r="G603" s="29"/>
      <c r="H603" s="29"/>
      <c r="I603" s="29"/>
      <c r="J603" s="29"/>
      <c r="K603" s="29"/>
      <c r="L603" s="29"/>
      <c r="M603" s="29"/>
      <c r="N603" s="29"/>
      <c r="O603" s="29"/>
      <c r="P603" s="29"/>
      <c r="Q603" s="29"/>
      <c r="R603" s="29"/>
      <c r="S603" s="29"/>
      <c r="T603" s="29"/>
      <c r="U603" s="29"/>
      <c r="V603" s="29"/>
      <c r="W603" s="29"/>
      <c r="X603" s="29"/>
    </row>
    <row r="604" spans="1:24" ht="15">
      <c r="A604" s="29"/>
      <c r="B604" s="29"/>
      <c r="C604" s="29"/>
      <c r="D604" s="33"/>
      <c r="E604" s="33"/>
      <c r="G604" s="29"/>
      <c r="H604" s="29"/>
      <c r="I604" s="29"/>
      <c r="J604" s="29"/>
      <c r="K604" s="29"/>
      <c r="L604" s="29"/>
      <c r="M604" s="29"/>
      <c r="N604" s="29"/>
      <c r="O604" s="29"/>
      <c r="P604" s="29"/>
      <c r="Q604" s="29"/>
      <c r="R604" s="29"/>
      <c r="S604" s="29"/>
      <c r="T604" s="29"/>
      <c r="U604" s="29"/>
      <c r="V604" s="29"/>
      <c r="W604" s="29"/>
      <c r="X604" s="29"/>
    </row>
    <row r="605" spans="1:24" ht="15">
      <c r="A605" s="29"/>
      <c r="B605" s="29"/>
      <c r="C605" s="29"/>
      <c r="D605" s="33"/>
      <c r="E605" s="33"/>
      <c r="G605" s="29"/>
      <c r="H605" s="29"/>
      <c r="I605" s="29"/>
      <c r="J605" s="29"/>
      <c r="K605" s="29"/>
      <c r="L605" s="29"/>
      <c r="M605" s="29"/>
      <c r="N605" s="29"/>
      <c r="O605" s="29"/>
      <c r="P605" s="29"/>
      <c r="Q605" s="29"/>
      <c r="R605" s="29"/>
      <c r="S605" s="29"/>
      <c r="T605" s="29"/>
      <c r="U605" s="29"/>
      <c r="V605" s="29"/>
      <c r="W605" s="29"/>
      <c r="X605" s="29"/>
    </row>
    <row r="606" spans="1:24" ht="15">
      <c r="A606" s="29"/>
      <c r="B606" s="29"/>
      <c r="C606" s="29"/>
      <c r="D606" s="33"/>
      <c r="E606" s="33"/>
      <c r="G606" s="29"/>
      <c r="H606" s="29"/>
      <c r="I606" s="29"/>
      <c r="J606" s="29"/>
      <c r="K606" s="29"/>
      <c r="L606" s="29"/>
      <c r="M606" s="29"/>
      <c r="N606" s="29"/>
      <c r="O606" s="29"/>
      <c r="P606" s="29"/>
      <c r="Q606" s="29"/>
      <c r="R606" s="29"/>
      <c r="S606" s="29"/>
      <c r="T606" s="29"/>
      <c r="U606" s="29"/>
      <c r="V606" s="29"/>
      <c r="W606" s="29"/>
      <c r="X606" s="29"/>
    </row>
    <row r="607" spans="1:24" ht="15">
      <c r="A607" s="29"/>
      <c r="B607" s="29"/>
      <c r="C607" s="29"/>
      <c r="D607" s="33"/>
      <c r="E607" s="33"/>
      <c r="G607" s="29"/>
      <c r="H607" s="29"/>
      <c r="I607" s="29"/>
      <c r="J607" s="29"/>
      <c r="K607" s="29"/>
      <c r="L607" s="29"/>
      <c r="M607" s="29"/>
      <c r="N607" s="29"/>
      <c r="O607" s="29"/>
      <c r="P607" s="29"/>
      <c r="Q607" s="29"/>
      <c r="R607" s="29"/>
      <c r="S607" s="29"/>
      <c r="T607" s="29"/>
      <c r="U607" s="29"/>
      <c r="V607" s="29"/>
      <c r="W607" s="29"/>
      <c r="X607" s="29"/>
    </row>
    <row r="608" spans="1:24" ht="15">
      <c r="A608" s="29"/>
      <c r="B608" s="29"/>
      <c r="C608" s="29"/>
      <c r="D608" s="33"/>
      <c r="E608" s="33"/>
      <c r="G608" s="29"/>
      <c r="H608" s="29"/>
      <c r="I608" s="29"/>
      <c r="J608" s="29"/>
      <c r="K608" s="29"/>
      <c r="L608" s="29"/>
      <c r="M608" s="29"/>
      <c r="N608" s="29"/>
      <c r="O608" s="29"/>
      <c r="P608" s="29"/>
      <c r="Q608" s="29"/>
      <c r="R608" s="29"/>
      <c r="S608" s="29"/>
      <c r="T608" s="29"/>
      <c r="U608" s="29"/>
      <c r="V608" s="29"/>
      <c r="W608" s="29"/>
      <c r="X608" s="29"/>
    </row>
  </sheetData>
  <mergeCells count="6">
    <mergeCell ref="E26:E28"/>
    <mergeCell ref="E21:E23"/>
    <mergeCell ref="D2:E2"/>
    <mergeCell ref="D1:E1"/>
    <mergeCell ref="E16:E18"/>
    <mergeCell ref="E11:E1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AMJ599"/>
  <sheetViews>
    <sheetView workbookViewId="0"/>
  </sheetViews>
  <sheetFormatPr defaultRowHeight="15.75" customHeight="1"/>
  <cols>
    <col min="1" max="1" width="2.28515625" style="27"/>
    <col min="2" max="2" width="3.140625" style="27"/>
    <col min="3" max="3" width="61.42578125" style="27"/>
    <col min="4" max="4" width="13.42578125" style="28"/>
    <col min="5" max="5" width="19.85546875" style="28"/>
    <col min="6" max="6" width="13.42578125"/>
    <col min="7" max="1024" width="13.42578125" style="27"/>
    <col min="1025" max="1025" width="11.42578125"/>
  </cols>
  <sheetData>
    <row r="1" spans="1:24" ht="15" customHeight="1">
      <c r="A1" s="29"/>
      <c r="B1" s="29"/>
      <c r="C1" s="29"/>
      <c r="D1" s="515" t="s">
        <v>191</v>
      </c>
      <c r="E1" s="515"/>
      <c r="G1" s="29"/>
      <c r="H1" s="29"/>
      <c r="I1" s="29"/>
      <c r="J1" s="29"/>
      <c r="K1" s="29"/>
      <c r="L1" s="29"/>
      <c r="M1" s="29"/>
      <c r="N1" s="29"/>
      <c r="O1" s="29"/>
      <c r="P1" s="29"/>
      <c r="Q1" s="29"/>
      <c r="R1" s="29"/>
      <c r="S1" s="29"/>
      <c r="T1" s="29"/>
      <c r="U1" s="29"/>
      <c r="V1" s="29"/>
      <c r="W1" s="29"/>
      <c r="X1" s="29"/>
    </row>
    <row r="2" spans="1:24" ht="15" customHeight="1">
      <c r="A2" s="29"/>
      <c r="B2" s="31" t="s">
        <v>192</v>
      </c>
      <c r="C2" s="32"/>
      <c r="D2" s="522">
        <f>E5</f>
        <v>87.5</v>
      </c>
      <c r="E2" s="523"/>
      <c r="G2" s="29"/>
      <c r="H2" s="29"/>
      <c r="I2" s="29"/>
      <c r="J2" s="29"/>
      <c r="K2" s="29"/>
      <c r="L2" s="29"/>
      <c r="M2" s="29"/>
      <c r="N2" s="29"/>
      <c r="O2" s="29"/>
      <c r="P2" s="29"/>
      <c r="Q2" s="29"/>
      <c r="R2" s="29"/>
      <c r="S2" s="29"/>
      <c r="T2" s="29"/>
      <c r="U2" s="29"/>
      <c r="V2" s="29"/>
      <c r="W2" s="29"/>
      <c r="X2" s="29"/>
    </row>
    <row r="3" spans="1:24" ht="15">
      <c r="A3" s="29"/>
      <c r="B3" s="29"/>
      <c r="C3" s="29"/>
      <c r="D3" s="33"/>
      <c r="E3" s="33"/>
      <c r="G3" s="29"/>
      <c r="H3" s="29"/>
      <c r="I3" s="29"/>
      <c r="J3" s="29"/>
      <c r="K3" s="29"/>
      <c r="L3" s="29"/>
      <c r="M3" s="29"/>
      <c r="N3" s="29"/>
      <c r="O3" s="29"/>
      <c r="P3" s="29"/>
      <c r="Q3" s="29"/>
      <c r="R3" s="29"/>
      <c r="S3" s="29"/>
      <c r="T3" s="29"/>
      <c r="U3" s="29"/>
      <c r="V3" s="29"/>
      <c r="W3" s="29"/>
      <c r="X3" s="29"/>
    </row>
    <row r="4" spans="1:24" ht="15">
      <c r="A4" s="29"/>
      <c r="B4" s="34" t="s">
        <v>193</v>
      </c>
      <c r="C4" s="32"/>
      <c r="D4" s="35" t="s">
        <v>194</v>
      </c>
      <c r="E4" s="35" t="s">
        <v>195</v>
      </c>
      <c r="G4" s="29"/>
      <c r="H4" s="29"/>
      <c r="I4" s="29"/>
      <c r="J4" s="29"/>
      <c r="K4" s="29"/>
      <c r="L4" s="29"/>
      <c r="M4" s="29"/>
      <c r="N4" s="29"/>
      <c r="O4" s="29"/>
      <c r="P4" s="29"/>
      <c r="Q4" s="29"/>
      <c r="R4" s="29"/>
      <c r="S4" s="29"/>
      <c r="T4" s="29"/>
      <c r="U4" s="29"/>
      <c r="V4" s="29"/>
      <c r="W4" s="29"/>
      <c r="X4" s="29"/>
    </row>
    <row r="5" spans="1:24" ht="15">
      <c r="A5" s="29"/>
      <c r="B5" s="36" t="s">
        <v>196</v>
      </c>
      <c r="C5" s="36" t="s">
        <v>197</v>
      </c>
      <c r="D5" s="37">
        <v>1</v>
      </c>
      <c r="E5" s="38">
        <f>E9+E23</f>
        <v>87.5</v>
      </c>
      <c r="G5" s="29"/>
      <c r="H5" s="29"/>
      <c r="I5" s="29"/>
      <c r="J5" s="29"/>
      <c r="K5" s="29"/>
      <c r="L5" s="29"/>
      <c r="M5" s="29"/>
      <c r="N5" s="29"/>
      <c r="O5" s="29"/>
      <c r="P5" s="29"/>
      <c r="Q5" s="29"/>
      <c r="R5" s="29"/>
      <c r="S5" s="29"/>
      <c r="T5" s="29"/>
      <c r="U5" s="29"/>
      <c r="V5" s="29"/>
      <c r="W5" s="29"/>
      <c r="X5" s="29"/>
    </row>
    <row r="6" spans="1:24" ht="15">
      <c r="A6" s="29"/>
      <c r="B6" s="39"/>
      <c r="C6" s="39"/>
      <c r="D6" s="40"/>
      <c r="E6" s="40"/>
      <c r="G6" s="29"/>
      <c r="H6" s="29"/>
      <c r="I6" s="29"/>
      <c r="J6" s="29"/>
      <c r="K6" s="29"/>
      <c r="L6" s="29"/>
      <c r="M6" s="29"/>
      <c r="N6" s="29"/>
      <c r="O6" s="29"/>
      <c r="P6" s="29"/>
      <c r="Q6" s="29"/>
      <c r="R6" s="29"/>
      <c r="S6" s="29"/>
      <c r="T6" s="29"/>
      <c r="U6" s="29"/>
      <c r="V6" s="29"/>
      <c r="W6" s="29"/>
      <c r="X6" s="29"/>
    </row>
    <row r="7" spans="1:24" ht="15">
      <c r="A7" s="29"/>
      <c r="B7" s="41"/>
      <c r="C7" s="42" t="s">
        <v>198</v>
      </c>
      <c r="D7" s="43" t="s">
        <v>199</v>
      </c>
      <c r="E7" s="43" t="s">
        <v>200</v>
      </c>
      <c r="G7" s="29"/>
      <c r="H7" s="29"/>
      <c r="I7" s="29"/>
      <c r="J7" s="29"/>
      <c r="K7" s="29"/>
      <c r="L7" s="29"/>
      <c r="M7" s="29"/>
      <c r="N7" s="29"/>
      <c r="O7" s="29"/>
      <c r="P7" s="29"/>
      <c r="Q7" s="29"/>
      <c r="R7" s="29"/>
      <c r="S7" s="29"/>
      <c r="T7" s="29"/>
      <c r="U7" s="29"/>
      <c r="V7" s="29"/>
      <c r="W7" s="29"/>
      <c r="X7" s="29"/>
    </row>
    <row r="8" spans="1:24" ht="15">
      <c r="A8" s="29"/>
      <c r="B8" s="44" t="s">
        <v>201</v>
      </c>
      <c r="C8" s="45" t="s">
        <v>202</v>
      </c>
      <c r="D8" s="46"/>
      <c r="E8" s="46"/>
      <c r="G8" s="29"/>
      <c r="H8" s="29"/>
      <c r="I8" s="29"/>
      <c r="J8" s="29"/>
      <c r="K8" s="29"/>
      <c r="L8" s="29"/>
      <c r="M8" s="29"/>
      <c r="N8" s="29"/>
      <c r="O8" s="29"/>
      <c r="P8" s="29"/>
      <c r="Q8" s="29"/>
      <c r="R8" s="29"/>
      <c r="S8" s="29"/>
      <c r="T8" s="29"/>
      <c r="U8" s="29"/>
      <c r="V8" s="29"/>
      <c r="W8" s="29"/>
      <c r="X8" s="29"/>
    </row>
    <row r="9" spans="1:24" ht="15">
      <c r="A9" s="29"/>
      <c r="B9" s="42" t="s">
        <v>203</v>
      </c>
      <c r="C9" s="58" t="s">
        <v>204</v>
      </c>
      <c r="D9" s="50"/>
      <c r="E9" s="51">
        <f>SUM(E10,E17)*100/8</f>
        <v>0</v>
      </c>
      <c r="G9" s="29"/>
      <c r="H9" s="29"/>
      <c r="I9" s="29"/>
      <c r="J9" s="29"/>
      <c r="K9" s="29"/>
      <c r="L9" s="29"/>
      <c r="M9" s="29"/>
      <c r="N9" s="29"/>
      <c r="O9" s="29"/>
      <c r="P9" s="29"/>
      <c r="Q9" s="29"/>
      <c r="R9" s="29"/>
      <c r="S9" s="29"/>
      <c r="T9" s="29"/>
      <c r="U9" s="29"/>
      <c r="V9" s="29"/>
      <c r="W9" s="29"/>
      <c r="X9" s="29"/>
    </row>
    <row r="10" spans="1:24" ht="15">
      <c r="A10" s="29"/>
      <c r="B10" s="42" t="s">
        <v>205</v>
      </c>
      <c r="C10" s="42" t="s">
        <v>206</v>
      </c>
      <c r="D10" s="53"/>
      <c r="E10" s="43">
        <f>VLOOKUP('Crime-Check Entity'!D5,C:D,2,FALSE)</f>
        <v>0</v>
      </c>
      <c r="G10" s="29"/>
      <c r="H10" s="29"/>
      <c r="I10" s="29"/>
      <c r="J10" s="29"/>
      <c r="K10" s="29"/>
      <c r="L10" s="29"/>
      <c r="M10" s="29"/>
      <c r="N10" s="29"/>
      <c r="O10" s="29"/>
      <c r="P10" s="29"/>
      <c r="Q10" s="29"/>
      <c r="R10" s="29"/>
      <c r="S10" s="29"/>
      <c r="T10" s="29"/>
      <c r="U10" s="29"/>
      <c r="V10" s="29"/>
      <c r="W10" s="29"/>
      <c r="X10" s="29"/>
    </row>
    <row r="11" spans="1:24" ht="15">
      <c r="A11" s="29"/>
      <c r="B11" s="41"/>
      <c r="C11" s="59" t="s">
        <v>207</v>
      </c>
      <c r="D11" s="53">
        <v>4</v>
      </c>
      <c r="E11" s="516"/>
      <c r="G11" s="29"/>
      <c r="H11" s="29"/>
      <c r="I11" s="29"/>
      <c r="J11" s="29"/>
      <c r="K11" s="29"/>
      <c r="L11" s="29"/>
      <c r="M11" s="29"/>
      <c r="N11" s="29"/>
      <c r="O11" s="29"/>
      <c r="P11" s="29"/>
      <c r="Q11" s="29"/>
      <c r="R11" s="29"/>
      <c r="S11" s="29"/>
      <c r="T11" s="29"/>
      <c r="U11" s="29"/>
      <c r="V11" s="29"/>
      <c r="W11" s="29"/>
      <c r="X11" s="29"/>
    </row>
    <row r="12" spans="1:24" ht="15">
      <c r="A12" s="29"/>
      <c r="B12" s="41"/>
      <c r="C12" s="59" t="s">
        <v>208</v>
      </c>
      <c r="D12" s="53">
        <v>3</v>
      </c>
      <c r="E12" s="517"/>
      <c r="G12" s="29"/>
      <c r="H12" s="29"/>
      <c r="I12" s="29"/>
      <c r="J12" s="29"/>
      <c r="K12" s="29"/>
      <c r="L12" s="29"/>
      <c r="M12" s="29"/>
      <c r="N12" s="29"/>
      <c r="O12" s="29"/>
      <c r="P12" s="29"/>
      <c r="Q12" s="29"/>
      <c r="R12" s="29"/>
      <c r="S12" s="29"/>
      <c r="T12" s="29"/>
      <c r="U12" s="29"/>
      <c r="V12" s="29"/>
      <c r="W12" s="29"/>
      <c r="X12" s="29"/>
    </row>
    <row r="13" spans="1:24" ht="15">
      <c r="A13" s="29"/>
      <c r="B13" s="41"/>
      <c r="C13" s="59" t="s">
        <v>209</v>
      </c>
      <c r="D13" s="53">
        <v>2</v>
      </c>
      <c r="E13" s="517"/>
      <c r="G13" s="29"/>
      <c r="H13" s="29"/>
      <c r="I13" s="29"/>
      <c r="J13" s="29"/>
      <c r="K13" s="29"/>
      <c r="L13" s="29"/>
      <c r="M13" s="29"/>
      <c r="N13" s="29"/>
      <c r="O13" s="29"/>
      <c r="P13" s="29"/>
      <c r="Q13" s="29"/>
      <c r="R13" s="29"/>
      <c r="S13" s="29"/>
      <c r="T13" s="29"/>
      <c r="U13" s="29"/>
      <c r="V13" s="29"/>
      <c r="W13" s="29"/>
      <c r="X13" s="29"/>
    </row>
    <row r="14" spans="1:24" ht="15">
      <c r="A14" s="29"/>
      <c r="B14" s="41"/>
      <c r="C14" s="41" t="s">
        <v>210</v>
      </c>
      <c r="D14" s="53">
        <v>1</v>
      </c>
      <c r="E14" s="517"/>
      <c r="G14" s="29"/>
      <c r="H14" s="29"/>
      <c r="I14" s="29"/>
      <c r="J14" s="29"/>
      <c r="K14" s="29"/>
      <c r="L14" s="29"/>
      <c r="M14" s="29"/>
      <c r="N14" s="29"/>
      <c r="O14" s="29"/>
      <c r="P14" s="29"/>
      <c r="Q14" s="29"/>
      <c r="R14" s="29"/>
      <c r="S14" s="29"/>
      <c r="T14" s="29"/>
      <c r="U14" s="29"/>
      <c r="V14" s="29"/>
      <c r="W14" s="29"/>
      <c r="X14" s="29"/>
    </row>
    <row r="15" spans="1:24" ht="15">
      <c r="A15" s="29"/>
      <c r="C15" s="29" t="s">
        <v>211</v>
      </c>
      <c r="D15" s="53">
        <v>0</v>
      </c>
      <c r="E15" s="518"/>
      <c r="G15" s="29"/>
      <c r="H15" s="29"/>
      <c r="I15" s="29"/>
      <c r="J15" s="29"/>
      <c r="K15" s="29"/>
      <c r="L15" s="29"/>
      <c r="M15" s="29"/>
      <c r="N15" s="29"/>
      <c r="O15" s="29"/>
      <c r="P15" s="29"/>
      <c r="Q15" s="29"/>
      <c r="R15" s="29"/>
      <c r="S15" s="29"/>
      <c r="T15" s="29"/>
      <c r="U15" s="29"/>
      <c r="V15" s="29"/>
      <c r="W15" s="29"/>
      <c r="X15" s="29"/>
    </row>
    <row r="16" spans="1:24" ht="15">
      <c r="A16" s="29"/>
      <c r="B16" s="41"/>
      <c r="C16" s="60"/>
      <c r="D16" s="60"/>
      <c r="E16" s="60"/>
      <c r="G16" s="29"/>
      <c r="H16" s="29"/>
      <c r="I16" s="29"/>
      <c r="J16" s="29"/>
      <c r="K16" s="29"/>
      <c r="L16" s="29"/>
      <c r="M16" s="29"/>
      <c r="N16" s="29"/>
      <c r="O16" s="29"/>
      <c r="P16" s="29"/>
      <c r="Q16" s="29"/>
      <c r="R16" s="29"/>
      <c r="S16" s="29"/>
      <c r="T16" s="29"/>
      <c r="U16" s="29"/>
      <c r="V16" s="29"/>
      <c r="W16" s="29"/>
      <c r="X16" s="29"/>
    </row>
    <row r="17" spans="1:24" ht="15">
      <c r="A17" s="29"/>
      <c r="B17" s="42" t="s">
        <v>212</v>
      </c>
      <c r="C17" s="42" t="s">
        <v>213</v>
      </c>
      <c r="D17" s="53"/>
      <c r="E17" s="43">
        <f>IF('Crime-Check Entity'!L3=0,3,IF('Crime-Check Entity'!L3=1,2,IF('Crime-Check Entity'!L3&lt;=3,1,0)))</f>
        <v>0</v>
      </c>
      <c r="G17" s="29"/>
      <c r="H17" s="29"/>
      <c r="I17" s="29"/>
      <c r="J17" s="29"/>
      <c r="K17" s="29"/>
      <c r="L17" s="29"/>
      <c r="M17" s="29"/>
      <c r="N17" s="29"/>
      <c r="O17" s="29"/>
      <c r="P17" s="29"/>
      <c r="Q17" s="29"/>
      <c r="R17" s="29"/>
      <c r="S17" s="29"/>
      <c r="T17" s="29"/>
      <c r="U17" s="29"/>
      <c r="V17" s="29"/>
      <c r="W17" s="29"/>
      <c r="X17" s="29"/>
    </row>
    <row r="18" spans="1:24" ht="15">
      <c r="A18" s="29"/>
      <c r="C18" s="59">
        <v>0</v>
      </c>
      <c r="D18" s="53">
        <v>3</v>
      </c>
      <c r="E18" s="516"/>
      <c r="G18" s="29"/>
      <c r="H18" s="29"/>
      <c r="I18" s="29"/>
      <c r="J18" s="29"/>
      <c r="K18" s="29"/>
      <c r="L18" s="29"/>
      <c r="M18" s="29"/>
      <c r="N18" s="29"/>
      <c r="O18" s="29"/>
      <c r="P18" s="29"/>
      <c r="Q18" s="29"/>
      <c r="R18" s="29"/>
      <c r="S18" s="29"/>
      <c r="T18" s="29"/>
      <c r="U18" s="29"/>
      <c r="V18" s="29"/>
      <c r="W18" s="29"/>
      <c r="X18" s="29"/>
    </row>
    <row r="19" spans="1:24" ht="15">
      <c r="A19" s="29"/>
      <c r="B19" s="41"/>
      <c r="C19" s="59">
        <v>1</v>
      </c>
      <c r="D19" s="53">
        <v>2</v>
      </c>
      <c r="E19" s="517"/>
      <c r="G19" s="29"/>
      <c r="H19" s="29"/>
      <c r="I19" s="29"/>
      <c r="J19" s="29"/>
      <c r="K19" s="29"/>
      <c r="L19" s="29"/>
      <c r="M19" s="29"/>
      <c r="N19" s="29"/>
      <c r="O19" s="29"/>
      <c r="P19" s="29"/>
      <c r="Q19" s="29"/>
      <c r="R19" s="29"/>
      <c r="S19" s="29"/>
      <c r="T19" s="29"/>
      <c r="U19" s="29"/>
      <c r="V19" s="29"/>
      <c r="W19" s="29"/>
      <c r="X19" s="29"/>
    </row>
    <row r="20" spans="1:24" ht="15">
      <c r="A20" s="29"/>
      <c r="B20" s="41"/>
      <c r="C20" s="59" t="s">
        <v>214</v>
      </c>
      <c r="D20" s="53">
        <v>1</v>
      </c>
      <c r="E20" s="518"/>
      <c r="G20" s="29"/>
      <c r="H20" s="29"/>
      <c r="I20" s="29"/>
      <c r="J20" s="29"/>
      <c r="K20" s="29"/>
      <c r="L20" s="29"/>
      <c r="M20" s="29"/>
      <c r="N20" s="29"/>
      <c r="O20" s="29"/>
      <c r="P20" s="29"/>
      <c r="Q20" s="29"/>
      <c r="R20" s="29"/>
      <c r="S20" s="29"/>
      <c r="T20" s="29"/>
      <c r="U20" s="29"/>
      <c r="V20" s="29"/>
      <c r="W20" s="29"/>
      <c r="X20" s="29"/>
    </row>
    <row r="21" spans="1:24" ht="15">
      <c r="A21" s="29"/>
      <c r="B21" s="42"/>
      <c r="C21" s="59" t="s">
        <v>215</v>
      </c>
      <c r="D21" s="53">
        <v>0</v>
      </c>
      <c r="E21" s="60"/>
      <c r="G21" s="29"/>
      <c r="H21" s="29"/>
      <c r="I21" s="29"/>
      <c r="J21" s="29"/>
      <c r="K21" s="29"/>
      <c r="L21" s="29"/>
      <c r="M21" s="29"/>
      <c r="N21" s="29"/>
      <c r="O21" s="29"/>
      <c r="P21" s="29"/>
      <c r="Q21" s="29"/>
      <c r="R21" s="29"/>
      <c r="S21" s="29"/>
      <c r="T21" s="29"/>
      <c r="U21" s="29"/>
      <c r="V21" s="29"/>
      <c r="W21" s="29"/>
      <c r="X21" s="29"/>
    </row>
    <row r="22" spans="1:24" ht="15">
      <c r="A22" s="29"/>
      <c r="B22" s="44" t="s">
        <v>216</v>
      </c>
      <c r="C22" s="45" t="s">
        <v>217</v>
      </c>
      <c r="D22" s="46"/>
      <c r="E22" s="46"/>
      <c r="G22" s="29"/>
      <c r="H22" s="29"/>
      <c r="I22" s="29"/>
      <c r="J22" s="29"/>
      <c r="K22" s="29"/>
      <c r="L22" s="29"/>
      <c r="M22" s="29"/>
      <c r="N22" s="29"/>
      <c r="O22" s="29"/>
      <c r="P22" s="29"/>
      <c r="Q22" s="29"/>
      <c r="R22" s="29"/>
      <c r="S22" s="29"/>
      <c r="T22" s="29"/>
      <c r="U22" s="29"/>
      <c r="V22" s="29"/>
      <c r="W22" s="29"/>
      <c r="X22" s="29"/>
    </row>
    <row r="23" spans="1:24" ht="15">
      <c r="A23" s="29"/>
      <c r="B23" s="42" t="s">
        <v>218</v>
      </c>
      <c r="C23" s="58" t="s">
        <v>219</v>
      </c>
      <c r="D23" s="50"/>
      <c r="E23" s="51">
        <f>SUM(E24,E31)*100/8</f>
        <v>87.5</v>
      </c>
      <c r="G23" s="29"/>
      <c r="H23" s="29"/>
      <c r="I23" s="29"/>
      <c r="J23" s="29"/>
      <c r="K23" s="29"/>
      <c r="L23" s="29"/>
      <c r="M23" s="29"/>
      <c r="N23" s="29"/>
      <c r="O23" s="29"/>
      <c r="P23" s="29"/>
      <c r="Q23" s="29"/>
      <c r="R23" s="29"/>
      <c r="S23" s="29"/>
      <c r="T23" s="29"/>
      <c r="U23" s="29"/>
      <c r="V23" s="29"/>
      <c r="W23" s="29"/>
      <c r="X23" s="29"/>
    </row>
    <row r="24" spans="1:24" ht="15">
      <c r="A24" s="29"/>
      <c r="B24" s="42" t="s">
        <v>220</v>
      </c>
      <c r="C24" s="42" t="s">
        <v>221</v>
      </c>
      <c r="D24" s="53"/>
      <c r="E24" s="43">
        <f>VLOOKUP('Crime-Check Promoter'!D5,C:D,2,FALSE)</f>
        <v>4</v>
      </c>
      <c r="G24" s="29"/>
      <c r="H24" s="29"/>
      <c r="I24" s="29"/>
      <c r="J24" s="29"/>
      <c r="K24" s="29"/>
      <c r="L24" s="29"/>
      <c r="M24" s="29"/>
      <c r="N24" s="29"/>
      <c r="O24" s="29"/>
      <c r="P24" s="29"/>
      <c r="Q24" s="29"/>
      <c r="R24" s="29"/>
      <c r="S24" s="29"/>
      <c r="T24" s="29"/>
      <c r="U24" s="29"/>
      <c r="V24" s="29"/>
      <c r="W24" s="29"/>
      <c r="X24" s="29"/>
    </row>
    <row r="25" spans="1:24" ht="15">
      <c r="A25" s="29"/>
      <c r="B25" s="41"/>
      <c r="C25" s="59" t="s">
        <v>222</v>
      </c>
      <c r="D25" s="53">
        <v>4</v>
      </c>
      <c r="E25" s="516"/>
      <c r="G25" s="29"/>
      <c r="H25" s="29"/>
      <c r="I25" s="29"/>
      <c r="J25" s="29"/>
      <c r="K25" s="29"/>
      <c r="L25" s="29"/>
      <c r="M25" s="29"/>
      <c r="N25" s="29"/>
      <c r="O25" s="29"/>
      <c r="P25" s="29"/>
      <c r="Q25" s="29"/>
      <c r="R25" s="29"/>
      <c r="S25" s="29"/>
      <c r="T25" s="29"/>
      <c r="U25" s="29"/>
      <c r="V25" s="29"/>
      <c r="W25" s="29"/>
      <c r="X25" s="29"/>
    </row>
    <row r="26" spans="1:24" ht="15">
      <c r="A26" s="29"/>
      <c r="B26" s="41"/>
      <c r="C26" s="59" t="s">
        <v>223</v>
      </c>
      <c r="D26" s="53">
        <v>3</v>
      </c>
      <c r="E26" s="517"/>
      <c r="G26" s="29"/>
      <c r="H26" s="29"/>
      <c r="I26" s="29"/>
      <c r="J26" s="29"/>
      <c r="K26" s="29"/>
      <c r="L26" s="29"/>
      <c r="M26" s="29"/>
      <c r="N26" s="29"/>
      <c r="O26" s="29"/>
      <c r="P26" s="29"/>
      <c r="Q26" s="29"/>
      <c r="R26" s="29"/>
      <c r="S26" s="29"/>
      <c r="T26" s="29"/>
      <c r="U26" s="29"/>
      <c r="V26" s="29"/>
      <c r="W26" s="29"/>
      <c r="X26" s="29"/>
    </row>
    <row r="27" spans="1:24" ht="15">
      <c r="A27" s="29"/>
      <c r="B27" s="41"/>
      <c r="C27" s="59" t="s">
        <v>224</v>
      </c>
      <c r="D27" s="53">
        <v>2</v>
      </c>
      <c r="E27" s="517"/>
      <c r="G27" s="29"/>
      <c r="H27" s="29"/>
      <c r="I27" s="29"/>
      <c r="J27" s="29"/>
      <c r="K27" s="29"/>
      <c r="L27" s="29"/>
      <c r="M27" s="29"/>
      <c r="N27" s="29"/>
      <c r="O27" s="29"/>
      <c r="P27" s="29"/>
      <c r="Q27" s="29"/>
      <c r="R27" s="29"/>
      <c r="S27" s="29"/>
      <c r="T27" s="29"/>
      <c r="U27" s="29"/>
      <c r="V27" s="29"/>
      <c r="W27" s="29"/>
      <c r="X27" s="29"/>
    </row>
    <row r="28" spans="1:24" ht="15">
      <c r="A28" s="29"/>
      <c r="B28" s="41"/>
      <c r="C28" s="41" t="s">
        <v>225</v>
      </c>
      <c r="D28" s="53">
        <v>1</v>
      </c>
      <c r="E28" s="517"/>
      <c r="G28" s="29"/>
      <c r="H28" s="29"/>
      <c r="I28" s="29"/>
      <c r="J28" s="29"/>
      <c r="K28" s="29"/>
      <c r="L28" s="29"/>
      <c r="M28" s="29"/>
      <c r="N28" s="29"/>
      <c r="O28" s="29"/>
      <c r="P28" s="29"/>
      <c r="Q28" s="29"/>
      <c r="R28" s="29"/>
      <c r="S28" s="29"/>
      <c r="T28" s="29"/>
      <c r="U28" s="29"/>
      <c r="V28" s="29"/>
      <c r="W28" s="29"/>
      <c r="X28" s="29"/>
    </row>
    <row r="29" spans="1:24" ht="15">
      <c r="A29" s="29"/>
      <c r="C29" s="29" t="s">
        <v>226</v>
      </c>
      <c r="D29" s="53">
        <v>0</v>
      </c>
      <c r="E29" s="518"/>
      <c r="G29" s="29"/>
      <c r="H29" s="29"/>
      <c r="I29" s="29"/>
      <c r="J29" s="29"/>
      <c r="K29" s="29"/>
      <c r="L29" s="29"/>
      <c r="M29" s="29"/>
      <c r="N29" s="29"/>
      <c r="O29" s="29"/>
      <c r="P29" s="29"/>
      <c r="Q29" s="29"/>
      <c r="R29" s="29"/>
      <c r="S29" s="29"/>
      <c r="T29" s="29"/>
      <c r="U29" s="29"/>
      <c r="V29" s="29"/>
      <c r="W29" s="29"/>
      <c r="X29" s="29"/>
    </row>
    <row r="30" spans="1:24" ht="15">
      <c r="A30" s="29"/>
      <c r="B30" s="41"/>
      <c r="C30" s="60"/>
      <c r="D30" s="60"/>
      <c r="E30" s="60"/>
      <c r="G30" s="29"/>
      <c r="H30" s="29"/>
      <c r="I30" s="29"/>
      <c r="J30" s="29"/>
      <c r="K30" s="29"/>
      <c r="L30" s="29"/>
      <c r="M30" s="29"/>
      <c r="N30" s="29"/>
      <c r="O30" s="29"/>
      <c r="P30" s="29"/>
      <c r="Q30" s="29"/>
      <c r="R30" s="29"/>
      <c r="S30" s="29"/>
      <c r="T30" s="29"/>
      <c r="U30" s="29"/>
      <c r="V30" s="29"/>
      <c r="W30" s="29"/>
      <c r="X30" s="29"/>
    </row>
    <row r="31" spans="1:24" ht="15">
      <c r="A31" s="29"/>
      <c r="B31" s="42" t="s">
        <v>227</v>
      </c>
      <c r="C31" s="42" t="s">
        <v>228</v>
      </c>
      <c r="D31" s="53"/>
      <c r="E31" s="43">
        <f>IF('Crime-Check Promoter'!L3=0,3,IF('Crime-Check Promoter'!L3=1,2,IF('Crime-Check Promoter'!L3&lt;=3,1,0)))</f>
        <v>3</v>
      </c>
      <c r="G31" s="29"/>
      <c r="H31" s="29"/>
      <c r="I31" s="29"/>
      <c r="J31" s="29"/>
      <c r="K31" s="29"/>
      <c r="L31" s="29"/>
      <c r="M31" s="29"/>
      <c r="N31" s="29"/>
      <c r="O31" s="29"/>
      <c r="P31" s="29"/>
      <c r="Q31" s="29"/>
      <c r="R31" s="29"/>
      <c r="S31" s="29"/>
      <c r="T31" s="29"/>
      <c r="U31" s="29"/>
      <c r="V31" s="29"/>
      <c r="W31" s="29"/>
      <c r="X31" s="29"/>
    </row>
    <row r="32" spans="1:24" ht="15">
      <c r="A32" s="29"/>
      <c r="C32" s="59">
        <v>0</v>
      </c>
      <c r="D32" s="53">
        <v>3</v>
      </c>
      <c r="E32" s="516"/>
      <c r="G32" s="29"/>
      <c r="H32" s="29"/>
      <c r="I32" s="29"/>
      <c r="J32" s="29"/>
      <c r="K32" s="29"/>
      <c r="L32" s="29"/>
      <c r="M32" s="29"/>
      <c r="N32" s="29"/>
      <c r="O32" s="29"/>
      <c r="P32" s="29"/>
      <c r="Q32" s="29"/>
      <c r="R32" s="29"/>
      <c r="S32" s="29"/>
      <c r="T32" s="29"/>
      <c r="U32" s="29"/>
      <c r="V32" s="29"/>
      <c r="W32" s="29"/>
      <c r="X32" s="29"/>
    </row>
    <row r="33" spans="1:24" ht="15">
      <c r="A33" s="29"/>
      <c r="B33" s="41"/>
      <c r="C33" s="59">
        <v>1</v>
      </c>
      <c r="D33" s="53">
        <v>2</v>
      </c>
      <c r="E33" s="517"/>
      <c r="G33" s="29"/>
      <c r="H33" s="29"/>
      <c r="I33" s="29"/>
      <c r="J33" s="29"/>
      <c r="K33" s="29"/>
      <c r="L33" s="29"/>
      <c r="M33" s="29"/>
      <c r="N33" s="29"/>
      <c r="O33" s="29"/>
      <c r="P33" s="29"/>
      <c r="Q33" s="29"/>
      <c r="R33" s="29"/>
      <c r="S33" s="29"/>
      <c r="T33" s="29"/>
      <c r="U33" s="29"/>
      <c r="V33" s="29"/>
      <c r="W33" s="29"/>
      <c r="X33" s="29"/>
    </row>
    <row r="34" spans="1:24" ht="15">
      <c r="A34" s="29"/>
      <c r="B34" s="41"/>
      <c r="C34" s="59" t="s">
        <v>229</v>
      </c>
      <c r="D34" s="53">
        <v>1</v>
      </c>
      <c r="E34" s="518"/>
      <c r="G34" s="29"/>
      <c r="H34" s="29"/>
      <c r="I34" s="29"/>
      <c r="J34" s="29"/>
      <c r="K34" s="29"/>
      <c r="L34" s="29"/>
      <c r="M34" s="29"/>
      <c r="N34" s="29"/>
      <c r="O34" s="29"/>
      <c r="P34" s="29"/>
      <c r="Q34" s="29"/>
      <c r="R34" s="29"/>
      <c r="S34" s="29"/>
      <c r="T34" s="29"/>
      <c r="U34" s="29"/>
      <c r="V34" s="29"/>
      <c r="W34" s="29"/>
      <c r="X34" s="29"/>
    </row>
    <row r="35" spans="1:24" ht="15">
      <c r="A35" s="29"/>
      <c r="B35" s="42"/>
      <c r="C35" s="59" t="s">
        <v>230</v>
      </c>
      <c r="D35" s="53">
        <v>0</v>
      </c>
      <c r="E35" s="60"/>
      <c r="G35" s="29"/>
      <c r="H35" s="29"/>
      <c r="I35" s="29"/>
      <c r="J35" s="29"/>
      <c r="K35" s="29"/>
      <c r="L35" s="29"/>
      <c r="M35" s="29"/>
      <c r="N35" s="29"/>
      <c r="O35" s="29"/>
      <c r="P35" s="29"/>
      <c r="Q35" s="29"/>
      <c r="R35" s="29"/>
      <c r="S35" s="29"/>
      <c r="T35" s="29"/>
      <c r="U35" s="29"/>
      <c r="V35" s="29"/>
      <c r="W35" s="29"/>
      <c r="X35" s="29"/>
    </row>
    <row r="36" spans="1:24" ht="15">
      <c r="A36" s="29"/>
      <c r="B36" s="29"/>
      <c r="C36" s="29"/>
      <c r="D36" s="33"/>
      <c r="E36" s="33"/>
      <c r="G36" s="29"/>
      <c r="H36" s="29"/>
      <c r="I36" s="29"/>
      <c r="J36" s="29"/>
      <c r="K36" s="29"/>
      <c r="L36" s="29"/>
      <c r="M36" s="29"/>
      <c r="N36" s="29"/>
      <c r="O36" s="29"/>
      <c r="P36" s="29"/>
      <c r="Q36" s="29"/>
      <c r="R36" s="29"/>
      <c r="S36" s="29"/>
      <c r="T36" s="29"/>
      <c r="U36" s="29"/>
      <c r="V36" s="29"/>
      <c r="W36" s="29"/>
      <c r="X36" s="29"/>
    </row>
    <row r="37" spans="1:24" ht="15">
      <c r="A37" s="29"/>
      <c r="B37" s="29"/>
      <c r="C37" s="29"/>
      <c r="D37" s="33"/>
      <c r="E37" s="33"/>
      <c r="G37" s="29"/>
      <c r="H37" s="29"/>
      <c r="I37" s="29"/>
      <c r="J37" s="29"/>
      <c r="K37" s="29"/>
      <c r="L37" s="29"/>
      <c r="M37" s="29"/>
      <c r="N37" s="29"/>
      <c r="O37" s="29"/>
      <c r="P37" s="29"/>
      <c r="Q37" s="29"/>
      <c r="R37" s="29"/>
      <c r="S37" s="29"/>
      <c r="T37" s="29"/>
      <c r="U37" s="29"/>
      <c r="V37" s="29"/>
      <c r="W37" s="29"/>
      <c r="X37" s="29"/>
    </row>
    <row r="38" spans="1:24" ht="15">
      <c r="A38" s="29"/>
      <c r="B38" s="29"/>
      <c r="C38" s="29"/>
      <c r="D38" s="33"/>
      <c r="E38" s="33"/>
      <c r="G38" s="29"/>
      <c r="H38" s="29"/>
      <c r="I38" s="29"/>
      <c r="J38" s="29"/>
      <c r="K38" s="29"/>
      <c r="L38" s="29"/>
      <c r="M38" s="29"/>
      <c r="N38" s="29"/>
      <c r="O38" s="29"/>
      <c r="P38" s="29"/>
      <c r="Q38" s="29"/>
      <c r="R38" s="29"/>
      <c r="S38" s="29"/>
      <c r="T38" s="29"/>
      <c r="U38" s="29"/>
      <c r="V38" s="29"/>
      <c r="W38" s="29"/>
      <c r="X38" s="29"/>
    </row>
    <row r="39" spans="1:24" ht="15">
      <c r="A39" s="29"/>
      <c r="B39" s="29"/>
      <c r="C39" s="29"/>
      <c r="D39" s="33"/>
      <c r="E39" s="33"/>
      <c r="G39" s="29"/>
      <c r="H39" s="29"/>
      <c r="I39" s="29"/>
      <c r="J39" s="29"/>
      <c r="K39" s="29"/>
      <c r="L39" s="29"/>
      <c r="M39" s="29"/>
      <c r="N39" s="29"/>
      <c r="O39" s="29"/>
      <c r="P39" s="29"/>
      <c r="Q39" s="29"/>
      <c r="R39" s="29"/>
      <c r="S39" s="29"/>
      <c r="T39" s="29"/>
      <c r="U39" s="29"/>
      <c r="V39" s="29"/>
      <c r="W39" s="29"/>
      <c r="X39" s="29"/>
    </row>
    <row r="40" spans="1:24" ht="15">
      <c r="A40" s="29"/>
      <c r="B40" s="29"/>
      <c r="C40" s="29"/>
      <c r="D40" s="33"/>
      <c r="E40" s="33"/>
      <c r="G40" s="29"/>
      <c r="H40" s="29"/>
      <c r="I40" s="29"/>
      <c r="J40" s="29"/>
      <c r="K40" s="29"/>
      <c r="L40" s="29"/>
      <c r="M40" s="29"/>
      <c r="N40" s="29"/>
      <c r="O40" s="29"/>
      <c r="P40" s="29"/>
      <c r="Q40" s="29"/>
      <c r="R40" s="29"/>
      <c r="S40" s="29"/>
      <c r="T40" s="29"/>
      <c r="U40" s="29"/>
      <c r="V40" s="29"/>
      <c r="W40" s="29"/>
      <c r="X40" s="29"/>
    </row>
    <row r="41" spans="1:24" ht="15">
      <c r="A41" s="29"/>
      <c r="B41" s="29"/>
      <c r="C41" s="29"/>
      <c r="D41" s="33"/>
      <c r="E41" s="33"/>
      <c r="G41" s="29"/>
      <c r="H41" s="29"/>
      <c r="I41" s="29"/>
      <c r="J41" s="29"/>
      <c r="K41" s="29"/>
      <c r="L41" s="29"/>
      <c r="M41" s="29"/>
      <c r="N41" s="29"/>
      <c r="O41" s="29"/>
      <c r="P41" s="29"/>
      <c r="Q41" s="29"/>
      <c r="R41" s="29"/>
      <c r="S41" s="29"/>
      <c r="T41" s="29"/>
      <c r="U41" s="29"/>
      <c r="V41" s="29"/>
      <c r="W41" s="29"/>
      <c r="X41" s="29"/>
    </row>
    <row r="42" spans="1:24" ht="15">
      <c r="A42" s="29"/>
      <c r="B42" s="29"/>
      <c r="C42" s="29"/>
      <c r="D42" s="33"/>
      <c r="E42" s="33"/>
      <c r="G42" s="29"/>
      <c r="H42" s="29"/>
      <c r="I42" s="29"/>
      <c r="J42" s="29"/>
      <c r="K42" s="29"/>
      <c r="L42" s="29"/>
      <c r="M42" s="29"/>
      <c r="N42" s="29"/>
      <c r="O42" s="29"/>
      <c r="P42" s="29"/>
      <c r="Q42" s="29"/>
      <c r="R42" s="29"/>
      <c r="S42" s="29"/>
      <c r="T42" s="29"/>
      <c r="U42" s="29"/>
      <c r="V42" s="29"/>
      <c r="W42" s="29"/>
      <c r="X42" s="29"/>
    </row>
    <row r="43" spans="1:24" ht="15">
      <c r="A43" s="29"/>
      <c r="B43" s="29"/>
      <c r="C43" s="29"/>
      <c r="D43" s="33"/>
      <c r="E43" s="33"/>
      <c r="G43" s="29"/>
      <c r="H43" s="29"/>
      <c r="I43" s="29"/>
      <c r="J43" s="29"/>
      <c r="K43" s="29"/>
      <c r="L43" s="29"/>
      <c r="M43" s="29"/>
      <c r="N43" s="29"/>
      <c r="O43" s="29"/>
      <c r="P43" s="29"/>
      <c r="Q43" s="29"/>
      <c r="R43" s="29"/>
      <c r="S43" s="29"/>
      <c r="T43" s="29"/>
      <c r="U43" s="29"/>
      <c r="V43" s="29"/>
      <c r="W43" s="29"/>
      <c r="X43" s="29"/>
    </row>
    <row r="44" spans="1:24" ht="15">
      <c r="A44" s="29"/>
      <c r="B44" s="29"/>
      <c r="C44" s="29"/>
      <c r="D44" s="33"/>
      <c r="E44" s="33"/>
      <c r="G44" s="29"/>
      <c r="H44" s="29"/>
      <c r="I44" s="29"/>
      <c r="J44" s="29"/>
      <c r="K44" s="29"/>
      <c r="L44" s="29"/>
      <c r="M44" s="29"/>
      <c r="N44" s="29"/>
      <c r="O44" s="29"/>
      <c r="P44" s="29"/>
      <c r="Q44" s="29"/>
      <c r="R44" s="29"/>
      <c r="S44" s="29"/>
      <c r="T44" s="29"/>
      <c r="U44" s="29"/>
      <c r="V44" s="29"/>
      <c r="W44" s="29"/>
      <c r="X44" s="29"/>
    </row>
    <row r="45" spans="1:24" ht="15">
      <c r="A45" s="29"/>
      <c r="B45" s="29"/>
      <c r="C45" s="29"/>
      <c r="D45" s="33"/>
      <c r="E45" s="33"/>
      <c r="G45" s="29"/>
      <c r="H45" s="29"/>
      <c r="I45" s="29"/>
      <c r="J45" s="29"/>
      <c r="K45" s="29"/>
      <c r="L45" s="29"/>
      <c r="M45" s="29"/>
      <c r="N45" s="29"/>
      <c r="O45" s="29"/>
      <c r="P45" s="29"/>
      <c r="Q45" s="29"/>
      <c r="R45" s="29"/>
      <c r="S45" s="29"/>
      <c r="T45" s="29"/>
      <c r="U45" s="29"/>
      <c r="V45" s="29"/>
      <c r="W45" s="29"/>
      <c r="X45" s="29"/>
    </row>
    <row r="46" spans="1:24" ht="15">
      <c r="A46" s="29"/>
      <c r="B46" s="29"/>
      <c r="C46" s="29"/>
      <c r="D46" s="33"/>
      <c r="E46" s="33"/>
      <c r="G46" s="29"/>
      <c r="H46" s="29"/>
      <c r="I46" s="29"/>
      <c r="J46" s="29"/>
      <c r="K46" s="29"/>
      <c r="L46" s="29"/>
      <c r="M46" s="29"/>
      <c r="N46" s="29"/>
      <c r="O46" s="29"/>
      <c r="P46" s="29"/>
      <c r="Q46" s="29"/>
      <c r="R46" s="29"/>
      <c r="S46" s="29"/>
      <c r="T46" s="29"/>
      <c r="U46" s="29"/>
      <c r="V46" s="29"/>
      <c r="W46" s="29"/>
      <c r="X46" s="29"/>
    </row>
    <row r="47" spans="1:24" ht="15">
      <c r="A47" s="29"/>
      <c r="B47" s="29"/>
      <c r="C47" s="29"/>
      <c r="D47" s="33"/>
      <c r="E47" s="33"/>
      <c r="G47" s="29"/>
      <c r="H47" s="29"/>
      <c r="I47" s="29"/>
      <c r="J47" s="29"/>
      <c r="K47" s="29"/>
      <c r="L47" s="29"/>
      <c r="M47" s="29"/>
      <c r="N47" s="29"/>
      <c r="O47" s="29"/>
      <c r="P47" s="29"/>
      <c r="Q47" s="29"/>
      <c r="R47" s="29"/>
      <c r="S47" s="29"/>
      <c r="T47" s="29"/>
      <c r="U47" s="29"/>
      <c r="V47" s="29"/>
      <c r="W47" s="29"/>
      <c r="X47" s="29"/>
    </row>
    <row r="48" spans="1:24" ht="15">
      <c r="A48" s="29"/>
      <c r="B48" s="29"/>
      <c r="C48" s="29"/>
      <c r="D48" s="33"/>
      <c r="E48" s="33"/>
      <c r="G48" s="29"/>
      <c r="H48" s="29"/>
      <c r="I48" s="29"/>
      <c r="J48" s="29"/>
      <c r="K48" s="29"/>
      <c r="L48" s="29"/>
      <c r="M48" s="29"/>
      <c r="N48" s="29"/>
      <c r="O48" s="29"/>
      <c r="P48" s="29"/>
      <c r="Q48" s="29"/>
      <c r="R48" s="29"/>
      <c r="S48" s="29"/>
      <c r="T48" s="29"/>
      <c r="U48" s="29"/>
      <c r="V48" s="29"/>
      <c r="W48" s="29"/>
      <c r="X48" s="29"/>
    </row>
    <row r="49" spans="1:24" ht="15">
      <c r="A49" s="29"/>
      <c r="B49" s="29"/>
      <c r="C49" s="29"/>
      <c r="D49" s="33"/>
      <c r="E49" s="33"/>
      <c r="G49" s="29"/>
      <c r="H49" s="29"/>
      <c r="I49" s="29"/>
      <c r="J49" s="29"/>
      <c r="K49" s="29"/>
      <c r="L49" s="29"/>
      <c r="M49" s="29"/>
      <c r="N49" s="29"/>
      <c r="O49" s="29"/>
      <c r="P49" s="29"/>
      <c r="Q49" s="29"/>
      <c r="R49" s="29"/>
      <c r="S49" s="29"/>
      <c r="T49" s="29"/>
      <c r="U49" s="29"/>
      <c r="V49" s="29"/>
      <c r="W49" s="29"/>
      <c r="X49" s="29"/>
    </row>
    <row r="50" spans="1:24" ht="15">
      <c r="A50" s="29"/>
      <c r="B50" s="29"/>
      <c r="C50" s="29"/>
      <c r="D50" s="33"/>
      <c r="E50" s="33"/>
      <c r="G50" s="29"/>
      <c r="H50" s="29"/>
      <c r="I50" s="29"/>
      <c r="J50" s="29"/>
      <c r="K50" s="29"/>
      <c r="L50" s="29"/>
      <c r="M50" s="29"/>
      <c r="N50" s="29"/>
      <c r="O50" s="29"/>
      <c r="P50" s="29"/>
      <c r="Q50" s="29"/>
      <c r="R50" s="29"/>
      <c r="S50" s="29"/>
      <c r="T50" s="29"/>
      <c r="U50" s="29"/>
      <c r="V50" s="29"/>
      <c r="W50" s="29"/>
      <c r="X50" s="29"/>
    </row>
    <row r="51" spans="1:24" ht="15">
      <c r="A51" s="29"/>
      <c r="B51" s="29"/>
      <c r="C51" s="29"/>
      <c r="D51" s="33"/>
      <c r="E51" s="33"/>
      <c r="G51" s="29"/>
      <c r="H51" s="29"/>
      <c r="I51" s="29"/>
      <c r="J51" s="29"/>
      <c r="K51" s="29"/>
      <c r="L51" s="29"/>
      <c r="M51" s="29"/>
      <c r="N51" s="29"/>
      <c r="O51" s="29"/>
      <c r="P51" s="29"/>
      <c r="Q51" s="29"/>
      <c r="R51" s="29"/>
      <c r="S51" s="29"/>
      <c r="T51" s="29"/>
      <c r="U51" s="29"/>
      <c r="V51" s="29"/>
      <c r="W51" s="29"/>
      <c r="X51" s="29"/>
    </row>
    <row r="52" spans="1:24" ht="15">
      <c r="A52" s="29"/>
      <c r="B52" s="29"/>
      <c r="C52" s="29"/>
      <c r="D52" s="33"/>
      <c r="E52" s="33"/>
      <c r="G52" s="29"/>
      <c r="H52" s="29"/>
      <c r="I52" s="29"/>
      <c r="J52" s="29"/>
      <c r="K52" s="29"/>
      <c r="L52" s="29"/>
      <c r="M52" s="29"/>
      <c r="N52" s="29"/>
      <c r="O52" s="29"/>
      <c r="P52" s="29"/>
      <c r="Q52" s="29"/>
      <c r="R52" s="29"/>
      <c r="S52" s="29"/>
      <c r="T52" s="29"/>
      <c r="U52" s="29"/>
      <c r="V52" s="29"/>
      <c r="W52" s="29"/>
      <c r="X52" s="29"/>
    </row>
    <row r="53" spans="1:24" ht="15">
      <c r="A53" s="29"/>
      <c r="B53" s="29"/>
      <c r="C53" s="29"/>
      <c r="D53" s="33"/>
      <c r="E53" s="33"/>
      <c r="G53" s="29"/>
      <c r="H53" s="29"/>
      <c r="I53" s="29"/>
      <c r="J53" s="29"/>
      <c r="K53" s="29"/>
      <c r="L53" s="29"/>
      <c r="M53" s="29"/>
      <c r="N53" s="29"/>
      <c r="O53" s="29"/>
      <c r="P53" s="29"/>
      <c r="Q53" s="29"/>
      <c r="R53" s="29"/>
      <c r="S53" s="29"/>
      <c r="T53" s="29"/>
      <c r="U53" s="29"/>
      <c r="V53" s="29"/>
      <c r="W53" s="29"/>
      <c r="X53" s="29"/>
    </row>
    <row r="54" spans="1:24" ht="15">
      <c r="A54" s="29"/>
      <c r="B54" s="29"/>
      <c r="C54" s="29"/>
      <c r="D54" s="33"/>
      <c r="E54" s="33"/>
      <c r="G54" s="29"/>
      <c r="H54" s="29"/>
      <c r="I54" s="29"/>
      <c r="J54" s="29"/>
      <c r="K54" s="29"/>
      <c r="L54" s="29"/>
      <c r="M54" s="29"/>
      <c r="N54" s="29"/>
      <c r="O54" s="29"/>
      <c r="P54" s="29"/>
      <c r="Q54" s="29"/>
      <c r="R54" s="29"/>
      <c r="S54" s="29"/>
      <c r="T54" s="29"/>
      <c r="U54" s="29"/>
      <c r="V54" s="29"/>
      <c r="W54" s="29"/>
      <c r="X54" s="29"/>
    </row>
    <row r="55" spans="1:24" ht="15">
      <c r="A55" s="29"/>
      <c r="B55" s="29"/>
      <c r="C55" s="29"/>
      <c r="D55" s="33"/>
      <c r="E55" s="33"/>
      <c r="G55" s="29"/>
      <c r="H55" s="29"/>
      <c r="I55" s="29"/>
      <c r="J55" s="29"/>
      <c r="K55" s="29"/>
      <c r="L55" s="29"/>
      <c r="M55" s="29"/>
      <c r="N55" s="29"/>
      <c r="O55" s="29"/>
      <c r="P55" s="29"/>
      <c r="Q55" s="29"/>
      <c r="R55" s="29"/>
      <c r="S55" s="29"/>
      <c r="T55" s="29"/>
      <c r="U55" s="29"/>
      <c r="V55" s="29"/>
      <c r="W55" s="29"/>
      <c r="X55" s="29"/>
    </row>
    <row r="56" spans="1:24" ht="15">
      <c r="A56" s="29"/>
      <c r="B56" s="29"/>
      <c r="C56" s="29"/>
      <c r="D56" s="33"/>
      <c r="E56" s="33"/>
      <c r="G56" s="29"/>
      <c r="H56" s="29"/>
      <c r="I56" s="29"/>
      <c r="J56" s="29"/>
      <c r="K56" s="29"/>
      <c r="L56" s="29"/>
      <c r="M56" s="29"/>
      <c r="N56" s="29"/>
      <c r="O56" s="29"/>
      <c r="P56" s="29"/>
      <c r="Q56" s="29"/>
      <c r="R56" s="29"/>
      <c r="S56" s="29"/>
      <c r="T56" s="29"/>
      <c r="U56" s="29"/>
      <c r="V56" s="29"/>
      <c r="W56" s="29"/>
      <c r="X56" s="29"/>
    </row>
    <row r="57" spans="1:24" ht="15">
      <c r="A57" s="29"/>
      <c r="B57" s="29"/>
      <c r="C57" s="29"/>
      <c r="D57" s="33"/>
      <c r="E57" s="33"/>
      <c r="G57" s="29"/>
      <c r="H57" s="29"/>
      <c r="I57" s="29"/>
      <c r="J57" s="29"/>
      <c r="K57" s="29"/>
      <c r="L57" s="29"/>
      <c r="M57" s="29"/>
      <c r="N57" s="29"/>
      <c r="O57" s="29"/>
      <c r="P57" s="29"/>
      <c r="Q57" s="29"/>
      <c r="R57" s="29"/>
      <c r="S57" s="29"/>
      <c r="T57" s="29"/>
      <c r="U57" s="29"/>
      <c r="V57" s="29"/>
      <c r="W57" s="29"/>
      <c r="X57" s="29"/>
    </row>
    <row r="58" spans="1:24" ht="15">
      <c r="A58" s="29"/>
      <c r="B58" s="29"/>
      <c r="C58" s="29"/>
      <c r="D58" s="33"/>
      <c r="E58" s="33"/>
      <c r="G58" s="29"/>
      <c r="H58" s="29"/>
      <c r="I58" s="29"/>
      <c r="J58" s="29"/>
      <c r="K58" s="29"/>
      <c r="L58" s="29"/>
      <c r="M58" s="29"/>
      <c r="N58" s="29"/>
      <c r="O58" s="29"/>
      <c r="P58" s="29"/>
      <c r="Q58" s="29"/>
      <c r="R58" s="29"/>
      <c r="S58" s="29"/>
      <c r="T58" s="29"/>
      <c r="U58" s="29"/>
      <c r="V58" s="29"/>
      <c r="W58" s="29"/>
      <c r="X58" s="29"/>
    </row>
    <row r="59" spans="1:24" ht="15">
      <c r="A59" s="29"/>
      <c r="B59" s="29"/>
      <c r="C59" s="29"/>
      <c r="D59" s="33"/>
      <c r="E59" s="33"/>
      <c r="G59" s="29"/>
      <c r="H59" s="29"/>
      <c r="I59" s="29"/>
      <c r="J59" s="29"/>
      <c r="K59" s="29"/>
      <c r="L59" s="29"/>
      <c r="M59" s="29"/>
      <c r="N59" s="29"/>
      <c r="O59" s="29"/>
      <c r="P59" s="29"/>
      <c r="Q59" s="29"/>
      <c r="R59" s="29"/>
      <c r="S59" s="29"/>
      <c r="T59" s="29"/>
      <c r="U59" s="29"/>
      <c r="V59" s="29"/>
      <c r="W59" s="29"/>
      <c r="X59" s="29"/>
    </row>
    <row r="60" spans="1:24" ht="15">
      <c r="A60" s="29"/>
      <c r="B60" s="29"/>
      <c r="C60" s="29"/>
      <c r="D60" s="33"/>
      <c r="E60" s="33"/>
      <c r="G60" s="29"/>
      <c r="H60" s="29"/>
      <c r="I60" s="29"/>
      <c r="J60" s="29"/>
      <c r="K60" s="29"/>
      <c r="L60" s="29"/>
      <c r="M60" s="29"/>
      <c r="N60" s="29"/>
      <c r="O60" s="29"/>
      <c r="P60" s="29"/>
      <c r="Q60" s="29"/>
      <c r="R60" s="29"/>
      <c r="S60" s="29"/>
      <c r="T60" s="29"/>
      <c r="U60" s="29"/>
      <c r="V60" s="29"/>
      <c r="W60" s="29"/>
      <c r="X60" s="29"/>
    </row>
    <row r="61" spans="1:24" ht="15">
      <c r="A61" s="29"/>
      <c r="B61" s="29"/>
      <c r="C61" s="29"/>
      <c r="D61" s="33"/>
      <c r="E61" s="33"/>
      <c r="G61" s="29"/>
      <c r="H61" s="29"/>
      <c r="I61" s="29"/>
      <c r="J61" s="29"/>
      <c r="K61" s="29"/>
      <c r="L61" s="29"/>
      <c r="M61" s="29"/>
      <c r="N61" s="29"/>
      <c r="O61" s="29"/>
      <c r="P61" s="29"/>
      <c r="Q61" s="29"/>
      <c r="R61" s="29"/>
      <c r="S61" s="29"/>
      <c r="T61" s="29"/>
      <c r="U61" s="29"/>
      <c r="V61" s="29"/>
      <c r="W61" s="29"/>
      <c r="X61" s="29"/>
    </row>
    <row r="62" spans="1:24" ht="15">
      <c r="A62" s="29"/>
      <c r="B62" s="29"/>
      <c r="C62" s="29"/>
      <c r="D62" s="33"/>
      <c r="E62" s="33"/>
      <c r="G62" s="29"/>
      <c r="H62" s="29"/>
      <c r="I62" s="29"/>
      <c r="J62" s="29"/>
      <c r="K62" s="29"/>
      <c r="L62" s="29"/>
      <c r="M62" s="29"/>
      <c r="N62" s="29"/>
      <c r="O62" s="29"/>
      <c r="P62" s="29"/>
      <c r="Q62" s="29"/>
      <c r="R62" s="29"/>
      <c r="S62" s="29"/>
      <c r="T62" s="29"/>
      <c r="U62" s="29"/>
      <c r="V62" s="29"/>
      <c r="W62" s="29"/>
      <c r="X62" s="29"/>
    </row>
    <row r="63" spans="1:24" ht="15">
      <c r="A63" s="29"/>
      <c r="B63" s="29"/>
      <c r="C63" s="29"/>
      <c r="D63" s="33"/>
      <c r="E63" s="33"/>
      <c r="G63" s="29"/>
      <c r="H63" s="29"/>
      <c r="I63" s="29"/>
      <c r="J63" s="29"/>
      <c r="K63" s="29"/>
      <c r="L63" s="29"/>
      <c r="M63" s="29"/>
      <c r="N63" s="29"/>
      <c r="O63" s="29"/>
      <c r="P63" s="29"/>
      <c r="Q63" s="29"/>
      <c r="R63" s="29"/>
      <c r="S63" s="29"/>
      <c r="T63" s="29"/>
      <c r="U63" s="29"/>
      <c r="V63" s="29"/>
      <c r="W63" s="29"/>
      <c r="X63" s="29"/>
    </row>
    <row r="64" spans="1:24" ht="15">
      <c r="A64" s="29"/>
      <c r="B64" s="29"/>
      <c r="C64" s="29"/>
      <c r="D64" s="33"/>
      <c r="E64" s="33"/>
      <c r="G64" s="29"/>
      <c r="H64" s="29"/>
      <c r="I64" s="29"/>
      <c r="J64" s="29"/>
      <c r="K64" s="29"/>
      <c r="L64" s="29"/>
      <c r="M64" s="29"/>
      <c r="N64" s="29"/>
      <c r="O64" s="29"/>
      <c r="P64" s="29"/>
      <c r="Q64" s="29"/>
      <c r="R64" s="29"/>
      <c r="S64" s="29"/>
      <c r="T64" s="29"/>
      <c r="U64" s="29"/>
      <c r="V64" s="29"/>
      <c r="W64" s="29"/>
      <c r="X64" s="29"/>
    </row>
    <row r="65" spans="1:24" ht="15">
      <c r="A65" s="29"/>
      <c r="B65" s="29"/>
      <c r="C65" s="29"/>
      <c r="D65" s="33"/>
      <c r="E65" s="33"/>
      <c r="G65" s="29"/>
      <c r="H65" s="29"/>
      <c r="I65" s="29"/>
      <c r="J65" s="29"/>
      <c r="K65" s="29"/>
      <c r="L65" s="29"/>
      <c r="M65" s="29"/>
      <c r="N65" s="29"/>
      <c r="O65" s="29"/>
      <c r="P65" s="29"/>
      <c r="Q65" s="29"/>
      <c r="R65" s="29"/>
      <c r="S65" s="29"/>
      <c r="T65" s="29"/>
      <c r="U65" s="29"/>
      <c r="V65" s="29"/>
      <c r="W65" s="29"/>
      <c r="X65" s="29"/>
    </row>
    <row r="66" spans="1:24" ht="15">
      <c r="A66" s="29"/>
      <c r="B66" s="29"/>
      <c r="C66" s="29"/>
      <c r="D66" s="33"/>
      <c r="E66" s="33"/>
      <c r="G66" s="29"/>
      <c r="H66" s="29"/>
      <c r="I66" s="29"/>
      <c r="J66" s="29"/>
      <c r="K66" s="29"/>
      <c r="L66" s="29"/>
      <c r="M66" s="29"/>
      <c r="N66" s="29"/>
      <c r="O66" s="29"/>
      <c r="P66" s="29"/>
      <c r="Q66" s="29"/>
      <c r="R66" s="29"/>
      <c r="S66" s="29"/>
      <c r="T66" s="29"/>
      <c r="U66" s="29"/>
      <c r="V66" s="29"/>
      <c r="W66" s="29"/>
      <c r="X66" s="29"/>
    </row>
    <row r="67" spans="1:24" ht="15">
      <c r="A67" s="29"/>
      <c r="B67" s="29"/>
      <c r="C67" s="29"/>
      <c r="D67" s="33"/>
      <c r="E67" s="33"/>
      <c r="G67" s="29"/>
      <c r="H67" s="29"/>
      <c r="I67" s="29"/>
      <c r="J67" s="29"/>
      <c r="K67" s="29"/>
      <c r="L67" s="29"/>
      <c r="M67" s="29"/>
      <c r="N67" s="29"/>
      <c r="O67" s="29"/>
      <c r="P67" s="29"/>
      <c r="Q67" s="29"/>
      <c r="R67" s="29"/>
      <c r="S67" s="29"/>
      <c r="T67" s="29"/>
      <c r="U67" s="29"/>
      <c r="V67" s="29"/>
      <c r="W67" s="29"/>
      <c r="X67" s="29"/>
    </row>
    <row r="68" spans="1:24" ht="15">
      <c r="A68" s="29"/>
      <c r="B68" s="29"/>
      <c r="C68" s="29"/>
      <c r="D68" s="33"/>
      <c r="E68" s="33"/>
      <c r="G68" s="29"/>
      <c r="H68" s="29"/>
      <c r="I68" s="29"/>
      <c r="J68" s="29"/>
      <c r="K68" s="29"/>
      <c r="L68" s="29"/>
      <c r="M68" s="29"/>
      <c r="N68" s="29"/>
      <c r="O68" s="29"/>
      <c r="P68" s="29"/>
      <c r="Q68" s="29"/>
      <c r="R68" s="29"/>
      <c r="S68" s="29"/>
      <c r="T68" s="29"/>
      <c r="U68" s="29"/>
      <c r="V68" s="29"/>
      <c r="W68" s="29"/>
      <c r="X68" s="29"/>
    </row>
    <row r="69" spans="1:24" ht="15">
      <c r="A69" s="29"/>
      <c r="B69" s="29"/>
      <c r="C69" s="29"/>
      <c r="D69" s="33"/>
      <c r="E69" s="33"/>
      <c r="G69" s="29"/>
      <c r="H69" s="29"/>
      <c r="I69" s="29"/>
      <c r="J69" s="29"/>
      <c r="K69" s="29"/>
      <c r="L69" s="29"/>
      <c r="M69" s="29"/>
      <c r="N69" s="29"/>
      <c r="O69" s="29"/>
      <c r="P69" s="29"/>
      <c r="Q69" s="29"/>
      <c r="R69" s="29"/>
      <c r="S69" s="29"/>
      <c r="T69" s="29"/>
      <c r="U69" s="29"/>
      <c r="V69" s="29"/>
      <c r="W69" s="29"/>
      <c r="X69" s="29"/>
    </row>
    <row r="70" spans="1:24" ht="15">
      <c r="A70" s="29"/>
      <c r="B70" s="29"/>
      <c r="C70" s="29"/>
      <c r="D70" s="33"/>
      <c r="E70" s="33"/>
      <c r="G70" s="29"/>
      <c r="H70" s="29"/>
      <c r="I70" s="29"/>
      <c r="J70" s="29"/>
      <c r="K70" s="29"/>
      <c r="L70" s="29"/>
      <c r="M70" s="29"/>
      <c r="N70" s="29"/>
      <c r="O70" s="29"/>
      <c r="P70" s="29"/>
      <c r="Q70" s="29"/>
      <c r="R70" s="29"/>
      <c r="S70" s="29"/>
      <c r="T70" s="29"/>
      <c r="U70" s="29"/>
      <c r="V70" s="29"/>
      <c r="W70" s="29"/>
      <c r="X70" s="29"/>
    </row>
    <row r="71" spans="1:24" ht="15">
      <c r="A71" s="29"/>
      <c r="B71" s="29"/>
      <c r="C71" s="29"/>
      <c r="D71" s="33"/>
      <c r="E71" s="33"/>
      <c r="G71" s="29"/>
      <c r="H71" s="29"/>
      <c r="I71" s="29"/>
      <c r="J71" s="29"/>
      <c r="K71" s="29"/>
      <c r="L71" s="29"/>
      <c r="M71" s="29"/>
      <c r="N71" s="29"/>
      <c r="O71" s="29"/>
      <c r="P71" s="29"/>
      <c r="Q71" s="29"/>
      <c r="R71" s="29"/>
      <c r="S71" s="29"/>
      <c r="T71" s="29"/>
      <c r="U71" s="29"/>
      <c r="V71" s="29"/>
      <c r="W71" s="29"/>
      <c r="X71" s="29"/>
    </row>
    <row r="72" spans="1:24" ht="15">
      <c r="A72" s="29"/>
      <c r="B72" s="29"/>
      <c r="C72" s="29"/>
      <c r="D72" s="33"/>
      <c r="E72" s="33"/>
      <c r="G72" s="29"/>
      <c r="H72" s="29"/>
      <c r="I72" s="29"/>
      <c r="J72" s="29"/>
      <c r="K72" s="29"/>
      <c r="L72" s="29"/>
      <c r="M72" s="29"/>
      <c r="N72" s="29"/>
      <c r="O72" s="29"/>
      <c r="P72" s="29"/>
      <c r="Q72" s="29"/>
      <c r="R72" s="29"/>
      <c r="S72" s="29"/>
      <c r="T72" s="29"/>
      <c r="U72" s="29"/>
      <c r="V72" s="29"/>
      <c r="W72" s="29"/>
      <c r="X72" s="29"/>
    </row>
    <row r="73" spans="1:24" ht="15">
      <c r="A73" s="29"/>
      <c r="B73" s="29"/>
      <c r="C73" s="29"/>
      <c r="D73" s="33"/>
      <c r="E73" s="33"/>
      <c r="G73" s="29"/>
      <c r="H73" s="29"/>
      <c r="I73" s="29"/>
      <c r="J73" s="29"/>
      <c r="K73" s="29"/>
      <c r="L73" s="29"/>
      <c r="M73" s="29"/>
      <c r="N73" s="29"/>
      <c r="O73" s="29"/>
      <c r="P73" s="29"/>
      <c r="Q73" s="29"/>
      <c r="R73" s="29"/>
      <c r="S73" s="29"/>
      <c r="T73" s="29"/>
      <c r="U73" s="29"/>
      <c r="V73" s="29"/>
      <c r="W73" s="29"/>
      <c r="X73" s="29"/>
    </row>
    <row r="74" spans="1:24" ht="15">
      <c r="A74" s="29"/>
      <c r="B74" s="29"/>
      <c r="C74" s="29"/>
      <c r="D74" s="33"/>
      <c r="E74" s="33"/>
      <c r="G74" s="29"/>
      <c r="H74" s="29"/>
      <c r="I74" s="29"/>
      <c r="J74" s="29"/>
      <c r="K74" s="29"/>
      <c r="L74" s="29"/>
      <c r="M74" s="29"/>
      <c r="N74" s="29"/>
      <c r="O74" s="29"/>
      <c r="P74" s="29"/>
      <c r="Q74" s="29"/>
      <c r="R74" s="29"/>
      <c r="S74" s="29"/>
      <c r="T74" s="29"/>
      <c r="U74" s="29"/>
      <c r="V74" s="29"/>
      <c r="W74" s="29"/>
      <c r="X74" s="29"/>
    </row>
    <row r="75" spans="1:24" ht="15">
      <c r="A75" s="29"/>
      <c r="B75" s="29"/>
      <c r="C75" s="29"/>
      <c r="D75" s="33"/>
      <c r="E75" s="33"/>
      <c r="G75" s="29"/>
      <c r="H75" s="29"/>
      <c r="I75" s="29"/>
      <c r="J75" s="29"/>
      <c r="K75" s="29"/>
      <c r="L75" s="29"/>
      <c r="M75" s="29"/>
      <c r="N75" s="29"/>
      <c r="O75" s="29"/>
      <c r="P75" s="29"/>
      <c r="Q75" s="29"/>
      <c r="R75" s="29"/>
      <c r="S75" s="29"/>
      <c r="T75" s="29"/>
      <c r="U75" s="29"/>
      <c r="V75" s="29"/>
      <c r="W75" s="29"/>
      <c r="X75" s="29"/>
    </row>
    <row r="76" spans="1:24" ht="15">
      <c r="A76" s="29"/>
      <c r="B76" s="29"/>
      <c r="C76" s="29"/>
      <c r="D76" s="33"/>
      <c r="E76" s="33"/>
      <c r="G76" s="29"/>
      <c r="H76" s="29"/>
      <c r="I76" s="29"/>
      <c r="J76" s="29"/>
      <c r="K76" s="29"/>
      <c r="L76" s="29"/>
      <c r="M76" s="29"/>
      <c r="N76" s="29"/>
      <c r="O76" s="29"/>
      <c r="P76" s="29"/>
      <c r="Q76" s="29"/>
      <c r="R76" s="29"/>
      <c r="S76" s="29"/>
      <c r="T76" s="29"/>
      <c r="U76" s="29"/>
      <c r="V76" s="29"/>
      <c r="W76" s="29"/>
      <c r="X76" s="29"/>
    </row>
    <row r="77" spans="1:24" ht="15">
      <c r="A77" s="29"/>
      <c r="B77" s="29"/>
      <c r="C77" s="29"/>
      <c r="D77" s="33"/>
      <c r="E77" s="33"/>
      <c r="G77" s="29"/>
      <c r="H77" s="29"/>
      <c r="I77" s="29"/>
      <c r="J77" s="29"/>
      <c r="K77" s="29"/>
      <c r="L77" s="29"/>
      <c r="M77" s="29"/>
      <c r="N77" s="29"/>
      <c r="O77" s="29"/>
      <c r="P77" s="29"/>
      <c r="Q77" s="29"/>
      <c r="R77" s="29"/>
      <c r="S77" s="29"/>
      <c r="T77" s="29"/>
      <c r="U77" s="29"/>
      <c r="V77" s="29"/>
      <c r="W77" s="29"/>
      <c r="X77" s="29"/>
    </row>
    <row r="78" spans="1:24" ht="15">
      <c r="A78" s="29"/>
      <c r="B78" s="29"/>
      <c r="C78" s="29"/>
      <c r="D78" s="33"/>
      <c r="E78" s="33"/>
      <c r="G78" s="29"/>
      <c r="H78" s="29"/>
      <c r="I78" s="29"/>
      <c r="J78" s="29"/>
      <c r="K78" s="29"/>
      <c r="L78" s="29"/>
      <c r="M78" s="29"/>
      <c r="N78" s="29"/>
      <c r="O78" s="29"/>
      <c r="P78" s="29"/>
      <c r="Q78" s="29"/>
      <c r="R78" s="29"/>
      <c r="S78" s="29"/>
      <c r="T78" s="29"/>
      <c r="U78" s="29"/>
      <c r="V78" s="29"/>
      <c r="W78" s="29"/>
      <c r="X78" s="29"/>
    </row>
    <row r="79" spans="1:24" ht="15">
      <c r="A79" s="29"/>
      <c r="B79" s="29"/>
      <c r="C79" s="29"/>
      <c r="D79" s="33"/>
      <c r="E79" s="33"/>
      <c r="G79" s="29"/>
      <c r="H79" s="29"/>
      <c r="I79" s="29"/>
      <c r="J79" s="29"/>
      <c r="K79" s="29"/>
      <c r="L79" s="29"/>
      <c r="M79" s="29"/>
      <c r="N79" s="29"/>
      <c r="O79" s="29"/>
      <c r="P79" s="29"/>
      <c r="Q79" s="29"/>
      <c r="R79" s="29"/>
      <c r="S79" s="29"/>
      <c r="T79" s="29"/>
      <c r="U79" s="29"/>
      <c r="V79" s="29"/>
      <c r="W79" s="29"/>
      <c r="X79" s="29"/>
    </row>
    <row r="80" spans="1:24" ht="15">
      <c r="A80" s="29"/>
      <c r="B80" s="29"/>
      <c r="C80" s="29"/>
      <c r="D80" s="33"/>
      <c r="E80" s="33"/>
      <c r="G80" s="29"/>
      <c r="H80" s="29"/>
      <c r="I80" s="29"/>
      <c r="J80" s="29"/>
      <c r="K80" s="29"/>
      <c r="L80" s="29"/>
      <c r="M80" s="29"/>
      <c r="N80" s="29"/>
      <c r="O80" s="29"/>
      <c r="P80" s="29"/>
      <c r="Q80" s="29"/>
      <c r="R80" s="29"/>
      <c r="S80" s="29"/>
      <c r="T80" s="29"/>
      <c r="U80" s="29"/>
      <c r="V80" s="29"/>
      <c r="W80" s="29"/>
      <c r="X80" s="29"/>
    </row>
    <row r="81" spans="1:24" ht="15">
      <c r="A81" s="29"/>
      <c r="B81" s="29"/>
      <c r="C81" s="29"/>
      <c r="D81" s="33"/>
      <c r="E81" s="33"/>
      <c r="G81" s="29"/>
      <c r="H81" s="29"/>
      <c r="I81" s="29"/>
      <c r="J81" s="29"/>
      <c r="K81" s="29"/>
      <c r="L81" s="29"/>
      <c r="M81" s="29"/>
      <c r="N81" s="29"/>
      <c r="O81" s="29"/>
      <c r="P81" s="29"/>
      <c r="Q81" s="29"/>
      <c r="R81" s="29"/>
      <c r="S81" s="29"/>
      <c r="T81" s="29"/>
      <c r="U81" s="29"/>
      <c r="V81" s="29"/>
      <c r="W81" s="29"/>
      <c r="X81" s="29"/>
    </row>
    <row r="82" spans="1:24" ht="15">
      <c r="A82" s="29"/>
      <c r="B82" s="29"/>
      <c r="C82" s="29"/>
      <c r="D82" s="33"/>
      <c r="E82" s="33"/>
      <c r="G82" s="29"/>
      <c r="H82" s="29"/>
      <c r="I82" s="29"/>
      <c r="J82" s="29"/>
      <c r="K82" s="29"/>
      <c r="L82" s="29"/>
      <c r="M82" s="29"/>
      <c r="N82" s="29"/>
      <c r="O82" s="29"/>
      <c r="P82" s="29"/>
      <c r="Q82" s="29"/>
      <c r="R82" s="29"/>
      <c r="S82" s="29"/>
      <c r="T82" s="29"/>
      <c r="U82" s="29"/>
      <c r="V82" s="29"/>
      <c r="W82" s="29"/>
      <c r="X82" s="29"/>
    </row>
    <row r="83" spans="1:24" ht="15">
      <c r="A83" s="29"/>
      <c r="B83" s="29"/>
      <c r="C83" s="29"/>
      <c r="D83" s="33"/>
      <c r="E83" s="33"/>
      <c r="G83" s="29"/>
      <c r="H83" s="29"/>
      <c r="I83" s="29"/>
      <c r="J83" s="29"/>
      <c r="K83" s="29"/>
      <c r="L83" s="29"/>
      <c r="M83" s="29"/>
      <c r="N83" s="29"/>
      <c r="O83" s="29"/>
      <c r="P83" s="29"/>
      <c r="Q83" s="29"/>
      <c r="R83" s="29"/>
      <c r="S83" s="29"/>
      <c r="T83" s="29"/>
      <c r="U83" s="29"/>
      <c r="V83" s="29"/>
      <c r="W83" s="29"/>
      <c r="X83" s="29"/>
    </row>
    <row r="84" spans="1:24" ht="15">
      <c r="A84" s="29"/>
      <c r="B84" s="29"/>
      <c r="C84" s="29"/>
      <c r="D84" s="33"/>
      <c r="E84" s="33"/>
      <c r="G84" s="29"/>
      <c r="H84" s="29"/>
      <c r="I84" s="29"/>
      <c r="J84" s="29"/>
      <c r="K84" s="29"/>
      <c r="L84" s="29"/>
      <c r="M84" s="29"/>
      <c r="N84" s="29"/>
      <c r="O84" s="29"/>
      <c r="P84" s="29"/>
      <c r="Q84" s="29"/>
      <c r="R84" s="29"/>
      <c r="S84" s="29"/>
      <c r="T84" s="29"/>
      <c r="U84" s="29"/>
      <c r="V84" s="29"/>
      <c r="W84" s="29"/>
      <c r="X84" s="29"/>
    </row>
    <row r="85" spans="1:24" ht="15">
      <c r="A85" s="29"/>
      <c r="B85" s="29"/>
      <c r="C85" s="29"/>
      <c r="D85" s="33"/>
      <c r="E85" s="33"/>
      <c r="G85" s="29"/>
      <c r="H85" s="29"/>
      <c r="I85" s="29"/>
      <c r="J85" s="29"/>
      <c r="K85" s="29"/>
      <c r="L85" s="29"/>
      <c r="M85" s="29"/>
      <c r="N85" s="29"/>
      <c r="O85" s="29"/>
      <c r="P85" s="29"/>
      <c r="Q85" s="29"/>
      <c r="R85" s="29"/>
      <c r="S85" s="29"/>
      <c r="T85" s="29"/>
      <c r="U85" s="29"/>
      <c r="V85" s="29"/>
      <c r="W85" s="29"/>
      <c r="X85" s="29"/>
    </row>
    <row r="86" spans="1:24" ht="15">
      <c r="A86" s="29"/>
      <c r="B86" s="29"/>
      <c r="C86" s="29"/>
      <c r="D86" s="33"/>
      <c r="E86" s="33"/>
      <c r="G86" s="29"/>
      <c r="H86" s="29"/>
      <c r="I86" s="29"/>
      <c r="J86" s="29"/>
      <c r="K86" s="29"/>
      <c r="L86" s="29"/>
      <c r="M86" s="29"/>
      <c r="N86" s="29"/>
      <c r="O86" s="29"/>
      <c r="P86" s="29"/>
      <c r="Q86" s="29"/>
      <c r="R86" s="29"/>
      <c r="S86" s="29"/>
      <c r="T86" s="29"/>
      <c r="U86" s="29"/>
      <c r="V86" s="29"/>
      <c r="W86" s="29"/>
      <c r="X86" s="29"/>
    </row>
    <row r="87" spans="1:24" ht="15">
      <c r="A87" s="29"/>
      <c r="B87" s="29"/>
      <c r="C87" s="29"/>
      <c r="D87" s="33"/>
      <c r="E87" s="33"/>
      <c r="G87" s="29"/>
      <c r="H87" s="29"/>
      <c r="I87" s="29"/>
      <c r="J87" s="29"/>
      <c r="K87" s="29"/>
      <c r="L87" s="29"/>
      <c r="M87" s="29"/>
      <c r="N87" s="29"/>
      <c r="O87" s="29"/>
      <c r="P87" s="29"/>
      <c r="Q87" s="29"/>
      <c r="R87" s="29"/>
      <c r="S87" s="29"/>
      <c r="T87" s="29"/>
      <c r="U87" s="29"/>
      <c r="V87" s="29"/>
      <c r="W87" s="29"/>
      <c r="X87" s="29"/>
    </row>
    <row r="88" spans="1:24" ht="15">
      <c r="A88" s="29"/>
      <c r="B88" s="29"/>
      <c r="C88" s="29"/>
      <c r="D88" s="33"/>
      <c r="E88" s="33"/>
      <c r="G88" s="29"/>
      <c r="H88" s="29"/>
      <c r="I88" s="29"/>
      <c r="J88" s="29"/>
      <c r="K88" s="29"/>
      <c r="L88" s="29"/>
      <c r="M88" s="29"/>
      <c r="N88" s="29"/>
      <c r="O88" s="29"/>
      <c r="P88" s="29"/>
      <c r="Q88" s="29"/>
      <c r="R88" s="29"/>
      <c r="S88" s="29"/>
      <c r="T88" s="29"/>
      <c r="U88" s="29"/>
      <c r="V88" s="29"/>
      <c r="W88" s="29"/>
      <c r="X88" s="29"/>
    </row>
    <row r="89" spans="1:24" ht="15">
      <c r="A89" s="29"/>
      <c r="B89" s="29"/>
      <c r="C89" s="29"/>
      <c r="D89" s="33"/>
      <c r="E89" s="33"/>
      <c r="G89" s="29"/>
      <c r="H89" s="29"/>
      <c r="I89" s="29"/>
      <c r="J89" s="29"/>
      <c r="K89" s="29"/>
      <c r="L89" s="29"/>
      <c r="M89" s="29"/>
      <c r="N89" s="29"/>
      <c r="O89" s="29"/>
      <c r="P89" s="29"/>
      <c r="Q89" s="29"/>
      <c r="R89" s="29"/>
      <c r="S89" s="29"/>
      <c r="T89" s="29"/>
      <c r="U89" s="29"/>
      <c r="V89" s="29"/>
      <c r="W89" s="29"/>
      <c r="X89" s="29"/>
    </row>
    <row r="90" spans="1:24" ht="15">
      <c r="A90" s="29"/>
      <c r="B90" s="29"/>
      <c r="C90" s="29"/>
      <c r="D90" s="33"/>
      <c r="E90" s="33"/>
      <c r="G90" s="29"/>
      <c r="H90" s="29"/>
      <c r="I90" s="29"/>
      <c r="J90" s="29"/>
      <c r="K90" s="29"/>
      <c r="L90" s="29"/>
      <c r="M90" s="29"/>
      <c r="N90" s="29"/>
      <c r="O90" s="29"/>
      <c r="P90" s="29"/>
      <c r="Q90" s="29"/>
      <c r="R90" s="29"/>
      <c r="S90" s="29"/>
      <c r="T90" s="29"/>
      <c r="U90" s="29"/>
      <c r="V90" s="29"/>
      <c r="W90" s="29"/>
      <c r="X90" s="29"/>
    </row>
    <row r="91" spans="1:24" ht="15">
      <c r="A91" s="29"/>
      <c r="B91" s="29"/>
      <c r="C91" s="29"/>
      <c r="D91" s="33"/>
      <c r="E91" s="33"/>
      <c r="G91" s="29"/>
      <c r="H91" s="29"/>
      <c r="I91" s="29"/>
      <c r="J91" s="29"/>
      <c r="K91" s="29"/>
      <c r="L91" s="29"/>
      <c r="M91" s="29"/>
      <c r="N91" s="29"/>
      <c r="O91" s="29"/>
      <c r="P91" s="29"/>
      <c r="Q91" s="29"/>
      <c r="R91" s="29"/>
      <c r="S91" s="29"/>
      <c r="T91" s="29"/>
      <c r="U91" s="29"/>
      <c r="V91" s="29"/>
      <c r="W91" s="29"/>
      <c r="X91" s="29"/>
    </row>
    <row r="92" spans="1:24" ht="15">
      <c r="A92" s="29"/>
      <c r="B92" s="29"/>
      <c r="C92" s="29"/>
      <c r="D92" s="33"/>
      <c r="E92" s="33"/>
      <c r="G92" s="29"/>
      <c r="H92" s="29"/>
      <c r="I92" s="29"/>
      <c r="J92" s="29"/>
      <c r="K92" s="29"/>
      <c r="L92" s="29"/>
      <c r="M92" s="29"/>
      <c r="N92" s="29"/>
      <c r="O92" s="29"/>
      <c r="P92" s="29"/>
      <c r="Q92" s="29"/>
      <c r="R92" s="29"/>
      <c r="S92" s="29"/>
      <c r="T92" s="29"/>
      <c r="U92" s="29"/>
      <c r="V92" s="29"/>
      <c r="W92" s="29"/>
      <c r="X92" s="29"/>
    </row>
    <row r="93" spans="1:24" ht="15">
      <c r="A93" s="29"/>
      <c r="B93" s="29"/>
      <c r="C93" s="29"/>
      <c r="D93" s="33"/>
      <c r="E93" s="33"/>
      <c r="G93" s="29"/>
      <c r="H93" s="29"/>
      <c r="I93" s="29"/>
      <c r="J93" s="29"/>
      <c r="K93" s="29"/>
      <c r="L93" s="29"/>
      <c r="M93" s="29"/>
      <c r="N93" s="29"/>
      <c r="O93" s="29"/>
      <c r="P93" s="29"/>
      <c r="Q93" s="29"/>
      <c r="R93" s="29"/>
      <c r="S93" s="29"/>
      <c r="T93" s="29"/>
      <c r="U93" s="29"/>
      <c r="V93" s="29"/>
      <c r="W93" s="29"/>
      <c r="X93" s="29"/>
    </row>
    <row r="94" spans="1:24" ht="15">
      <c r="A94" s="29"/>
      <c r="B94" s="29"/>
      <c r="C94" s="29"/>
      <c r="D94" s="33"/>
      <c r="E94" s="33"/>
      <c r="G94" s="29"/>
      <c r="H94" s="29"/>
      <c r="I94" s="29"/>
      <c r="J94" s="29"/>
      <c r="K94" s="29"/>
      <c r="L94" s="29"/>
      <c r="M94" s="29"/>
      <c r="N94" s="29"/>
      <c r="O94" s="29"/>
      <c r="P94" s="29"/>
      <c r="Q94" s="29"/>
      <c r="R94" s="29"/>
      <c r="S94" s="29"/>
      <c r="T94" s="29"/>
      <c r="U94" s="29"/>
      <c r="V94" s="29"/>
      <c r="W94" s="29"/>
      <c r="X94" s="29"/>
    </row>
    <row r="95" spans="1:24" ht="15">
      <c r="A95" s="29"/>
      <c r="B95" s="29"/>
      <c r="C95" s="29"/>
      <c r="D95" s="33"/>
      <c r="E95" s="33"/>
      <c r="G95" s="29"/>
      <c r="H95" s="29"/>
      <c r="I95" s="29"/>
      <c r="J95" s="29"/>
      <c r="K95" s="29"/>
      <c r="L95" s="29"/>
      <c r="M95" s="29"/>
      <c r="N95" s="29"/>
      <c r="O95" s="29"/>
      <c r="P95" s="29"/>
      <c r="Q95" s="29"/>
      <c r="R95" s="29"/>
      <c r="S95" s="29"/>
      <c r="T95" s="29"/>
      <c r="U95" s="29"/>
      <c r="V95" s="29"/>
      <c r="W95" s="29"/>
      <c r="X95" s="29"/>
    </row>
    <row r="96" spans="1:24" ht="15">
      <c r="A96" s="29"/>
      <c r="B96" s="29"/>
      <c r="C96" s="29"/>
      <c r="D96" s="33"/>
      <c r="E96" s="33"/>
      <c r="G96" s="29"/>
      <c r="H96" s="29"/>
      <c r="I96" s="29"/>
      <c r="J96" s="29"/>
      <c r="K96" s="29"/>
      <c r="L96" s="29"/>
      <c r="M96" s="29"/>
      <c r="N96" s="29"/>
      <c r="O96" s="29"/>
      <c r="P96" s="29"/>
      <c r="Q96" s="29"/>
      <c r="R96" s="29"/>
      <c r="S96" s="29"/>
      <c r="T96" s="29"/>
      <c r="U96" s="29"/>
      <c r="V96" s="29"/>
      <c r="W96" s="29"/>
      <c r="X96" s="29"/>
    </row>
    <row r="97" spans="1:24" ht="15">
      <c r="A97" s="29"/>
      <c r="B97" s="29"/>
      <c r="C97" s="29"/>
      <c r="D97" s="33"/>
      <c r="E97" s="33"/>
      <c r="G97" s="29"/>
      <c r="H97" s="29"/>
      <c r="I97" s="29"/>
      <c r="J97" s="29"/>
      <c r="K97" s="29"/>
      <c r="L97" s="29"/>
      <c r="M97" s="29"/>
      <c r="N97" s="29"/>
      <c r="O97" s="29"/>
      <c r="P97" s="29"/>
      <c r="Q97" s="29"/>
      <c r="R97" s="29"/>
      <c r="S97" s="29"/>
      <c r="T97" s="29"/>
      <c r="U97" s="29"/>
      <c r="V97" s="29"/>
      <c r="W97" s="29"/>
      <c r="X97" s="29"/>
    </row>
    <row r="98" spans="1:24" ht="15">
      <c r="A98" s="29"/>
      <c r="B98" s="29"/>
      <c r="C98" s="29"/>
      <c r="D98" s="33"/>
      <c r="E98" s="33"/>
      <c r="G98" s="29"/>
      <c r="H98" s="29"/>
      <c r="I98" s="29"/>
      <c r="J98" s="29"/>
      <c r="K98" s="29"/>
      <c r="L98" s="29"/>
      <c r="M98" s="29"/>
      <c r="N98" s="29"/>
      <c r="O98" s="29"/>
      <c r="P98" s="29"/>
      <c r="Q98" s="29"/>
      <c r="R98" s="29"/>
      <c r="S98" s="29"/>
      <c r="T98" s="29"/>
      <c r="U98" s="29"/>
      <c r="V98" s="29"/>
      <c r="W98" s="29"/>
      <c r="X98" s="29"/>
    </row>
    <row r="99" spans="1:24" ht="15">
      <c r="A99" s="29"/>
      <c r="B99" s="29"/>
      <c r="C99" s="29"/>
      <c r="D99" s="33"/>
      <c r="E99" s="33"/>
      <c r="G99" s="29"/>
      <c r="H99" s="29"/>
      <c r="I99" s="29"/>
      <c r="J99" s="29"/>
      <c r="K99" s="29"/>
      <c r="L99" s="29"/>
      <c r="M99" s="29"/>
      <c r="N99" s="29"/>
      <c r="O99" s="29"/>
      <c r="P99" s="29"/>
      <c r="Q99" s="29"/>
      <c r="R99" s="29"/>
      <c r="S99" s="29"/>
      <c r="T99" s="29"/>
      <c r="U99" s="29"/>
      <c r="V99" s="29"/>
      <c r="W99" s="29"/>
      <c r="X99" s="29"/>
    </row>
    <row r="100" spans="1:24" ht="15">
      <c r="A100" s="29"/>
      <c r="B100" s="29"/>
      <c r="C100" s="29"/>
      <c r="D100" s="33"/>
      <c r="E100" s="33"/>
      <c r="G100" s="29"/>
      <c r="H100" s="29"/>
      <c r="I100" s="29"/>
      <c r="J100" s="29"/>
      <c r="K100" s="29"/>
      <c r="L100" s="29"/>
      <c r="M100" s="29"/>
      <c r="N100" s="29"/>
      <c r="O100" s="29"/>
      <c r="P100" s="29"/>
      <c r="Q100" s="29"/>
      <c r="R100" s="29"/>
      <c r="S100" s="29"/>
      <c r="T100" s="29"/>
      <c r="U100" s="29"/>
      <c r="V100" s="29"/>
      <c r="W100" s="29"/>
      <c r="X100" s="29"/>
    </row>
    <row r="101" spans="1:24" ht="15">
      <c r="A101" s="29"/>
      <c r="B101" s="29"/>
      <c r="C101" s="29"/>
      <c r="D101" s="33"/>
      <c r="E101" s="33"/>
      <c r="G101" s="29"/>
      <c r="H101" s="29"/>
      <c r="I101" s="29"/>
      <c r="J101" s="29"/>
      <c r="K101" s="29"/>
      <c r="L101" s="29"/>
      <c r="M101" s="29"/>
      <c r="N101" s="29"/>
      <c r="O101" s="29"/>
      <c r="P101" s="29"/>
      <c r="Q101" s="29"/>
      <c r="R101" s="29"/>
      <c r="S101" s="29"/>
      <c r="T101" s="29"/>
      <c r="U101" s="29"/>
      <c r="V101" s="29"/>
      <c r="W101" s="29"/>
      <c r="X101" s="29"/>
    </row>
    <row r="102" spans="1:24" ht="15">
      <c r="A102" s="29"/>
      <c r="B102" s="29"/>
      <c r="C102" s="29"/>
      <c r="D102" s="33"/>
      <c r="E102" s="33"/>
      <c r="G102" s="29"/>
      <c r="H102" s="29"/>
      <c r="I102" s="29"/>
      <c r="J102" s="29"/>
      <c r="K102" s="29"/>
      <c r="L102" s="29"/>
      <c r="M102" s="29"/>
      <c r="N102" s="29"/>
      <c r="O102" s="29"/>
      <c r="P102" s="29"/>
      <c r="Q102" s="29"/>
      <c r="R102" s="29"/>
      <c r="S102" s="29"/>
      <c r="T102" s="29"/>
      <c r="U102" s="29"/>
      <c r="V102" s="29"/>
      <c r="W102" s="29"/>
      <c r="X102" s="29"/>
    </row>
    <row r="103" spans="1:24" ht="15">
      <c r="A103" s="29"/>
      <c r="B103" s="29"/>
      <c r="C103" s="29"/>
      <c r="D103" s="33"/>
      <c r="E103" s="33"/>
      <c r="G103" s="29"/>
      <c r="H103" s="29"/>
      <c r="I103" s="29"/>
      <c r="J103" s="29"/>
      <c r="K103" s="29"/>
      <c r="L103" s="29"/>
      <c r="M103" s="29"/>
      <c r="N103" s="29"/>
      <c r="O103" s="29"/>
      <c r="P103" s="29"/>
      <c r="Q103" s="29"/>
      <c r="R103" s="29"/>
      <c r="S103" s="29"/>
      <c r="T103" s="29"/>
      <c r="U103" s="29"/>
      <c r="V103" s="29"/>
      <c r="W103" s="29"/>
      <c r="X103" s="29"/>
    </row>
    <row r="104" spans="1:24" ht="15">
      <c r="A104" s="29"/>
      <c r="B104" s="29"/>
      <c r="C104" s="29"/>
      <c r="D104" s="33"/>
      <c r="E104" s="33"/>
      <c r="G104" s="29"/>
      <c r="H104" s="29"/>
      <c r="I104" s="29"/>
      <c r="J104" s="29"/>
      <c r="K104" s="29"/>
      <c r="L104" s="29"/>
      <c r="M104" s="29"/>
      <c r="N104" s="29"/>
      <c r="O104" s="29"/>
      <c r="P104" s="29"/>
      <c r="Q104" s="29"/>
      <c r="R104" s="29"/>
      <c r="S104" s="29"/>
      <c r="T104" s="29"/>
      <c r="U104" s="29"/>
      <c r="V104" s="29"/>
      <c r="W104" s="29"/>
      <c r="X104" s="29"/>
    </row>
    <row r="105" spans="1:24" ht="15">
      <c r="A105" s="29"/>
      <c r="B105" s="29"/>
      <c r="C105" s="29"/>
      <c r="D105" s="33"/>
      <c r="E105" s="33"/>
      <c r="G105" s="29"/>
      <c r="H105" s="29"/>
      <c r="I105" s="29"/>
      <c r="J105" s="29"/>
      <c r="K105" s="29"/>
      <c r="L105" s="29"/>
      <c r="M105" s="29"/>
      <c r="N105" s="29"/>
      <c r="O105" s="29"/>
      <c r="P105" s="29"/>
      <c r="Q105" s="29"/>
      <c r="R105" s="29"/>
      <c r="S105" s="29"/>
      <c r="T105" s="29"/>
      <c r="U105" s="29"/>
      <c r="V105" s="29"/>
      <c r="W105" s="29"/>
      <c r="X105" s="29"/>
    </row>
    <row r="106" spans="1:24" ht="15">
      <c r="A106" s="29"/>
      <c r="B106" s="29"/>
      <c r="C106" s="29"/>
      <c r="D106" s="33"/>
      <c r="E106" s="33"/>
      <c r="G106" s="29"/>
      <c r="H106" s="29"/>
      <c r="I106" s="29"/>
      <c r="J106" s="29"/>
      <c r="K106" s="29"/>
      <c r="L106" s="29"/>
      <c r="M106" s="29"/>
      <c r="N106" s="29"/>
      <c r="O106" s="29"/>
      <c r="P106" s="29"/>
      <c r="Q106" s="29"/>
      <c r="R106" s="29"/>
      <c r="S106" s="29"/>
      <c r="T106" s="29"/>
      <c r="U106" s="29"/>
      <c r="V106" s="29"/>
      <c r="W106" s="29"/>
      <c r="X106" s="29"/>
    </row>
    <row r="107" spans="1:24" ht="15">
      <c r="A107" s="29"/>
      <c r="B107" s="29"/>
      <c r="C107" s="29"/>
      <c r="D107" s="33"/>
      <c r="E107" s="33"/>
      <c r="G107" s="29"/>
      <c r="H107" s="29"/>
      <c r="I107" s="29"/>
      <c r="J107" s="29"/>
      <c r="K107" s="29"/>
      <c r="L107" s="29"/>
      <c r="M107" s="29"/>
      <c r="N107" s="29"/>
      <c r="O107" s="29"/>
      <c r="P107" s="29"/>
      <c r="Q107" s="29"/>
      <c r="R107" s="29"/>
      <c r="S107" s="29"/>
      <c r="T107" s="29"/>
      <c r="U107" s="29"/>
      <c r="V107" s="29"/>
      <c r="W107" s="29"/>
      <c r="X107" s="29"/>
    </row>
    <row r="108" spans="1:24" ht="15">
      <c r="A108" s="29"/>
      <c r="B108" s="29"/>
      <c r="C108" s="29"/>
      <c r="D108" s="33"/>
      <c r="E108" s="33"/>
      <c r="G108" s="29"/>
      <c r="H108" s="29"/>
      <c r="I108" s="29"/>
      <c r="J108" s="29"/>
      <c r="K108" s="29"/>
      <c r="L108" s="29"/>
      <c r="M108" s="29"/>
      <c r="N108" s="29"/>
      <c r="O108" s="29"/>
      <c r="P108" s="29"/>
      <c r="Q108" s="29"/>
      <c r="R108" s="29"/>
      <c r="S108" s="29"/>
      <c r="T108" s="29"/>
      <c r="U108" s="29"/>
      <c r="V108" s="29"/>
      <c r="W108" s="29"/>
      <c r="X108" s="29"/>
    </row>
    <row r="109" spans="1:24" ht="15">
      <c r="A109" s="29"/>
      <c r="B109" s="29"/>
      <c r="C109" s="29"/>
      <c r="D109" s="33"/>
      <c r="E109" s="33"/>
      <c r="G109" s="29"/>
      <c r="H109" s="29"/>
      <c r="I109" s="29"/>
      <c r="J109" s="29"/>
      <c r="K109" s="29"/>
      <c r="L109" s="29"/>
      <c r="M109" s="29"/>
      <c r="N109" s="29"/>
      <c r="O109" s="29"/>
      <c r="P109" s="29"/>
      <c r="Q109" s="29"/>
      <c r="R109" s="29"/>
      <c r="S109" s="29"/>
      <c r="T109" s="29"/>
      <c r="U109" s="29"/>
      <c r="V109" s="29"/>
      <c r="W109" s="29"/>
      <c r="X109" s="29"/>
    </row>
    <row r="110" spans="1:24" ht="15">
      <c r="A110" s="29"/>
      <c r="B110" s="29"/>
      <c r="C110" s="29"/>
      <c r="D110" s="33"/>
      <c r="E110" s="33"/>
      <c r="G110" s="29"/>
      <c r="H110" s="29"/>
      <c r="I110" s="29"/>
      <c r="J110" s="29"/>
      <c r="K110" s="29"/>
      <c r="L110" s="29"/>
      <c r="M110" s="29"/>
      <c r="N110" s="29"/>
      <c r="O110" s="29"/>
      <c r="P110" s="29"/>
      <c r="Q110" s="29"/>
      <c r="R110" s="29"/>
      <c r="S110" s="29"/>
      <c r="T110" s="29"/>
      <c r="U110" s="29"/>
      <c r="V110" s="29"/>
      <c r="W110" s="29"/>
      <c r="X110" s="29"/>
    </row>
    <row r="111" spans="1:24" ht="15">
      <c r="A111" s="29"/>
      <c r="B111" s="29"/>
      <c r="C111" s="29"/>
      <c r="D111" s="33"/>
      <c r="E111" s="33"/>
      <c r="G111" s="29"/>
      <c r="H111" s="29"/>
      <c r="I111" s="29"/>
      <c r="J111" s="29"/>
      <c r="K111" s="29"/>
      <c r="L111" s="29"/>
      <c r="M111" s="29"/>
      <c r="N111" s="29"/>
      <c r="O111" s="29"/>
      <c r="P111" s="29"/>
      <c r="Q111" s="29"/>
      <c r="R111" s="29"/>
      <c r="S111" s="29"/>
      <c r="T111" s="29"/>
      <c r="U111" s="29"/>
      <c r="V111" s="29"/>
      <c r="W111" s="29"/>
      <c r="X111" s="29"/>
    </row>
    <row r="112" spans="1:24" ht="15">
      <c r="A112" s="29"/>
      <c r="B112" s="29"/>
      <c r="C112" s="29"/>
      <c r="D112" s="33"/>
      <c r="E112" s="33"/>
      <c r="G112" s="29"/>
      <c r="H112" s="29"/>
      <c r="I112" s="29"/>
      <c r="J112" s="29"/>
      <c r="K112" s="29"/>
      <c r="L112" s="29"/>
      <c r="M112" s="29"/>
      <c r="N112" s="29"/>
      <c r="O112" s="29"/>
      <c r="P112" s="29"/>
      <c r="Q112" s="29"/>
      <c r="R112" s="29"/>
      <c r="S112" s="29"/>
      <c r="T112" s="29"/>
      <c r="U112" s="29"/>
      <c r="V112" s="29"/>
      <c r="W112" s="29"/>
      <c r="X112" s="29"/>
    </row>
    <row r="113" spans="1:24" ht="15">
      <c r="A113" s="29"/>
      <c r="B113" s="29"/>
      <c r="C113" s="29"/>
      <c r="D113" s="33"/>
      <c r="E113" s="33"/>
      <c r="G113" s="29"/>
      <c r="H113" s="29"/>
      <c r="I113" s="29"/>
      <c r="J113" s="29"/>
      <c r="K113" s="29"/>
      <c r="L113" s="29"/>
      <c r="M113" s="29"/>
      <c r="N113" s="29"/>
      <c r="O113" s="29"/>
      <c r="P113" s="29"/>
      <c r="Q113" s="29"/>
      <c r="R113" s="29"/>
      <c r="S113" s="29"/>
      <c r="T113" s="29"/>
      <c r="U113" s="29"/>
      <c r="V113" s="29"/>
      <c r="W113" s="29"/>
      <c r="X113" s="29"/>
    </row>
    <row r="114" spans="1:24" ht="15">
      <c r="A114" s="29"/>
      <c r="B114" s="29"/>
      <c r="C114" s="29"/>
      <c r="D114" s="33"/>
      <c r="E114" s="33"/>
      <c r="G114" s="29"/>
      <c r="H114" s="29"/>
      <c r="I114" s="29"/>
      <c r="J114" s="29"/>
      <c r="K114" s="29"/>
      <c r="L114" s="29"/>
      <c r="M114" s="29"/>
      <c r="N114" s="29"/>
      <c r="O114" s="29"/>
      <c r="P114" s="29"/>
      <c r="Q114" s="29"/>
      <c r="R114" s="29"/>
      <c r="S114" s="29"/>
      <c r="T114" s="29"/>
      <c r="U114" s="29"/>
      <c r="V114" s="29"/>
      <c r="W114" s="29"/>
      <c r="X114" s="29"/>
    </row>
    <row r="115" spans="1:24" ht="15">
      <c r="A115" s="29"/>
      <c r="B115" s="29"/>
      <c r="C115" s="29"/>
      <c r="D115" s="33"/>
      <c r="E115" s="33"/>
      <c r="G115" s="29"/>
      <c r="H115" s="29"/>
      <c r="I115" s="29"/>
      <c r="J115" s="29"/>
      <c r="K115" s="29"/>
      <c r="L115" s="29"/>
      <c r="M115" s="29"/>
      <c r="N115" s="29"/>
      <c r="O115" s="29"/>
      <c r="P115" s="29"/>
      <c r="Q115" s="29"/>
      <c r="R115" s="29"/>
      <c r="S115" s="29"/>
      <c r="T115" s="29"/>
      <c r="U115" s="29"/>
      <c r="V115" s="29"/>
      <c r="W115" s="29"/>
      <c r="X115" s="29"/>
    </row>
    <row r="116" spans="1:24" ht="15">
      <c r="A116" s="29"/>
      <c r="B116" s="29"/>
      <c r="C116" s="29"/>
      <c r="D116" s="33"/>
      <c r="E116" s="33"/>
      <c r="G116" s="29"/>
      <c r="H116" s="29"/>
      <c r="I116" s="29"/>
      <c r="J116" s="29"/>
      <c r="K116" s="29"/>
      <c r="L116" s="29"/>
      <c r="M116" s="29"/>
      <c r="N116" s="29"/>
      <c r="O116" s="29"/>
      <c r="P116" s="29"/>
      <c r="Q116" s="29"/>
      <c r="R116" s="29"/>
      <c r="S116" s="29"/>
      <c r="T116" s="29"/>
      <c r="U116" s="29"/>
      <c r="V116" s="29"/>
      <c r="W116" s="29"/>
      <c r="X116" s="29"/>
    </row>
    <row r="117" spans="1:24" ht="15">
      <c r="A117" s="29"/>
      <c r="B117" s="29"/>
      <c r="C117" s="29"/>
      <c r="D117" s="33"/>
      <c r="E117" s="33"/>
      <c r="G117" s="29"/>
      <c r="H117" s="29"/>
      <c r="I117" s="29"/>
      <c r="J117" s="29"/>
      <c r="K117" s="29"/>
      <c r="L117" s="29"/>
      <c r="M117" s="29"/>
      <c r="N117" s="29"/>
      <c r="O117" s="29"/>
      <c r="P117" s="29"/>
      <c r="Q117" s="29"/>
      <c r="R117" s="29"/>
      <c r="S117" s="29"/>
      <c r="T117" s="29"/>
      <c r="U117" s="29"/>
      <c r="V117" s="29"/>
      <c r="W117" s="29"/>
      <c r="X117" s="29"/>
    </row>
    <row r="118" spans="1:24" ht="15">
      <c r="A118" s="29"/>
      <c r="B118" s="29"/>
      <c r="C118" s="29"/>
      <c r="D118" s="33"/>
      <c r="E118" s="33"/>
      <c r="G118" s="29"/>
      <c r="H118" s="29"/>
      <c r="I118" s="29"/>
      <c r="J118" s="29"/>
      <c r="K118" s="29"/>
      <c r="L118" s="29"/>
      <c r="M118" s="29"/>
      <c r="N118" s="29"/>
      <c r="O118" s="29"/>
      <c r="P118" s="29"/>
      <c r="Q118" s="29"/>
      <c r="R118" s="29"/>
      <c r="S118" s="29"/>
      <c r="T118" s="29"/>
      <c r="U118" s="29"/>
      <c r="V118" s="29"/>
      <c r="W118" s="29"/>
      <c r="X118" s="29"/>
    </row>
    <row r="119" spans="1:24" ht="15">
      <c r="A119" s="29"/>
      <c r="B119" s="29"/>
      <c r="C119" s="29"/>
      <c r="D119" s="33"/>
      <c r="E119" s="33"/>
      <c r="G119" s="29"/>
      <c r="H119" s="29"/>
      <c r="I119" s="29"/>
      <c r="J119" s="29"/>
      <c r="K119" s="29"/>
      <c r="L119" s="29"/>
      <c r="M119" s="29"/>
      <c r="N119" s="29"/>
      <c r="O119" s="29"/>
      <c r="P119" s="29"/>
      <c r="Q119" s="29"/>
      <c r="R119" s="29"/>
      <c r="S119" s="29"/>
      <c r="T119" s="29"/>
      <c r="U119" s="29"/>
      <c r="V119" s="29"/>
      <c r="W119" s="29"/>
      <c r="X119" s="29"/>
    </row>
    <row r="120" spans="1:24" ht="15">
      <c r="A120" s="29"/>
      <c r="B120" s="29"/>
      <c r="C120" s="29"/>
      <c r="D120" s="33"/>
      <c r="E120" s="33"/>
      <c r="G120" s="29"/>
      <c r="H120" s="29"/>
      <c r="I120" s="29"/>
      <c r="J120" s="29"/>
      <c r="K120" s="29"/>
      <c r="L120" s="29"/>
      <c r="M120" s="29"/>
      <c r="N120" s="29"/>
      <c r="O120" s="29"/>
      <c r="P120" s="29"/>
      <c r="Q120" s="29"/>
      <c r="R120" s="29"/>
      <c r="S120" s="29"/>
      <c r="T120" s="29"/>
      <c r="U120" s="29"/>
      <c r="V120" s="29"/>
      <c r="W120" s="29"/>
      <c r="X120" s="29"/>
    </row>
    <row r="121" spans="1:24" ht="15">
      <c r="A121" s="29"/>
      <c r="B121" s="29"/>
      <c r="C121" s="29"/>
      <c r="D121" s="33"/>
      <c r="E121" s="33"/>
      <c r="G121" s="29"/>
      <c r="H121" s="29"/>
      <c r="I121" s="29"/>
      <c r="J121" s="29"/>
      <c r="K121" s="29"/>
      <c r="L121" s="29"/>
      <c r="M121" s="29"/>
      <c r="N121" s="29"/>
      <c r="O121" s="29"/>
      <c r="P121" s="29"/>
      <c r="Q121" s="29"/>
      <c r="R121" s="29"/>
      <c r="S121" s="29"/>
      <c r="T121" s="29"/>
      <c r="U121" s="29"/>
      <c r="V121" s="29"/>
      <c r="W121" s="29"/>
      <c r="X121" s="29"/>
    </row>
    <row r="122" spans="1:24" ht="15">
      <c r="A122" s="29"/>
      <c r="B122" s="29"/>
      <c r="C122" s="29"/>
      <c r="D122" s="33"/>
      <c r="E122" s="33"/>
      <c r="G122" s="29"/>
      <c r="H122" s="29"/>
      <c r="I122" s="29"/>
      <c r="J122" s="29"/>
      <c r="K122" s="29"/>
      <c r="L122" s="29"/>
      <c r="M122" s="29"/>
      <c r="N122" s="29"/>
      <c r="O122" s="29"/>
      <c r="P122" s="29"/>
      <c r="Q122" s="29"/>
      <c r="R122" s="29"/>
      <c r="S122" s="29"/>
      <c r="T122" s="29"/>
      <c r="U122" s="29"/>
      <c r="V122" s="29"/>
      <c r="W122" s="29"/>
      <c r="X122" s="29"/>
    </row>
    <row r="123" spans="1:24" ht="15">
      <c r="A123" s="29"/>
      <c r="B123" s="29"/>
      <c r="C123" s="29"/>
      <c r="D123" s="33"/>
      <c r="E123" s="33"/>
      <c r="G123" s="29"/>
      <c r="H123" s="29"/>
      <c r="I123" s="29"/>
      <c r="J123" s="29"/>
      <c r="K123" s="29"/>
      <c r="L123" s="29"/>
      <c r="M123" s="29"/>
      <c r="N123" s="29"/>
      <c r="O123" s="29"/>
      <c r="P123" s="29"/>
      <c r="Q123" s="29"/>
      <c r="R123" s="29"/>
      <c r="S123" s="29"/>
      <c r="T123" s="29"/>
      <c r="U123" s="29"/>
      <c r="V123" s="29"/>
      <c r="W123" s="29"/>
      <c r="X123" s="29"/>
    </row>
    <row r="124" spans="1:24" ht="15">
      <c r="A124" s="29"/>
      <c r="B124" s="29"/>
      <c r="C124" s="29"/>
      <c r="D124" s="33"/>
      <c r="E124" s="33"/>
      <c r="G124" s="29"/>
      <c r="H124" s="29"/>
      <c r="I124" s="29"/>
      <c r="J124" s="29"/>
      <c r="K124" s="29"/>
      <c r="L124" s="29"/>
      <c r="M124" s="29"/>
      <c r="N124" s="29"/>
      <c r="O124" s="29"/>
      <c r="P124" s="29"/>
      <c r="Q124" s="29"/>
      <c r="R124" s="29"/>
      <c r="S124" s="29"/>
      <c r="T124" s="29"/>
      <c r="U124" s="29"/>
      <c r="V124" s="29"/>
      <c r="W124" s="29"/>
      <c r="X124" s="29"/>
    </row>
    <row r="125" spans="1:24" ht="15">
      <c r="A125" s="29"/>
      <c r="B125" s="29"/>
      <c r="C125" s="29"/>
      <c r="D125" s="33"/>
      <c r="E125" s="33"/>
      <c r="G125" s="29"/>
      <c r="H125" s="29"/>
      <c r="I125" s="29"/>
      <c r="J125" s="29"/>
      <c r="K125" s="29"/>
      <c r="L125" s="29"/>
      <c r="M125" s="29"/>
      <c r="N125" s="29"/>
      <c r="O125" s="29"/>
      <c r="P125" s="29"/>
      <c r="Q125" s="29"/>
      <c r="R125" s="29"/>
      <c r="S125" s="29"/>
      <c r="T125" s="29"/>
      <c r="U125" s="29"/>
      <c r="V125" s="29"/>
      <c r="W125" s="29"/>
      <c r="X125" s="29"/>
    </row>
    <row r="126" spans="1:24" ht="15">
      <c r="A126" s="29"/>
      <c r="B126" s="29"/>
      <c r="C126" s="29"/>
      <c r="D126" s="33"/>
      <c r="E126" s="33"/>
      <c r="G126" s="29"/>
      <c r="H126" s="29"/>
      <c r="I126" s="29"/>
      <c r="J126" s="29"/>
      <c r="K126" s="29"/>
      <c r="L126" s="29"/>
      <c r="M126" s="29"/>
      <c r="N126" s="29"/>
      <c r="O126" s="29"/>
      <c r="P126" s="29"/>
      <c r="Q126" s="29"/>
      <c r="R126" s="29"/>
      <c r="S126" s="29"/>
      <c r="T126" s="29"/>
      <c r="U126" s="29"/>
      <c r="V126" s="29"/>
      <c r="W126" s="29"/>
      <c r="X126" s="29"/>
    </row>
    <row r="127" spans="1:24" ht="15">
      <c r="A127" s="29"/>
      <c r="B127" s="29"/>
      <c r="C127" s="29"/>
      <c r="D127" s="33"/>
      <c r="E127" s="33"/>
      <c r="G127" s="29"/>
      <c r="H127" s="29"/>
      <c r="I127" s="29"/>
      <c r="J127" s="29"/>
      <c r="K127" s="29"/>
      <c r="L127" s="29"/>
      <c r="M127" s="29"/>
      <c r="N127" s="29"/>
      <c r="O127" s="29"/>
      <c r="P127" s="29"/>
      <c r="Q127" s="29"/>
      <c r="R127" s="29"/>
      <c r="S127" s="29"/>
      <c r="T127" s="29"/>
      <c r="U127" s="29"/>
      <c r="V127" s="29"/>
      <c r="W127" s="29"/>
      <c r="X127" s="29"/>
    </row>
    <row r="128" spans="1:24" ht="15">
      <c r="A128" s="29"/>
      <c r="B128" s="29"/>
      <c r="C128" s="29"/>
      <c r="D128" s="33"/>
      <c r="E128" s="33"/>
      <c r="G128" s="29"/>
      <c r="H128" s="29"/>
      <c r="I128" s="29"/>
      <c r="J128" s="29"/>
      <c r="K128" s="29"/>
      <c r="L128" s="29"/>
      <c r="M128" s="29"/>
      <c r="N128" s="29"/>
      <c r="O128" s="29"/>
      <c r="P128" s="29"/>
      <c r="Q128" s="29"/>
      <c r="R128" s="29"/>
      <c r="S128" s="29"/>
      <c r="T128" s="29"/>
      <c r="U128" s="29"/>
      <c r="V128" s="29"/>
      <c r="W128" s="29"/>
      <c r="X128" s="29"/>
    </row>
    <row r="129" spans="1:24" ht="15">
      <c r="A129" s="29"/>
      <c r="B129" s="29"/>
      <c r="C129" s="29"/>
      <c r="D129" s="33"/>
      <c r="E129" s="33"/>
      <c r="G129" s="29"/>
      <c r="H129" s="29"/>
      <c r="I129" s="29"/>
      <c r="J129" s="29"/>
      <c r="K129" s="29"/>
      <c r="L129" s="29"/>
      <c r="M129" s="29"/>
      <c r="N129" s="29"/>
      <c r="O129" s="29"/>
      <c r="P129" s="29"/>
      <c r="Q129" s="29"/>
      <c r="R129" s="29"/>
      <c r="S129" s="29"/>
      <c r="T129" s="29"/>
      <c r="U129" s="29"/>
      <c r="V129" s="29"/>
      <c r="W129" s="29"/>
      <c r="X129" s="29"/>
    </row>
    <row r="130" spans="1:24" ht="15">
      <c r="A130" s="29"/>
      <c r="B130" s="29"/>
      <c r="C130" s="29"/>
      <c r="D130" s="33"/>
      <c r="E130" s="33"/>
      <c r="G130" s="29"/>
      <c r="H130" s="29"/>
      <c r="I130" s="29"/>
      <c r="J130" s="29"/>
      <c r="K130" s="29"/>
      <c r="L130" s="29"/>
      <c r="M130" s="29"/>
      <c r="N130" s="29"/>
      <c r="O130" s="29"/>
      <c r="P130" s="29"/>
      <c r="Q130" s="29"/>
      <c r="R130" s="29"/>
      <c r="S130" s="29"/>
      <c r="T130" s="29"/>
      <c r="U130" s="29"/>
      <c r="V130" s="29"/>
      <c r="W130" s="29"/>
      <c r="X130" s="29"/>
    </row>
    <row r="131" spans="1:24" ht="15">
      <c r="A131" s="29"/>
      <c r="B131" s="29"/>
      <c r="C131" s="29"/>
      <c r="D131" s="33"/>
      <c r="E131" s="33"/>
      <c r="G131" s="29"/>
      <c r="H131" s="29"/>
      <c r="I131" s="29"/>
      <c r="J131" s="29"/>
      <c r="K131" s="29"/>
      <c r="L131" s="29"/>
      <c r="M131" s="29"/>
      <c r="N131" s="29"/>
      <c r="O131" s="29"/>
      <c r="P131" s="29"/>
      <c r="Q131" s="29"/>
      <c r="R131" s="29"/>
      <c r="S131" s="29"/>
      <c r="T131" s="29"/>
      <c r="U131" s="29"/>
      <c r="V131" s="29"/>
      <c r="W131" s="29"/>
      <c r="X131" s="29"/>
    </row>
    <row r="132" spans="1:24" ht="15">
      <c r="A132" s="29"/>
      <c r="B132" s="29"/>
      <c r="C132" s="29"/>
      <c r="D132" s="33"/>
      <c r="E132" s="33"/>
      <c r="G132" s="29"/>
      <c r="H132" s="29"/>
      <c r="I132" s="29"/>
      <c r="J132" s="29"/>
      <c r="K132" s="29"/>
      <c r="L132" s="29"/>
      <c r="M132" s="29"/>
      <c r="N132" s="29"/>
      <c r="O132" s="29"/>
      <c r="P132" s="29"/>
      <c r="Q132" s="29"/>
      <c r="R132" s="29"/>
      <c r="S132" s="29"/>
      <c r="T132" s="29"/>
      <c r="U132" s="29"/>
      <c r="V132" s="29"/>
      <c r="W132" s="29"/>
      <c r="X132" s="29"/>
    </row>
    <row r="133" spans="1:24" ht="15">
      <c r="A133" s="29"/>
      <c r="B133" s="29"/>
      <c r="C133" s="29"/>
      <c r="D133" s="33"/>
      <c r="E133" s="33"/>
      <c r="G133" s="29"/>
      <c r="H133" s="29"/>
      <c r="I133" s="29"/>
      <c r="J133" s="29"/>
      <c r="K133" s="29"/>
      <c r="L133" s="29"/>
      <c r="M133" s="29"/>
      <c r="N133" s="29"/>
      <c r="O133" s="29"/>
      <c r="P133" s="29"/>
      <c r="Q133" s="29"/>
      <c r="R133" s="29"/>
      <c r="S133" s="29"/>
      <c r="T133" s="29"/>
      <c r="U133" s="29"/>
      <c r="V133" s="29"/>
      <c r="W133" s="29"/>
      <c r="X133" s="29"/>
    </row>
    <row r="134" spans="1:24" ht="15">
      <c r="A134" s="29"/>
      <c r="B134" s="29"/>
      <c r="C134" s="29"/>
      <c r="D134" s="33"/>
      <c r="E134" s="33"/>
      <c r="G134" s="29"/>
      <c r="H134" s="29"/>
      <c r="I134" s="29"/>
      <c r="J134" s="29"/>
      <c r="K134" s="29"/>
      <c r="L134" s="29"/>
      <c r="M134" s="29"/>
      <c r="N134" s="29"/>
      <c r="O134" s="29"/>
      <c r="P134" s="29"/>
      <c r="Q134" s="29"/>
      <c r="R134" s="29"/>
      <c r="S134" s="29"/>
      <c r="T134" s="29"/>
      <c r="U134" s="29"/>
      <c r="V134" s="29"/>
      <c r="W134" s="29"/>
      <c r="X134" s="29"/>
    </row>
    <row r="135" spans="1:24" ht="15">
      <c r="A135" s="29"/>
      <c r="B135" s="29"/>
      <c r="C135" s="29"/>
      <c r="D135" s="33"/>
      <c r="E135" s="33"/>
      <c r="G135" s="29"/>
      <c r="H135" s="29"/>
      <c r="I135" s="29"/>
      <c r="J135" s="29"/>
      <c r="K135" s="29"/>
      <c r="L135" s="29"/>
      <c r="M135" s="29"/>
      <c r="N135" s="29"/>
      <c r="O135" s="29"/>
      <c r="P135" s="29"/>
      <c r="Q135" s="29"/>
      <c r="R135" s="29"/>
      <c r="S135" s="29"/>
      <c r="T135" s="29"/>
      <c r="U135" s="29"/>
      <c r="V135" s="29"/>
      <c r="W135" s="29"/>
      <c r="X135" s="29"/>
    </row>
    <row r="136" spans="1:24" ht="15">
      <c r="A136" s="29"/>
      <c r="B136" s="29"/>
      <c r="C136" s="29"/>
      <c r="D136" s="33"/>
      <c r="E136" s="33"/>
      <c r="G136" s="29"/>
      <c r="H136" s="29"/>
      <c r="I136" s="29"/>
      <c r="J136" s="29"/>
      <c r="K136" s="29"/>
      <c r="L136" s="29"/>
      <c r="M136" s="29"/>
      <c r="N136" s="29"/>
      <c r="O136" s="29"/>
      <c r="P136" s="29"/>
      <c r="Q136" s="29"/>
      <c r="R136" s="29"/>
      <c r="S136" s="29"/>
      <c r="T136" s="29"/>
      <c r="U136" s="29"/>
      <c r="V136" s="29"/>
      <c r="W136" s="29"/>
      <c r="X136" s="29"/>
    </row>
    <row r="137" spans="1:24" ht="15">
      <c r="A137" s="29"/>
      <c r="B137" s="29"/>
      <c r="C137" s="29"/>
      <c r="D137" s="33"/>
      <c r="E137" s="33"/>
      <c r="G137" s="29"/>
      <c r="H137" s="29"/>
      <c r="I137" s="29"/>
      <c r="J137" s="29"/>
      <c r="K137" s="29"/>
      <c r="L137" s="29"/>
      <c r="M137" s="29"/>
      <c r="N137" s="29"/>
      <c r="O137" s="29"/>
      <c r="P137" s="29"/>
      <c r="Q137" s="29"/>
      <c r="R137" s="29"/>
      <c r="S137" s="29"/>
      <c r="T137" s="29"/>
      <c r="U137" s="29"/>
      <c r="V137" s="29"/>
      <c r="W137" s="29"/>
      <c r="X137" s="29"/>
    </row>
    <row r="138" spans="1:24" ht="15">
      <c r="A138" s="29"/>
      <c r="B138" s="29"/>
      <c r="C138" s="29"/>
      <c r="D138" s="33"/>
      <c r="E138" s="33"/>
      <c r="G138" s="29"/>
      <c r="H138" s="29"/>
      <c r="I138" s="29"/>
      <c r="J138" s="29"/>
      <c r="K138" s="29"/>
      <c r="L138" s="29"/>
      <c r="M138" s="29"/>
      <c r="N138" s="29"/>
      <c r="O138" s="29"/>
      <c r="P138" s="29"/>
      <c r="Q138" s="29"/>
      <c r="R138" s="29"/>
      <c r="S138" s="29"/>
      <c r="T138" s="29"/>
      <c r="U138" s="29"/>
      <c r="V138" s="29"/>
      <c r="W138" s="29"/>
      <c r="X138" s="29"/>
    </row>
    <row r="139" spans="1:24" ht="15">
      <c r="A139" s="29"/>
      <c r="B139" s="29"/>
      <c r="C139" s="29"/>
      <c r="D139" s="33"/>
      <c r="E139" s="33"/>
      <c r="G139" s="29"/>
      <c r="H139" s="29"/>
      <c r="I139" s="29"/>
      <c r="J139" s="29"/>
      <c r="K139" s="29"/>
      <c r="L139" s="29"/>
      <c r="M139" s="29"/>
      <c r="N139" s="29"/>
      <c r="O139" s="29"/>
      <c r="P139" s="29"/>
      <c r="Q139" s="29"/>
      <c r="R139" s="29"/>
      <c r="S139" s="29"/>
      <c r="T139" s="29"/>
      <c r="U139" s="29"/>
      <c r="V139" s="29"/>
      <c r="W139" s="29"/>
      <c r="X139" s="29"/>
    </row>
    <row r="140" spans="1:24" ht="15">
      <c r="A140" s="29"/>
      <c r="B140" s="29"/>
      <c r="C140" s="29"/>
      <c r="D140" s="33"/>
      <c r="E140" s="33"/>
      <c r="G140" s="29"/>
      <c r="H140" s="29"/>
      <c r="I140" s="29"/>
      <c r="J140" s="29"/>
      <c r="K140" s="29"/>
      <c r="L140" s="29"/>
      <c r="M140" s="29"/>
      <c r="N140" s="29"/>
      <c r="O140" s="29"/>
      <c r="P140" s="29"/>
      <c r="Q140" s="29"/>
      <c r="R140" s="29"/>
      <c r="S140" s="29"/>
      <c r="T140" s="29"/>
      <c r="U140" s="29"/>
      <c r="V140" s="29"/>
      <c r="W140" s="29"/>
      <c r="X140" s="29"/>
    </row>
    <row r="141" spans="1:24" ht="15">
      <c r="A141" s="29"/>
      <c r="B141" s="29"/>
      <c r="C141" s="29"/>
      <c r="D141" s="33"/>
      <c r="E141" s="33"/>
      <c r="G141" s="29"/>
      <c r="H141" s="29"/>
      <c r="I141" s="29"/>
      <c r="J141" s="29"/>
      <c r="K141" s="29"/>
      <c r="L141" s="29"/>
      <c r="M141" s="29"/>
      <c r="N141" s="29"/>
      <c r="O141" s="29"/>
      <c r="P141" s="29"/>
      <c r="Q141" s="29"/>
      <c r="R141" s="29"/>
      <c r="S141" s="29"/>
      <c r="T141" s="29"/>
      <c r="U141" s="29"/>
      <c r="V141" s="29"/>
      <c r="W141" s="29"/>
      <c r="X141" s="29"/>
    </row>
    <row r="142" spans="1:24" ht="15">
      <c r="A142" s="29"/>
      <c r="B142" s="29"/>
      <c r="C142" s="29"/>
      <c r="D142" s="33"/>
      <c r="E142" s="33"/>
      <c r="G142" s="29"/>
      <c r="H142" s="29"/>
      <c r="I142" s="29"/>
      <c r="J142" s="29"/>
      <c r="K142" s="29"/>
      <c r="L142" s="29"/>
      <c r="M142" s="29"/>
      <c r="N142" s="29"/>
      <c r="O142" s="29"/>
      <c r="P142" s="29"/>
      <c r="Q142" s="29"/>
      <c r="R142" s="29"/>
      <c r="S142" s="29"/>
      <c r="T142" s="29"/>
      <c r="U142" s="29"/>
      <c r="V142" s="29"/>
      <c r="W142" s="29"/>
      <c r="X142" s="29"/>
    </row>
    <row r="143" spans="1:24" ht="15">
      <c r="A143" s="29"/>
      <c r="B143" s="29"/>
      <c r="C143" s="29"/>
      <c r="D143" s="33"/>
      <c r="E143" s="33"/>
      <c r="G143" s="29"/>
      <c r="H143" s="29"/>
      <c r="I143" s="29"/>
      <c r="J143" s="29"/>
      <c r="K143" s="29"/>
      <c r="L143" s="29"/>
      <c r="M143" s="29"/>
      <c r="N143" s="29"/>
      <c r="O143" s="29"/>
      <c r="P143" s="29"/>
      <c r="Q143" s="29"/>
      <c r="R143" s="29"/>
      <c r="S143" s="29"/>
      <c r="T143" s="29"/>
      <c r="U143" s="29"/>
      <c r="V143" s="29"/>
      <c r="W143" s="29"/>
      <c r="X143" s="29"/>
    </row>
    <row r="144" spans="1:24" ht="15">
      <c r="A144" s="29"/>
      <c r="B144" s="29"/>
      <c r="C144" s="29"/>
      <c r="D144" s="33"/>
      <c r="E144" s="33"/>
      <c r="G144" s="29"/>
      <c r="H144" s="29"/>
      <c r="I144" s="29"/>
      <c r="J144" s="29"/>
      <c r="K144" s="29"/>
      <c r="L144" s="29"/>
      <c r="M144" s="29"/>
      <c r="N144" s="29"/>
      <c r="O144" s="29"/>
      <c r="P144" s="29"/>
      <c r="Q144" s="29"/>
      <c r="R144" s="29"/>
      <c r="S144" s="29"/>
      <c r="T144" s="29"/>
      <c r="U144" s="29"/>
      <c r="V144" s="29"/>
      <c r="W144" s="29"/>
      <c r="X144" s="29"/>
    </row>
    <row r="145" spans="1:24" ht="15">
      <c r="A145" s="29"/>
      <c r="B145" s="29"/>
      <c r="C145" s="29"/>
      <c r="D145" s="33"/>
      <c r="E145" s="33"/>
      <c r="G145" s="29"/>
      <c r="H145" s="29"/>
      <c r="I145" s="29"/>
      <c r="J145" s="29"/>
      <c r="K145" s="29"/>
      <c r="L145" s="29"/>
      <c r="M145" s="29"/>
      <c r="N145" s="29"/>
      <c r="O145" s="29"/>
      <c r="P145" s="29"/>
      <c r="Q145" s="29"/>
      <c r="R145" s="29"/>
      <c r="S145" s="29"/>
      <c r="T145" s="29"/>
      <c r="U145" s="29"/>
      <c r="V145" s="29"/>
      <c r="W145" s="29"/>
      <c r="X145" s="29"/>
    </row>
    <row r="146" spans="1:24" ht="15">
      <c r="A146" s="29"/>
      <c r="B146" s="29"/>
      <c r="C146" s="29"/>
      <c r="D146" s="33"/>
      <c r="E146" s="33"/>
      <c r="G146" s="29"/>
      <c r="H146" s="29"/>
      <c r="I146" s="29"/>
      <c r="J146" s="29"/>
      <c r="K146" s="29"/>
      <c r="L146" s="29"/>
      <c r="M146" s="29"/>
      <c r="N146" s="29"/>
      <c r="O146" s="29"/>
      <c r="P146" s="29"/>
      <c r="Q146" s="29"/>
      <c r="R146" s="29"/>
      <c r="S146" s="29"/>
      <c r="T146" s="29"/>
      <c r="U146" s="29"/>
      <c r="V146" s="29"/>
      <c r="W146" s="29"/>
      <c r="X146" s="29"/>
    </row>
    <row r="147" spans="1:24" ht="15">
      <c r="A147" s="29"/>
      <c r="B147" s="29"/>
      <c r="C147" s="29"/>
      <c r="D147" s="33"/>
      <c r="E147" s="33"/>
      <c r="G147" s="29"/>
      <c r="H147" s="29"/>
      <c r="I147" s="29"/>
      <c r="J147" s="29"/>
      <c r="K147" s="29"/>
      <c r="L147" s="29"/>
      <c r="M147" s="29"/>
      <c r="N147" s="29"/>
      <c r="O147" s="29"/>
      <c r="P147" s="29"/>
      <c r="Q147" s="29"/>
      <c r="R147" s="29"/>
      <c r="S147" s="29"/>
      <c r="T147" s="29"/>
      <c r="U147" s="29"/>
      <c r="V147" s="29"/>
      <c r="W147" s="29"/>
      <c r="X147" s="29"/>
    </row>
    <row r="148" spans="1:24" ht="15">
      <c r="A148" s="29"/>
      <c r="B148" s="29"/>
      <c r="C148" s="29"/>
      <c r="D148" s="33"/>
      <c r="E148" s="33"/>
      <c r="G148" s="29"/>
      <c r="H148" s="29"/>
      <c r="I148" s="29"/>
      <c r="J148" s="29"/>
      <c r="K148" s="29"/>
      <c r="L148" s="29"/>
      <c r="M148" s="29"/>
      <c r="N148" s="29"/>
      <c r="O148" s="29"/>
      <c r="P148" s="29"/>
      <c r="Q148" s="29"/>
      <c r="R148" s="29"/>
      <c r="S148" s="29"/>
      <c r="T148" s="29"/>
      <c r="U148" s="29"/>
      <c r="V148" s="29"/>
      <c r="W148" s="29"/>
      <c r="X148" s="29"/>
    </row>
    <row r="149" spans="1:24" ht="15">
      <c r="A149" s="29"/>
      <c r="B149" s="29"/>
      <c r="C149" s="29"/>
      <c r="D149" s="33"/>
      <c r="E149" s="33"/>
      <c r="G149" s="29"/>
      <c r="H149" s="29"/>
      <c r="I149" s="29"/>
      <c r="J149" s="29"/>
      <c r="K149" s="29"/>
      <c r="L149" s="29"/>
      <c r="M149" s="29"/>
      <c r="N149" s="29"/>
      <c r="O149" s="29"/>
      <c r="P149" s="29"/>
      <c r="Q149" s="29"/>
      <c r="R149" s="29"/>
      <c r="S149" s="29"/>
      <c r="T149" s="29"/>
      <c r="U149" s="29"/>
      <c r="V149" s="29"/>
      <c r="W149" s="29"/>
      <c r="X149" s="29"/>
    </row>
    <row r="150" spans="1:24" ht="15">
      <c r="A150" s="29"/>
      <c r="B150" s="29"/>
      <c r="C150" s="29"/>
      <c r="D150" s="33"/>
      <c r="E150" s="33"/>
      <c r="G150" s="29"/>
      <c r="H150" s="29"/>
      <c r="I150" s="29"/>
      <c r="J150" s="29"/>
      <c r="K150" s="29"/>
      <c r="L150" s="29"/>
      <c r="M150" s="29"/>
      <c r="N150" s="29"/>
      <c r="O150" s="29"/>
      <c r="P150" s="29"/>
      <c r="Q150" s="29"/>
      <c r="R150" s="29"/>
      <c r="S150" s="29"/>
      <c r="T150" s="29"/>
      <c r="U150" s="29"/>
      <c r="V150" s="29"/>
      <c r="W150" s="29"/>
      <c r="X150" s="29"/>
    </row>
    <row r="151" spans="1:24" ht="15">
      <c r="A151" s="29"/>
      <c r="B151" s="29"/>
      <c r="C151" s="29"/>
      <c r="D151" s="33"/>
      <c r="E151" s="33"/>
      <c r="G151" s="29"/>
      <c r="H151" s="29"/>
      <c r="I151" s="29"/>
      <c r="J151" s="29"/>
      <c r="K151" s="29"/>
      <c r="L151" s="29"/>
      <c r="M151" s="29"/>
      <c r="N151" s="29"/>
      <c r="O151" s="29"/>
      <c r="P151" s="29"/>
      <c r="Q151" s="29"/>
      <c r="R151" s="29"/>
      <c r="S151" s="29"/>
      <c r="T151" s="29"/>
      <c r="U151" s="29"/>
      <c r="V151" s="29"/>
      <c r="W151" s="29"/>
      <c r="X151" s="29"/>
    </row>
    <row r="152" spans="1:24" ht="15">
      <c r="A152" s="29"/>
      <c r="B152" s="29"/>
      <c r="C152" s="29"/>
      <c r="D152" s="33"/>
      <c r="E152" s="33"/>
      <c r="G152" s="29"/>
      <c r="H152" s="29"/>
      <c r="I152" s="29"/>
      <c r="J152" s="29"/>
      <c r="K152" s="29"/>
      <c r="L152" s="29"/>
      <c r="M152" s="29"/>
      <c r="N152" s="29"/>
      <c r="O152" s="29"/>
      <c r="P152" s="29"/>
      <c r="Q152" s="29"/>
      <c r="R152" s="29"/>
      <c r="S152" s="29"/>
      <c r="T152" s="29"/>
      <c r="U152" s="29"/>
      <c r="V152" s="29"/>
      <c r="W152" s="29"/>
      <c r="X152" s="29"/>
    </row>
    <row r="153" spans="1:24" ht="15">
      <c r="A153" s="29"/>
      <c r="B153" s="29"/>
      <c r="C153" s="29"/>
      <c r="D153" s="33"/>
      <c r="E153" s="33"/>
      <c r="G153" s="29"/>
      <c r="H153" s="29"/>
      <c r="I153" s="29"/>
      <c r="J153" s="29"/>
      <c r="K153" s="29"/>
      <c r="L153" s="29"/>
      <c r="M153" s="29"/>
      <c r="N153" s="29"/>
      <c r="O153" s="29"/>
      <c r="P153" s="29"/>
      <c r="Q153" s="29"/>
      <c r="R153" s="29"/>
      <c r="S153" s="29"/>
      <c r="T153" s="29"/>
      <c r="U153" s="29"/>
      <c r="V153" s="29"/>
      <c r="W153" s="29"/>
      <c r="X153" s="29"/>
    </row>
    <row r="154" spans="1:24" ht="15">
      <c r="A154" s="29"/>
      <c r="B154" s="29"/>
      <c r="C154" s="29"/>
      <c r="D154" s="33"/>
      <c r="E154" s="33"/>
      <c r="G154" s="29"/>
      <c r="H154" s="29"/>
      <c r="I154" s="29"/>
      <c r="J154" s="29"/>
      <c r="K154" s="29"/>
      <c r="L154" s="29"/>
      <c r="M154" s="29"/>
      <c r="N154" s="29"/>
      <c r="O154" s="29"/>
      <c r="P154" s="29"/>
      <c r="Q154" s="29"/>
      <c r="R154" s="29"/>
      <c r="S154" s="29"/>
      <c r="T154" s="29"/>
      <c r="U154" s="29"/>
      <c r="V154" s="29"/>
      <c r="W154" s="29"/>
      <c r="X154" s="29"/>
    </row>
    <row r="155" spans="1:24" ht="15">
      <c r="A155" s="29"/>
      <c r="B155" s="29"/>
      <c r="C155" s="29"/>
      <c r="D155" s="33"/>
      <c r="E155" s="33"/>
      <c r="G155" s="29"/>
      <c r="H155" s="29"/>
      <c r="I155" s="29"/>
      <c r="J155" s="29"/>
      <c r="K155" s="29"/>
      <c r="L155" s="29"/>
      <c r="M155" s="29"/>
      <c r="N155" s="29"/>
      <c r="O155" s="29"/>
      <c r="P155" s="29"/>
      <c r="Q155" s="29"/>
      <c r="R155" s="29"/>
      <c r="S155" s="29"/>
      <c r="T155" s="29"/>
      <c r="U155" s="29"/>
      <c r="V155" s="29"/>
      <c r="W155" s="29"/>
      <c r="X155" s="29"/>
    </row>
    <row r="156" spans="1:24" ht="15">
      <c r="A156" s="29"/>
      <c r="B156" s="29"/>
      <c r="C156" s="29"/>
      <c r="D156" s="33"/>
      <c r="E156" s="33"/>
      <c r="G156" s="29"/>
      <c r="H156" s="29"/>
      <c r="I156" s="29"/>
      <c r="J156" s="29"/>
      <c r="K156" s="29"/>
      <c r="L156" s="29"/>
      <c r="M156" s="29"/>
      <c r="N156" s="29"/>
      <c r="O156" s="29"/>
      <c r="P156" s="29"/>
      <c r="Q156" s="29"/>
      <c r="R156" s="29"/>
      <c r="S156" s="29"/>
      <c r="T156" s="29"/>
      <c r="U156" s="29"/>
      <c r="V156" s="29"/>
      <c r="W156" s="29"/>
      <c r="X156" s="29"/>
    </row>
    <row r="157" spans="1:24" ht="15">
      <c r="A157" s="29"/>
      <c r="B157" s="29"/>
      <c r="C157" s="29"/>
      <c r="D157" s="33"/>
      <c r="E157" s="33"/>
      <c r="G157" s="29"/>
      <c r="H157" s="29"/>
      <c r="I157" s="29"/>
      <c r="J157" s="29"/>
      <c r="K157" s="29"/>
      <c r="L157" s="29"/>
      <c r="M157" s="29"/>
      <c r="N157" s="29"/>
      <c r="O157" s="29"/>
      <c r="P157" s="29"/>
      <c r="Q157" s="29"/>
      <c r="R157" s="29"/>
      <c r="S157" s="29"/>
      <c r="T157" s="29"/>
      <c r="U157" s="29"/>
      <c r="V157" s="29"/>
      <c r="W157" s="29"/>
      <c r="X157" s="29"/>
    </row>
    <row r="158" spans="1:24" ht="15">
      <c r="A158" s="29"/>
      <c r="B158" s="29"/>
      <c r="C158" s="29"/>
      <c r="D158" s="33"/>
      <c r="E158" s="33"/>
      <c r="G158" s="29"/>
      <c r="H158" s="29"/>
      <c r="I158" s="29"/>
      <c r="J158" s="29"/>
      <c r="K158" s="29"/>
      <c r="L158" s="29"/>
      <c r="M158" s="29"/>
      <c r="N158" s="29"/>
      <c r="O158" s="29"/>
      <c r="P158" s="29"/>
      <c r="Q158" s="29"/>
      <c r="R158" s="29"/>
      <c r="S158" s="29"/>
      <c r="T158" s="29"/>
      <c r="U158" s="29"/>
      <c r="V158" s="29"/>
      <c r="W158" s="29"/>
      <c r="X158" s="29"/>
    </row>
    <row r="159" spans="1:24" ht="15">
      <c r="A159" s="29"/>
      <c r="B159" s="29"/>
      <c r="C159" s="29"/>
      <c r="D159" s="33"/>
      <c r="E159" s="33"/>
      <c r="G159" s="29"/>
      <c r="H159" s="29"/>
      <c r="I159" s="29"/>
      <c r="J159" s="29"/>
      <c r="K159" s="29"/>
      <c r="L159" s="29"/>
      <c r="M159" s="29"/>
      <c r="N159" s="29"/>
      <c r="O159" s="29"/>
      <c r="P159" s="29"/>
      <c r="Q159" s="29"/>
      <c r="R159" s="29"/>
      <c r="S159" s="29"/>
      <c r="T159" s="29"/>
      <c r="U159" s="29"/>
      <c r="V159" s="29"/>
      <c r="W159" s="29"/>
      <c r="X159" s="29"/>
    </row>
    <row r="160" spans="1:24" ht="15">
      <c r="A160" s="29"/>
      <c r="B160" s="29"/>
      <c r="C160" s="29"/>
      <c r="D160" s="33"/>
      <c r="E160" s="33"/>
      <c r="G160" s="29"/>
      <c r="H160" s="29"/>
      <c r="I160" s="29"/>
      <c r="J160" s="29"/>
      <c r="K160" s="29"/>
      <c r="L160" s="29"/>
      <c r="M160" s="29"/>
      <c r="N160" s="29"/>
      <c r="O160" s="29"/>
      <c r="P160" s="29"/>
      <c r="Q160" s="29"/>
      <c r="R160" s="29"/>
      <c r="S160" s="29"/>
      <c r="T160" s="29"/>
      <c r="U160" s="29"/>
      <c r="V160" s="29"/>
      <c r="W160" s="29"/>
      <c r="X160" s="29"/>
    </row>
    <row r="161" spans="1:24" ht="15">
      <c r="A161" s="29"/>
      <c r="B161" s="29"/>
      <c r="C161" s="29"/>
      <c r="D161" s="33"/>
      <c r="E161" s="33"/>
      <c r="G161" s="29"/>
      <c r="H161" s="29"/>
      <c r="I161" s="29"/>
      <c r="J161" s="29"/>
      <c r="K161" s="29"/>
      <c r="L161" s="29"/>
      <c r="M161" s="29"/>
      <c r="N161" s="29"/>
      <c r="O161" s="29"/>
      <c r="P161" s="29"/>
      <c r="Q161" s="29"/>
      <c r="R161" s="29"/>
      <c r="S161" s="29"/>
      <c r="T161" s="29"/>
      <c r="U161" s="29"/>
      <c r="V161" s="29"/>
      <c r="W161" s="29"/>
      <c r="X161" s="29"/>
    </row>
    <row r="162" spans="1:24" ht="15">
      <c r="A162" s="29"/>
      <c r="B162" s="29"/>
      <c r="C162" s="29"/>
      <c r="D162" s="33"/>
      <c r="E162" s="33"/>
      <c r="G162" s="29"/>
      <c r="H162" s="29"/>
      <c r="I162" s="29"/>
      <c r="J162" s="29"/>
      <c r="K162" s="29"/>
      <c r="L162" s="29"/>
      <c r="M162" s="29"/>
      <c r="N162" s="29"/>
      <c r="O162" s="29"/>
      <c r="P162" s="29"/>
      <c r="Q162" s="29"/>
      <c r="R162" s="29"/>
      <c r="S162" s="29"/>
      <c r="T162" s="29"/>
      <c r="U162" s="29"/>
      <c r="V162" s="29"/>
      <c r="W162" s="29"/>
      <c r="X162" s="29"/>
    </row>
    <row r="163" spans="1:24" ht="15">
      <c r="A163" s="29"/>
      <c r="B163" s="29"/>
      <c r="C163" s="29"/>
      <c r="D163" s="33"/>
      <c r="E163" s="33"/>
      <c r="G163" s="29"/>
      <c r="H163" s="29"/>
      <c r="I163" s="29"/>
      <c r="J163" s="29"/>
      <c r="K163" s="29"/>
      <c r="L163" s="29"/>
      <c r="M163" s="29"/>
      <c r="N163" s="29"/>
      <c r="O163" s="29"/>
      <c r="P163" s="29"/>
      <c r="Q163" s="29"/>
      <c r="R163" s="29"/>
      <c r="S163" s="29"/>
      <c r="T163" s="29"/>
      <c r="U163" s="29"/>
      <c r="V163" s="29"/>
      <c r="W163" s="29"/>
      <c r="X163" s="29"/>
    </row>
    <row r="164" spans="1:24" ht="15">
      <c r="A164" s="29"/>
      <c r="B164" s="29"/>
      <c r="C164" s="29"/>
      <c r="D164" s="33"/>
      <c r="E164" s="33"/>
      <c r="G164" s="29"/>
      <c r="H164" s="29"/>
      <c r="I164" s="29"/>
      <c r="J164" s="29"/>
      <c r="K164" s="29"/>
      <c r="L164" s="29"/>
      <c r="M164" s="29"/>
      <c r="N164" s="29"/>
      <c r="O164" s="29"/>
      <c r="P164" s="29"/>
      <c r="Q164" s="29"/>
      <c r="R164" s="29"/>
      <c r="S164" s="29"/>
      <c r="T164" s="29"/>
      <c r="U164" s="29"/>
      <c r="V164" s="29"/>
      <c r="W164" s="29"/>
      <c r="X164" s="29"/>
    </row>
    <row r="165" spans="1:24" ht="15">
      <c r="A165" s="29"/>
      <c r="B165" s="29"/>
      <c r="C165" s="29"/>
      <c r="D165" s="33"/>
      <c r="E165" s="33"/>
      <c r="G165" s="29"/>
      <c r="H165" s="29"/>
      <c r="I165" s="29"/>
      <c r="J165" s="29"/>
      <c r="K165" s="29"/>
      <c r="L165" s="29"/>
      <c r="M165" s="29"/>
      <c r="N165" s="29"/>
      <c r="O165" s="29"/>
      <c r="P165" s="29"/>
      <c r="Q165" s="29"/>
      <c r="R165" s="29"/>
      <c r="S165" s="29"/>
      <c r="T165" s="29"/>
      <c r="U165" s="29"/>
      <c r="V165" s="29"/>
      <c r="W165" s="29"/>
      <c r="X165" s="29"/>
    </row>
    <row r="166" spans="1:24" ht="15">
      <c r="A166" s="29"/>
      <c r="B166" s="29"/>
      <c r="C166" s="29"/>
      <c r="D166" s="33"/>
      <c r="E166" s="33"/>
      <c r="G166" s="29"/>
      <c r="H166" s="29"/>
      <c r="I166" s="29"/>
      <c r="J166" s="29"/>
      <c r="K166" s="29"/>
      <c r="L166" s="29"/>
      <c r="M166" s="29"/>
      <c r="N166" s="29"/>
      <c r="O166" s="29"/>
      <c r="P166" s="29"/>
      <c r="Q166" s="29"/>
      <c r="R166" s="29"/>
      <c r="S166" s="29"/>
      <c r="T166" s="29"/>
      <c r="U166" s="29"/>
      <c r="V166" s="29"/>
      <c r="W166" s="29"/>
      <c r="X166" s="29"/>
    </row>
    <row r="167" spans="1:24" ht="15">
      <c r="A167" s="29"/>
      <c r="B167" s="29"/>
      <c r="C167" s="29"/>
      <c r="D167" s="33"/>
      <c r="E167" s="33"/>
      <c r="G167" s="29"/>
      <c r="H167" s="29"/>
      <c r="I167" s="29"/>
      <c r="J167" s="29"/>
      <c r="K167" s="29"/>
      <c r="L167" s="29"/>
      <c r="M167" s="29"/>
      <c r="N167" s="29"/>
      <c r="O167" s="29"/>
      <c r="P167" s="29"/>
      <c r="Q167" s="29"/>
      <c r="R167" s="29"/>
      <c r="S167" s="29"/>
      <c r="T167" s="29"/>
      <c r="U167" s="29"/>
      <c r="V167" s="29"/>
      <c r="W167" s="29"/>
      <c r="X167" s="29"/>
    </row>
    <row r="168" spans="1:24" ht="15">
      <c r="A168" s="29"/>
      <c r="B168" s="29"/>
      <c r="C168" s="29"/>
      <c r="D168" s="33"/>
      <c r="E168" s="33"/>
      <c r="G168" s="29"/>
      <c r="H168" s="29"/>
      <c r="I168" s="29"/>
      <c r="J168" s="29"/>
      <c r="K168" s="29"/>
      <c r="L168" s="29"/>
      <c r="M168" s="29"/>
      <c r="N168" s="29"/>
      <c r="O168" s="29"/>
      <c r="P168" s="29"/>
      <c r="Q168" s="29"/>
      <c r="R168" s="29"/>
      <c r="S168" s="29"/>
      <c r="T168" s="29"/>
      <c r="U168" s="29"/>
      <c r="V168" s="29"/>
      <c r="W168" s="29"/>
      <c r="X168" s="29"/>
    </row>
    <row r="169" spans="1:24" ht="15">
      <c r="A169" s="29"/>
      <c r="B169" s="29"/>
      <c r="C169" s="29"/>
      <c r="D169" s="33"/>
      <c r="E169" s="33"/>
      <c r="G169" s="29"/>
      <c r="H169" s="29"/>
      <c r="I169" s="29"/>
      <c r="J169" s="29"/>
      <c r="K169" s="29"/>
      <c r="L169" s="29"/>
      <c r="M169" s="29"/>
      <c r="N169" s="29"/>
      <c r="O169" s="29"/>
      <c r="P169" s="29"/>
      <c r="Q169" s="29"/>
      <c r="R169" s="29"/>
      <c r="S169" s="29"/>
      <c r="T169" s="29"/>
      <c r="U169" s="29"/>
      <c r="V169" s="29"/>
      <c r="W169" s="29"/>
      <c r="X169" s="29"/>
    </row>
    <row r="170" spans="1:24" ht="15">
      <c r="A170" s="29"/>
      <c r="B170" s="29"/>
      <c r="C170" s="29"/>
      <c r="D170" s="33"/>
      <c r="E170" s="33"/>
      <c r="G170" s="29"/>
      <c r="H170" s="29"/>
      <c r="I170" s="29"/>
      <c r="J170" s="29"/>
      <c r="K170" s="29"/>
      <c r="L170" s="29"/>
      <c r="M170" s="29"/>
      <c r="N170" s="29"/>
      <c r="O170" s="29"/>
      <c r="P170" s="29"/>
      <c r="Q170" s="29"/>
      <c r="R170" s="29"/>
      <c r="S170" s="29"/>
      <c r="T170" s="29"/>
      <c r="U170" s="29"/>
      <c r="V170" s="29"/>
      <c r="W170" s="29"/>
      <c r="X170" s="29"/>
    </row>
    <row r="171" spans="1:24" ht="15">
      <c r="A171" s="29"/>
      <c r="B171" s="29"/>
      <c r="C171" s="29"/>
      <c r="D171" s="33"/>
      <c r="E171" s="33"/>
      <c r="G171" s="29"/>
      <c r="H171" s="29"/>
      <c r="I171" s="29"/>
      <c r="J171" s="29"/>
      <c r="K171" s="29"/>
      <c r="L171" s="29"/>
      <c r="M171" s="29"/>
      <c r="N171" s="29"/>
      <c r="O171" s="29"/>
      <c r="P171" s="29"/>
      <c r="Q171" s="29"/>
      <c r="R171" s="29"/>
      <c r="S171" s="29"/>
      <c r="T171" s="29"/>
      <c r="U171" s="29"/>
      <c r="V171" s="29"/>
      <c r="W171" s="29"/>
      <c r="X171" s="29"/>
    </row>
    <row r="172" spans="1:24" ht="15">
      <c r="A172" s="29"/>
      <c r="B172" s="29"/>
      <c r="C172" s="29"/>
      <c r="D172" s="33"/>
      <c r="E172" s="33"/>
      <c r="G172" s="29"/>
      <c r="H172" s="29"/>
      <c r="I172" s="29"/>
      <c r="J172" s="29"/>
      <c r="K172" s="29"/>
      <c r="L172" s="29"/>
      <c r="M172" s="29"/>
      <c r="N172" s="29"/>
      <c r="O172" s="29"/>
      <c r="P172" s="29"/>
      <c r="Q172" s="29"/>
      <c r="R172" s="29"/>
      <c r="S172" s="29"/>
      <c r="T172" s="29"/>
      <c r="U172" s="29"/>
      <c r="V172" s="29"/>
      <c r="W172" s="29"/>
      <c r="X172" s="29"/>
    </row>
    <row r="173" spans="1:24" ht="15">
      <c r="A173" s="29"/>
      <c r="B173" s="29"/>
      <c r="C173" s="29"/>
      <c r="D173" s="33"/>
      <c r="E173" s="33"/>
      <c r="G173" s="29"/>
      <c r="H173" s="29"/>
      <c r="I173" s="29"/>
      <c r="J173" s="29"/>
      <c r="K173" s="29"/>
      <c r="L173" s="29"/>
      <c r="M173" s="29"/>
      <c r="N173" s="29"/>
      <c r="O173" s="29"/>
      <c r="P173" s="29"/>
      <c r="Q173" s="29"/>
      <c r="R173" s="29"/>
      <c r="S173" s="29"/>
      <c r="T173" s="29"/>
      <c r="U173" s="29"/>
      <c r="V173" s="29"/>
      <c r="W173" s="29"/>
      <c r="X173" s="29"/>
    </row>
    <row r="174" spans="1:24" ht="15">
      <c r="A174" s="29"/>
      <c r="B174" s="29"/>
      <c r="C174" s="29"/>
      <c r="D174" s="33"/>
      <c r="E174" s="33"/>
      <c r="G174" s="29"/>
      <c r="H174" s="29"/>
      <c r="I174" s="29"/>
      <c r="J174" s="29"/>
      <c r="K174" s="29"/>
      <c r="L174" s="29"/>
      <c r="M174" s="29"/>
      <c r="N174" s="29"/>
      <c r="O174" s="29"/>
      <c r="P174" s="29"/>
      <c r="Q174" s="29"/>
      <c r="R174" s="29"/>
      <c r="S174" s="29"/>
      <c r="T174" s="29"/>
      <c r="U174" s="29"/>
      <c r="V174" s="29"/>
      <c r="W174" s="29"/>
      <c r="X174" s="29"/>
    </row>
    <row r="175" spans="1:24" ht="15">
      <c r="A175" s="29"/>
      <c r="B175" s="29"/>
      <c r="C175" s="29"/>
      <c r="D175" s="33"/>
      <c r="E175" s="33"/>
      <c r="G175" s="29"/>
      <c r="H175" s="29"/>
      <c r="I175" s="29"/>
      <c r="J175" s="29"/>
      <c r="K175" s="29"/>
      <c r="L175" s="29"/>
      <c r="M175" s="29"/>
      <c r="N175" s="29"/>
      <c r="O175" s="29"/>
      <c r="P175" s="29"/>
      <c r="Q175" s="29"/>
      <c r="R175" s="29"/>
      <c r="S175" s="29"/>
      <c r="T175" s="29"/>
      <c r="U175" s="29"/>
      <c r="V175" s="29"/>
      <c r="W175" s="29"/>
      <c r="X175" s="29"/>
    </row>
    <row r="176" spans="1:24" ht="15">
      <c r="A176" s="29"/>
      <c r="B176" s="29"/>
      <c r="C176" s="29"/>
      <c r="D176" s="33"/>
      <c r="E176" s="33"/>
      <c r="G176" s="29"/>
      <c r="H176" s="29"/>
      <c r="I176" s="29"/>
      <c r="J176" s="29"/>
      <c r="K176" s="29"/>
      <c r="L176" s="29"/>
      <c r="M176" s="29"/>
      <c r="N176" s="29"/>
      <c r="O176" s="29"/>
      <c r="P176" s="29"/>
      <c r="Q176" s="29"/>
      <c r="R176" s="29"/>
      <c r="S176" s="29"/>
      <c r="T176" s="29"/>
      <c r="U176" s="29"/>
      <c r="V176" s="29"/>
      <c r="W176" s="29"/>
      <c r="X176" s="29"/>
    </row>
    <row r="177" spans="1:24" ht="15">
      <c r="A177" s="29"/>
      <c r="B177" s="29"/>
      <c r="C177" s="29"/>
      <c r="D177" s="33"/>
      <c r="E177" s="33"/>
      <c r="G177" s="29"/>
      <c r="H177" s="29"/>
      <c r="I177" s="29"/>
      <c r="J177" s="29"/>
      <c r="K177" s="29"/>
      <c r="L177" s="29"/>
      <c r="M177" s="29"/>
      <c r="N177" s="29"/>
      <c r="O177" s="29"/>
      <c r="P177" s="29"/>
      <c r="Q177" s="29"/>
      <c r="R177" s="29"/>
      <c r="S177" s="29"/>
      <c r="T177" s="29"/>
      <c r="U177" s="29"/>
      <c r="V177" s="29"/>
      <c r="W177" s="29"/>
      <c r="X177" s="29"/>
    </row>
    <row r="178" spans="1:24" ht="15">
      <c r="A178" s="29"/>
      <c r="B178" s="29"/>
      <c r="C178" s="29"/>
      <c r="D178" s="33"/>
      <c r="E178" s="33"/>
      <c r="G178" s="29"/>
      <c r="H178" s="29"/>
      <c r="I178" s="29"/>
      <c r="J178" s="29"/>
      <c r="K178" s="29"/>
      <c r="L178" s="29"/>
      <c r="M178" s="29"/>
      <c r="N178" s="29"/>
      <c r="O178" s="29"/>
      <c r="P178" s="29"/>
      <c r="Q178" s="29"/>
      <c r="R178" s="29"/>
      <c r="S178" s="29"/>
      <c r="T178" s="29"/>
      <c r="U178" s="29"/>
      <c r="V178" s="29"/>
      <c r="W178" s="29"/>
      <c r="X178" s="29"/>
    </row>
    <row r="179" spans="1:24" ht="15">
      <c r="A179" s="29"/>
      <c r="B179" s="29"/>
      <c r="C179" s="29"/>
      <c r="D179" s="33"/>
      <c r="E179" s="33"/>
      <c r="G179" s="29"/>
      <c r="H179" s="29"/>
      <c r="I179" s="29"/>
      <c r="J179" s="29"/>
      <c r="K179" s="29"/>
      <c r="L179" s="29"/>
      <c r="M179" s="29"/>
      <c r="N179" s="29"/>
      <c r="O179" s="29"/>
      <c r="P179" s="29"/>
      <c r="Q179" s="29"/>
      <c r="R179" s="29"/>
      <c r="S179" s="29"/>
      <c r="T179" s="29"/>
      <c r="U179" s="29"/>
      <c r="V179" s="29"/>
      <c r="W179" s="29"/>
      <c r="X179" s="29"/>
    </row>
    <row r="180" spans="1:24" ht="15">
      <c r="A180" s="29"/>
      <c r="B180" s="29"/>
      <c r="C180" s="29"/>
      <c r="D180" s="33"/>
      <c r="E180" s="33"/>
      <c r="G180" s="29"/>
      <c r="H180" s="29"/>
      <c r="I180" s="29"/>
      <c r="J180" s="29"/>
      <c r="K180" s="29"/>
      <c r="L180" s="29"/>
      <c r="M180" s="29"/>
      <c r="N180" s="29"/>
      <c r="O180" s="29"/>
      <c r="P180" s="29"/>
      <c r="Q180" s="29"/>
      <c r="R180" s="29"/>
      <c r="S180" s="29"/>
      <c r="T180" s="29"/>
      <c r="U180" s="29"/>
      <c r="V180" s="29"/>
      <c r="W180" s="29"/>
      <c r="X180" s="29"/>
    </row>
    <row r="181" spans="1:24" ht="15">
      <c r="A181" s="29"/>
      <c r="B181" s="29"/>
      <c r="C181" s="29"/>
      <c r="D181" s="33"/>
      <c r="E181" s="33"/>
      <c r="G181" s="29"/>
      <c r="H181" s="29"/>
      <c r="I181" s="29"/>
      <c r="J181" s="29"/>
      <c r="K181" s="29"/>
      <c r="L181" s="29"/>
      <c r="M181" s="29"/>
      <c r="N181" s="29"/>
      <c r="O181" s="29"/>
      <c r="P181" s="29"/>
      <c r="Q181" s="29"/>
      <c r="R181" s="29"/>
      <c r="S181" s="29"/>
      <c r="T181" s="29"/>
      <c r="U181" s="29"/>
      <c r="V181" s="29"/>
      <c r="W181" s="29"/>
      <c r="X181" s="29"/>
    </row>
    <row r="182" spans="1:24" ht="15">
      <c r="A182" s="29"/>
      <c r="B182" s="29"/>
      <c r="C182" s="29"/>
      <c r="D182" s="33"/>
      <c r="E182" s="33"/>
      <c r="G182" s="29"/>
      <c r="H182" s="29"/>
      <c r="I182" s="29"/>
      <c r="J182" s="29"/>
      <c r="K182" s="29"/>
      <c r="L182" s="29"/>
      <c r="M182" s="29"/>
      <c r="N182" s="29"/>
      <c r="O182" s="29"/>
      <c r="P182" s="29"/>
      <c r="Q182" s="29"/>
      <c r="R182" s="29"/>
      <c r="S182" s="29"/>
      <c r="T182" s="29"/>
      <c r="U182" s="29"/>
      <c r="V182" s="29"/>
      <c r="W182" s="29"/>
      <c r="X182" s="29"/>
    </row>
    <row r="183" spans="1:24" ht="15">
      <c r="A183" s="29"/>
      <c r="B183" s="29"/>
      <c r="C183" s="29"/>
      <c r="D183" s="33"/>
      <c r="E183" s="33"/>
      <c r="G183" s="29"/>
      <c r="H183" s="29"/>
      <c r="I183" s="29"/>
      <c r="J183" s="29"/>
      <c r="K183" s="29"/>
      <c r="L183" s="29"/>
      <c r="M183" s="29"/>
      <c r="N183" s="29"/>
      <c r="O183" s="29"/>
      <c r="P183" s="29"/>
      <c r="Q183" s="29"/>
      <c r="R183" s="29"/>
      <c r="S183" s="29"/>
      <c r="T183" s="29"/>
      <c r="U183" s="29"/>
      <c r="V183" s="29"/>
      <c r="W183" s="29"/>
      <c r="X183" s="29"/>
    </row>
    <row r="184" spans="1:24" ht="15">
      <c r="A184" s="29"/>
      <c r="B184" s="29"/>
      <c r="C184" s="29"/>
      <c r="D184" s="33"/>
      <c r="E184" s="33"/>
      <c r="G184" s="29"/>
      <c r="H184" s="29"/>
      <c r="I184" s="29"/>
      <c r="J184" s="29"/>
      <c r="K184" s="29"/>
      <c r="L184" s="29"/>
      <c r="M184" s="29"/>
      <c r="N184" s="29"/>
      <c r="O184" s="29"/>
      <c r="P184" s="29"/>
      <c r="Q184" s="29"/>
      <c r="R184" s="29"/>
      <c r="S184" s="29"/>
      <c r="T184" s="29"/>
      <c r="U184" s="29"/>
      <c r="V184" s="29"/>
      <c r="W184" s="29"/>
      <c r="X184" s="29"/>
    </row>
    <row r="185" spans="1:24" ht="15">
      <c r="A185" s="29"/>
      <c r="B185" s="29"/>
      <c r="C185" s="29"/>
      <c r="D185" s="33"/>
      <c r="E185" s="33"/>
      <c r="G185" s="29"/>
      <c r="H185" s="29"/>
      <c r="I185" s="29"/>
      <c r="J185" s="29"/>
      <c r="K185" s="29"/>
      <c r="L185" s="29"/>
      <c r="M185" s="29"/>
      <c r="N185" s="29"/>
      <c r="O185" s="29"/>
      <c r="P185" s="29"/>
      <c r="Q185" s="29"/>
      <c r="R185" s="29"/>
      <c r="S185" s="29"/>
      <c r="T185" s="29"/>
      <c r="U185" s="29"/>
      <c r="V185" s="29"/>
      <c r="W185" s="29"/>
      <c r="X185" s="29"/>
    </row>
    <row r="186" spans="1:24" ht="15">
      <c r="A186" s="29"/>
      <c r="B186" s="29"/>
      <c r="C186" s="29"/>
      <c r="D186" s="33"/>
      <c r="E186" s="33"/>
      <c r="G186" s="29"/>
      <c r="H186" s="29"/>
      <c r="I186" s="29"/>
      <c r="J186" s="29"/>
      <c r="K186" s="29"/>
      <c r="L186" s="29"/>
      <c r="M186" s="29"/>
      <c r="N186" s="29"/>
      <c r="O186" s="29"/>
      <c r="P186" s="29"/>
      <c r="Q186" s="29"/>
      <c r="R186" s="29"/>
      <c r="S186" s="29"/>
      <c r="T186" s="29"/>
      <c r="U186" s="29"/>
      <c r="V186" s="29"/>
      <c r="W186" s="29"/>
      <c r="X186" s="29"/>
    </row>
    <row r="187" spans="1:24" ht="15">
      <c r="A187" s="29"/>
      <c r="B187" s="29"/>
      <c r="C187" s="29"/>
      <c r="D187" s="33"/>
      <c r="E187" s="33"/>
      <c r="G187" s="29"/>
      <c r="H187" s="29"/>
      <c r="I187" s="29"/>
      <c r="J187" s="29"/>
      <c r="K187" s="29"/>
      <c r="L187" s="29"/>
      <c r="M187" s="29"/>
      <c r="N187" s="29"/>
      <c r="O187" s="29"/>
      <c r="P187" s="29"/>
      <c r="Q187" s="29"/>
      <c r="R187" s="29"/>
      <c r="S187" s="29"/>
      <c r="T187" s="29"/>
      <c r="U187" s="29"/>
      <c r="V187" s="29"/>
      <c r="W187" s="29"/>
      <c r="X187" s="29"/>
    </row>
    <row r="188" spans="1:24" ht="15">
      <c r="A188" s="29"/>
      <c r="B188" s="29"/>
      <c r="C188" s="29"/>
      <c r="D188" s="33"/>
      <c r="E188" s="33"/>
      <c r="G188" s="29"/>
      <c r="H188" s="29"/>
      <c r="I188" s="29"/>
      <c r="J188" s="29"/>
      <c r="K188" s="29"/>
      <c r="L188" s="29"/>
      <c r="M188" s="29"/>
      <c r="N188" s="29"/>
      <c r="O188" s="29"/>
      <c r="P188" s="29"/>
      <c r="Q188" s="29"/>
      <c r="R188" s="29"/>
      <c r="S188" s="29"/>
      <c r="T188" s="29"/>
      <c r="U188" s="29"/>
      <c r="V188" s="29"/>
      <c r="W188" s="29"/>
      <c r="X188" s="29"/>
    </row>
    <row r="189" spans="1:24" ht="15">
      <c r="A189" s="29"/>
      <c r="B189" s="29"/>
      <c r="C189" s="29"/>
      <c r="D189" s="33"/>
      <c r="E189" s="33"/>
      <c r="G189" s="29"/>
      <c r="H189" s="29"/>
      <c r="I189" s="29"/>
      <c r="J189" s="29"/>
      <c r="K189" s="29"/>
      <c r="L189" s="29"/>
      <c r="M189" s="29"/>
      <c r="N189" s="29"/>
      <c r="O189" s="29"/>
      <c r="P189" s="29"/>
      <c r="Q189" s="29"/>
      <c r="R189" s="29"/>
      <c r="S189" s="29"/>
      <c r="T189" s="29"/>
      <c r="U189" s="29"/>
      <c r="V189" s="29"/>
      <c r="W189" s="29"/>
      <c r="X189" s="29"/>
    </row>
    <row r="190" spans="1:24" ht="15">
      <c r="A190" s="29"/>
      <c r="B190" s="29"/>
      <c r="C190" s="29"/>
      <c r="D190" s="33"/>
      <c r="E190" s="33"/>
      <c r="G190" s="29"/>
      <c r="H190" s="29"/>
      <c r="I190" s="29"/>
      <c r="J190" s="29"/>
      <c r="K190" s="29"/>
      <c r="L190" s="29"/>
      <c r="M190" s="29"/>
      <c r="N190" s="29"/>
      <c r="O190" s="29"/>
      <c r="P190" s="29"/>
      <c r="Q190" s="29"/>
      <c r="R190" s="29"/>
      <c r="S190" s="29"/>
      <c r="T190" s="29"/>
      <c r="U190" s="29"/>
      <c r="V190" s="29"/>
      <c r="W190" s="29"/>
      <c r="X190" s="29"/>
    </row>
    <row r="191" spans="1:24" ht="15">
      <c r="A191" s="29"/>
      <c r="B191" s="29"/>
      <c r="C191" s="29"/>
      <c r="D191" s="33"/>
      <c r="E191" s="33"/>
      <c r="G191" s="29"/>
      <c r="H191" s="29"/>
      <c r="I191" s="29"/>
      <c r="J191" s="29"/>
      <c r="K191" s="29"/>
      <c r="L191" s="29"/>
      <c r="M191" s="29"/>
      <c r="N191" s="29"/>
      <c r="O191" s="29"/>
      <c r="P191" s="29"/>
      <c r="Q191" s="29"/>
      <c r="R191" s="29"/>
      <c r="S191" s="29"/>
      <c r="T191" s="29"/>
      <c r="U191" s="29"/>
      <c r="V191" s="29"/>
      <c r="W191" s="29"/>
      <c r="X191" s="29"/>
    </row>
    <row r="192" spans="1:24" ht="15">
      <c r="A192" s="29"/>
      <c r="B192" s="29"/>
      <c r="C192" s="29"/>
      <c r="D192" s="33"/>
      <c r="E192" s="33"/>
      <c r="G192" s="29"/>
      <c r="H192" s="29"/>
      <c r="I192" s="29"/>
      <c r="J192" s="29"/>
      <c r="K192" s="29"/>
      <c r="L192" s="29"/>
      <c r="M192" s="29"/>
      <c r="N192" s="29"/>
      <c r="O192" s="29"/>
      <c r="P192" s="29"/>
      <c r="Q192" s="29"/>
      <c r="R192" s="29"/>
      <c r="S192" s="29"/>
      <c r="T192" s="29"/>
      <c r="U192" s="29"/>
      <c r="V192" s="29"/>
      <c r="W192" s="29"/>
      <c r="X192" s="29"/>
    </row>
    <row r="193" spans="1:24" ht="15">
      <c r="A193" s="29"/>
      <c r="B193" s="29"/>
      <c r="C193" s="29"/>
      <c r="D193" s="33"/>
      <c r="E193" s="33"/>
      <c r="G193" s="29"/>
      <c r="H193" s="29"/>
      <c r="I193" s="29"/>
      <c r="J193" s="29"/>
      <c r="K193" s="29"/>
      <c r="L193" s="29"/>
      <c r="M193" s="29"/>
      <c r="N193" s="29"/>
      <c r="O193" s="29"/>
      <c r="P193" s="29"/>
      <c r="Q193" s="29"/>
      <c r="R193" s="29"/>
      <c r="S193" s="29"/>
      <c r="T193" s="29"/>
      <c r="U193" s="29"/>
      <c r="V193" s="29"/>
      <c r="W193" s="29"/>
      <c r="X193" s="29"/>
    </row>
    <row r="194" spans="1:24" ht="15">
      <c r="A194" s="29"/>
      <c r="B194" s="29"/>
      <c r="C194" s="29"/>
      <c r="D194" s="33"/>
      <c r="E194" s="33"/>
      <c r="G194" s="29"/>
      <c r="H194" s="29"/>
      <c r="I194" s="29"/>
      <c r="J194" s="29"/>
      <c r="K194" s="29"/>
      <c r="L194" s="29"/>
      <c r="M194" s="29"/>
      <c r="N194" s="29"/>
      <c r="O194" s="29"/>
      <c r="P194" s="29"/>
      <c r="Q194" s="29"/>
      <c r="R194" s="29"/>
      <c r="S194" s="29"/>
      <c r="T194" s="29"/>
      <c r="U194" s="29"/>
      <c r="V194" s="29"/>
      <c r="W194" s="29"/>
      <c r="X194" s="29"/>
    </row>
    <row r="195" spans="1:24" ht="15">
      <c r="A195" s="29"/>
      <c r="B195" s="29"/>
      <c r="C195" s="29"/>
      <c r="D195" s="33"/>
      <c r="E195" s="33"/>
      <c r="G195" s="29"/>
      <c r="H195" s="29"/>
      <c r="I195" s="29"/>
      <c r="J195" s="29"/>
      <c r="K195" s="29"/>
      <c r="L195" s="29"/>
      <c r="M195" s="29"/>
      <c r="N195" s="29"/>
      <c r="O195" s="29"/>
      <c r="P195" s="29"/>
      <c r="Q195" s="29"/>
      <c r="R195" s="29"/>
      <c r="S195" s="29"/>
      <c r="T195" s="29"/>
      <c r="U195" s="29"/>
      <c r="V195" s="29"/>
      <c r="W195" s="29"/>
      <c r="X195" s="29"/>
    </row>
    <row r="196" spans="1:24" ht="15">
      <c r="A196" s="29"/>
      <c r="B196" s="29"/>
      <c r="C196" s="29"/>
      <c r="D196" s="33"/>
      <c r="E196" s="33"/>
      <c r="G196" s="29"/>
      <c r="H196" s="29"/>
      <c r="I196" s="29"/>
      <c r="J196" s="29"/>
      <c r="K196" s="29"/>
      <c r="L196" s="29"/>
      <c r="M196" s="29"/>
      <c r="N196" s="29"/>
      <c r="O196" s="29"/>
      <c r="P196" s="29"/>
      <c r="Q196" s="29"/>
      <c r="R196" s="29"/>
      <c r="S196" s="29"/>
      <c r="T196" s="29"/>
      <c r="U196" s="29"/>
      <c r="V196" s="29"/>
      <c r="W196" s="29"/>
      <c r="X196" s="29"/>
    </row>
    <row r="197" spans="1:24" ht="15">
      <c r="A197" s="29"/>
      <c r="B197" s="29"/>
      <c r="C197" s="29"/>
      <c r="D197" s="33"/>
      <c r="E197" s="33"/>
      <c r="G197" s="29"/>
      <c r="H197" s="29"/>
      <c r="I197" s="29"/>
      <c r="J197" s="29"/>
      <c r="K197" s="29"/>
      <c r="L197" s="29"/>
      <c r="M197" s="29"/>
      <c r="N197" s="29"/>
      <c r="O197" s="29"/>
      <c r="P197" s="29"/>
      <c r="Q197" s="29"/>
      <c r="R197" s="29"/>
      <c r="S197" s="29"/>
      <c r="T197" s="29"/>
      <c r="U197" s="29"/>
      <c r="V197" s="29"/>
      <c r="W197" s="29"/>
      <c r="X197" s="29"/>
    </row>
    <row r="198" spans="1:24" ht="15">
      <c r="A198" s="29"/>
      <c r="B198" s="29"/>
      <c r="C198" s="29"/>
      <c r="D198" s="33"/>
      <c r="E198" s="33"/>
      <c r="G198" s="29"/>
      <c r="H198" s="29"/>
      <c r="I198" s="29"/>
      <c r="J198" s="29"/>
      <c r="K198" s="29"/>
      <c r="L198" s="29"/>
      <c r="M198" s="29"/>
      <c r="N198" s="29"/>
      <c r="O198" s="29"/>
      <c r="P198" s="29"/>
      <c r="Q198" s="29"/>
      <c r="R198" s="29"/>
      <c r="S198" s="29"/>
      <c r="T198" s="29"/>
      <c r="U198" s="29"/>
      <c r="V198" s="29"/>
      <c r="W198" s="29"/>
      <c r="X198" s="29"/>
    </row>
    <row r="199" spans="1:24" ht="15">
      <c r="A199" s="29"/>
      <c r="B199" s="29"/>
      <c r="C199" s="29"/>
      <c r="D199" s="33"/>
      <c r="E199" s="33"/>
      <c r="G199" s="29"/>
      <c r="H199" s="29"/>
      <c r="I199" s="29"/>
      <c r="J199" s="29"/>
      <c r="K199" s="29"/>
      <c r="L199" s="29"/>
      <c r="M199" s="29"/>
      <c r="N199" s="29"/>
      <c r="O199" s="29"/>
      <c r="P199" s="29"/>
      <c r="Q199" s="29"/>
      <c r="R199" s="29"/>
      <c r="S199" s="29"/>
      <c r="T199" s="29"/>
      <c r="U199" s="29"/>
      <c r="V199" s="29"/>
      <c r="W199" s="29"/>
      <c r="X199" s="29"/>
    </row>
    <row r="200" spans="1:24" ht="15">
      <c r="A200" s="29"/>
      <c r="B200" s="29"/>
      <c r="C200" s="29"/>
      <c r="D200" s="33"/>
      <c r="E200" s="33"/>
      <c r="G200" s="29"/>
      <c r="H200" s="29"/>
      <c r="I200" s="29"/>
      <c r="J200" s="29"/>
      <c r="K200" s="29"/>
      <c r="L200" s="29"/>
      <c r="M200" s="29"/>
      <c r="N200" s="29"/>
      <c r="O200" s="29"/>
      <c r="P200" s="29"/>
      <c r="Q200" s="29"/>
      <c r="R200" s="29"/>
      <c r="S200" s="29"/>
      <c r="T200" s="29"/>
      <c r="U200" s="29"/>
      <c r="V200" s="29"/>
      <c r="W200" s="29"/>
      <c r="X200" s="29"/>
    </row>
    <row r="201" spans="1:24" ht="15">
      <c r="A201" s="29"/>
      <c r="B201" s="29"/>
      <c r="C201" s="29"/>
      <c r="D201" s="33"/>
      <c r="E201" s="33"/>
      <c r="G201" s="29"/>
      <c r="H201" s="29"/>
      <c r="I201" s="29"/>
      <c r="J201" s="29"/>
      <c r="K201" s="29"/>
      <c r="L201" s="29"/>
      <c r="M201" s="29"/>
      <c r="N201" s="29"/>
      <c r="O201" s="29"/>
      <c r="P201" s="29"/>
      <c r="Q201" s="29"/>
      <c r="R201" s="29"/>
      <c r="S201" s="29"/>
      <c r="T201" s="29"/>
      <c r="U201" s="29"/>
      <c r="V201" s="29"/>
      <c r="W201" s="29"/>
      <c r="X201" s="29"/>
    </row>
    <row r="202" spans="1:24" ht="15">
      <c r="A202" s="29"/>
      <c r="B202" s="29"/>
      <c r="C202" s="29"/>
      <c r="D202" s="33"/>
      <c r="E202" s="33"/>
      <c r="G202" s="29"/>
      <c r="H202" s="29"/>
      <c r="I202" s="29"/>
      <c r="J202" s="29"/>
      <c r="K202" s="29"/>
      <c r="L202" s="29"/>
      <c r="M202" s="29"/>
      <c r="N202" s="29"/>
      <c r="O202" s="29"/>
      <c r="P202" s="29"/>
      <c r="Q202" s="29"/>
      <c r="R202" s="29"/>
      <c r="S202" s="29"/>
      <c r="T202" s="29"/>
      <c r="U202" s="29"/>
      <c r="V202" s="29"/>
      <c r="W202" s="29"/>
      <c r="X202" s="29"/>
    </row>
    <row r="203" spans="1:24" ht="15">
      <c r="A203" s="29"/>
      <c r="B203" s="29"/>
      <c r="C203" s="29"/>
      <c r="D203" s="33"/>
      <c r="E203" s="33"/>
      <c r="G203" s="29"/>
      <c r="H203" s="29"/>
      <c r="I203" s="29"/>
      <c r="J203" s="29"/>
      <c r="K203" s="29"/>
      <c r="L203" s="29"/>
      <c r="M203" s="29"/>
      <c r="N203" s="29"/>
      <c r="O203" s="29"/>
      <c r="P203" s="29"/>
      <c r="Q203" s="29"/>
      <c r="R203" s="29"/>
      <c r="S203" s="29"/>
      <c r="T203" s="29"/>
      <c r="U203" s="29"/>
      <c r="V203" s="29"/>
      <c r="W203" s="29"/>
      <c r="X203" s="29"/>
    </row>
    <row r="204" spans="1:24" ht="15">
      <c r="A204" s="29"/>
      <c r="B204" s="29"/>
      <c r="C204" s="29"/>
      <c r="D204" s="33"/>
      <c r="E204" s="33"/>
      <c r="G204" s="29"/>
      <c r="H204" s="29"/>
      <c r="I204" s="29"/>
      <c r="J204" s="29"/>
      <c r="K204" s="29"/>
      <c r="L204" s="29"/>
      <c r="M204" s="29"/>
      <c r="N204" s="29"/>
      <c r="O204" s="29"/>
      <c r="P204" s="29"/>
      <c r="Q204" s="29"/>
      <c r="R204" s="29"/>
      <c r="S204" s="29"/>
      <c r="T204" s="29"/>
      <c r="U204" s="29"/>
      <c r="V204" s="29"/>
      <c r="W204" s="29"/>
      <c r="X204" s="29"/>
    </row>
    <row r="205" spans="1:24" ht="15">
      <c r="A205" s="29"/>
      <c r="B205" s="29"/>
      <c r="C205" s="29"/>
      <c r="D205" s="33"/>
      <c r="E205" s="33"/>
      <c r="G205" s="29"/>
      <c r="H205" s="29"/>
      <c r="I205" s="29"/>
      <c r="J205" s="29"/>
      <c r="K205" s="29"/>
      <c r="L205" s="29"/>
      <c r="M205" s="29"/>
      <c r="N205" s="29"/>
      <c r="O205" s="29"/>
      <c r="P205" s="29"/>
      <c r="Q205" s="29"/>
      <c r="R205" s="29"/>
      <c r="S205" s="29"/>
      <c r="T205" s="29"/>
      <c r="U205" s="29"/>
      <c r="V205" s="29"/>
      <c r="W205" s="29"/>
      <c r="X205" s="29"/>
    </row>
    <row r="206" spans="1:24" ht="15">
      <c r="A206" s="29"/>
      <c r="B206" s="29"/>
      <c r="C206" s="29"/>
      <c r="D206" s="33"/>
      <c r="E206" s="33"/>
      <c r="G206" s="29"/>
      <c r="H206" s="29"/>
      <c r="I206" s="29"/>
      <c r="J206" s="29"/>
      <c r="K206" s="29"/>
      <c r="L206" s="29"/>
      <c r="M206" s="29"/>
      <c r="N206" s="29"/>
      <c r="O206" s="29"/>
      <c r="P206" s="29"/>
      <c r="Q206" s="29"/>
      <c r="R206" s="29"/>
      <c r="S206" s="29"/>
      <c r="T206" s="29"/>
      <c r="U206" s="29"/>
      <c r="V206" s="29"/>
      <c r="W206" s="29"/>
      <c r="X206" s="29"/>
    </row>
    <row r="207" spans="1:24" ht="15">
      <c r="A207" s="29"/>
      <c r="B207" s="29"/>
      <c r="C207" s="29"/>
      <c r="D207" s="33"/>
      <c r="E207" s="33"/>
      <c r="G207" s="29"/>
      <c r="H207" s="29"/>
      <c r="I207" s="29"/>
      <c r="J207" s="29"/>
      <c r="K207" s="29"/>
      <c r="L207" s="29"/>
      <c r="M207" s="29"/>
      <c r="N207" s="29"/>
      <c r="O207" s="29"/>
      <c r="P207" s="29"/>
      <c r="Q207" s="29"/>
      <c r="R207" s="29"/>
      <c r="S207" s="29"/>
      <c r="T207" s="29"/>
      <c r="U207" s="29"/>
      <c r="V207" s="29"/>
      <c r="W207" s="29"/>
      <c r="X207" s="29"/>
    </row>
    <row r="208" spans="1:24" ht="15">
      <c r="A208" s="29"/>
      <c r="B208" s="29"/>
      <c r="C208" s="29"/>
      <c r="D208" s="33"/>
      <c r="E208" s="33"/>
      <c r="G208" s="29"/>
      <c r="H208" s="29"/>
      <c r="I208" s="29"/>
      <c r="J208" s="29"/>
      <c r="K208" s="29"/>
      <c r="L208" s="29"/>
      <c r="M208" s="29"/>
      <c r="N208" s="29"/>
      <c r="O208" s="29"/>
      <c r="P208" s="29"/>
      <c r="Q208" s="29"/>
      <c r="R208" s="29"/>
      <c r="S208" s="29"/>
      <c r="T208" s="29"/>
      <c r="U208" s="29"/>
      <c r="V208" s="29"/>
      <c r="W208" s="29"/>
      <c r="X208" s="29"/>
    </row>
    <row r="209" spans="1:24" ht="15">
      <c r="A209" s="29"/>
      <c r="B209" s="29"/>
      <c r="C209" s="29"/>
      <c r="D209" s="33"/>
      <c r="E209" s="33"/>
      <c r="G209" s="29"/>
      <c r="H209" s="29"/>
      <c r="I209" s="29"/>
      <c r="J209" s="29"/>
      <c r="K209" s="29"/>
      <c r="L209" s="29"/>
      <c r="M209" s="29"/>
      <c r="N209" s="29"/>
      <c r="O209" s="29"/>
      <c r="P209" s="29"/>
      <c r="Q209" s="29"/>
      <c r="R209" s="29"/>
      <c r="S209" s="29"/>
      <c r="T209" s="29"/>
      <c r="U209" s="29"/>
      <c r="V209" s="29"/>
      <c r="W209" s="29"/>
      <c r="X209" s="29"/>
    </row>
    <row r="210" spans="1:24" ht="15">
      <c r="A210" s="29"/>
      <c r="B210" s="29"/>
      <c r="C210" s="29"/>
      <c r="D210" s="33"/>
      <c r="E210" s="33"/>
      <c r="G210" s="29"/>
      <c r="H210" s="29"/>
      <c r="I210" s="29"/>
      <c r="J210" s="29"/>
      <c r="K210" s="29"/>
      <c r="L210" s="29"/>
      <c r="M210" s="29"/>
      <c r="N210" s="29"/>
      <c r="O210" s="29"/>
      <c r="P210" s="29"/>
      <c r="Q210" s="29"/>
      <c r="R210" s="29"/>
      <c r="S210" s="29"/>
      <c r="T210" s="29"/>
      <c r="U210" s="29"/>
      <c r="V210" s="29"/>
      <c r="W210" s="29"/>
      <c r="X210" s="29"/>
    </row>
    <row r="211" spans="1:24" ht="15">
      <c r="A211" s="29"/>
      <c r="B211" s="29"/>
      <c r="C211" s="29"/>
      <c r="D211" s="33"/>
      <c r="E211" s="33"/>
      <c r="G211" s="29"/>
      <c r="H211" s="29"/>
      <c r="I211" s="29"/>
      <c r="J211" s="29"/>
      <c r="K211" s="29"/>
      <c r="L211" s="29"/>
      <c r="M211" s="29"/>
      <c r="N211" s="29"/>
      <c r="O211" s="29"/>
      <c r="P211" s="29"/>
      <c r="Q211" s="29"/>
      <c r="R211" s="29"/>
      <c r="S211" s="29"/>
      <c r="T211" s="29"/>
      <c r="U211" s="29"/>
      <c r="V211" s="29"/>
      <c r="W211" s="29"/>
      <c r="X211" s="29"/>
    </row>
    <row r="212" spans="1:24" ht="15">
      <c r="A212" s="29"/>
      <c r="B212" s="29"/>
      <c r="C212" s="29"/>
      <c r="D212" s="33"/>
      <c r="E212" s="33"/>
      <c r="G212" s="29"/>
      <c r="H212" s="29"/>
      <c r="I212" s="29"/>
      <c r="J212" s="29"/>
      <c r="K212" s="29"/>
      <c r="L212" s="29"/>
      <c r="M212" s="29"/>
      <c r="N212" s="29"/>
      <c r="O212" s="29"/>
      <c r="P212" s="29"/>
      <c r="Q212" s="29"/>
      <c r="R212" s="29"/>
      <c r="S212" s="29"/>
      <c r="T212" s="29"/>
      <c r="U212" s="29"/>
      <c r="V212" s="29"/>
      <c r="W212" s="29"/>
      <c r="X212" s="29"/>
    </row>
    <row r="213" spans="1:24" ht="15">
      <c r="A213" s="29"/>
      <c r="B213" s="29"/>
      <c r="C213" s="29"/>
      <c r="D213" s="33"/>
      <c r="E213" s="33"/>
      <c r="G213" s="29"/>
      <c r="H213" s="29"/>
      <c r="I213" s="29"/>
      <c r="J213" s="29"/>
      <c r="K213" s="29"/>
      <c r="L213" s="29"/>
      <c r="M213" s="29"/>
      <c r="N213" s="29"/>
      <c r="O213" s="29"/>
      <c r="P213" s="29"/>
      <c r="Q213" s="29"/>
      <c r="R213" s="29"/>
      <c r="S213" s="29"/>
      <c r="T213" s="29"/>
      <c r="U213" s="29"/>
      <c r="V213" s="29"/>
      <c r="W213" s="29"/>
      <c r="X213" s="29"/>
    </row>
    <row r="214" spans="1:24" ht="15">
      <c r="A214" s="29"/>
      <c r="B214" s="29"/>
      <c r="C214" s="29"/>
      <c r="D214" s="33"/>
      <c r="E214" s="33"/>
      <c r="G214" s="29"/>
      <c r="H214" s="29"/>
      <c r="I214" s="29"/>
      <c r="J214" s="29"/>
      <c r="K214" s="29"/>
      <c r="L214" s="29"/>
      <c r="M214" s="29"/>
      <c r="N214" s="29"/>
      <c r="O214" s="29"/>
      <c r="P214" s="29"/>
      <c r="Q214" s="29"/>
      <c r="R214" s="29"/>
      <c r="S214" s="29"/>
      <c r="T214" s="29"/>
      <c r="U214" s="29"/>
      <c r="V214" s="29"/>
      <c r="W214" s="29"/>
      <c r="X214" s="29"/>
    </row>
    <row r="215" spans="1:24" ht="15">
      <c r="A215" s="29"/>
      <c r="B215" s="29"/>
      <c r="C215" s="29"/>
      <c r="D215" s="33"/>
      <c r="E215" s="33"/>
      <c r="G215" s="29"/>
      <c r="H215" s="29"/>
      <c r="I215" s="29"/>
      <c r="J215" s="29"/>
      <c r="K215" s="29"/>
      <c r="L215" s="29"/>
      <c r="M215" s="29"/>
      <c r="N215" s="29"/>
      <c r="O215" s="29"/>
      <c r="P215" s="29"/>
      <c r="Q215" s="29"/>
      <c r="R215" s="29"/>
      <c r="S215" s="29"/>
      <c r="T215" s="29"/>
      <c r="U215" s="29"/>
      <c r="V215" s="29"/>
      <c r="W215" s="29"/>
      <c r="X215" s="29"/>
    </row>
    <row r="216" spans="1:24" ht="15">
      <c r="A216" s="29"/>
      <c r="B216" s="29"/>
      <c r="C216" s="29"/>
      <c r="D216" s="33"/>
      <c r="E216" s="33"/>
      <c r="G216" s="29"/>
      <c r="H216" s="29"/>
      <c r="I216" s="29"/>
      <c r="J216" s="29"/>
      <c r="K216" s="29"/>
      <c r="L216" s="29"/>
      <c r="M216" s="29"/>
      <c r="N216" s="29"/>
      <c r="O216" s="29"/>
      <c r="P216" s="29"/>
      <c r="Q216" s="29"/>
      <c r="R216" s="29"/>
      <c r="S216" s="29"/>
      <c r="T216" s="29"/>
      <c r="U216" s="29"/>
      <c r="V216" s="29"/>
      <c r="W216" s="29"/>
      <c r="X216" s="29"/>
    </row>
    <row r="217" spans="1:24" ht="15">
      <c r="A217" s="29"/>
      <c r="B217" s="29"/>
      <c r="C217" s="29"/>
      <c r="D217" s="33"/>
      <c r="E217" s="33"/>
      <c r="G217" s="29"/>
      <c r="H217" s="29"/>
      <c r="I217" s="29"/>
      <c r="J217" s="29"/>
      <c r="K217" s="29"/>
      <c r="L217" s="29"/>
      <c r="M217" s="29"/>
      <c r="N217" s="29"/>
      <c r="O217" s="29"/>
      <c r="P217" s="29"/>
      <c r="Q217" s="29"/>
      <c r="R217" s="29"/>
      <c r="S217" s="29"/>
      <c r="T217" s="29"/>
      <c r="U217" s="29"/>
      <c r="V217" s="29"/>
      <c r="W217" s="29"/>
      <c r="X217" s="29"/>
    </row>
    <row r="218" spans="1:24" ht="15">
      <c r="A218" s="29"/>
      <c r="B218" s="29"/>
      <c r="C218" s="29"/>
      <c r="D218" s="33"/>
      <c r="E218" s="33"/>
      <c r="G218" s="29"/>
      <c r="H218" s="29"/>
      <c r="I218" s="29"/>
      <c r="J218" s="29"/>
      <c r="K218" s="29"/>
      <c r="L218" s="29"/>
      <c r="M218" s="29"/>
      <c r="N218" s="29"/>
      <c r="O218" s="29"/>
      <c r="P218" s="29"/>
      <c r="Q218" s="29"/>
      <c r="R218" s="29"/>
      <c r="S218" s="29"/>
      <c r="T218" s="29"/>
      <c r="U218" s="29"/>
      <c r="V218" s="29"/>
      <c r="W218" s="29"/>
      <c r="X218" s="29"/>
    </row>
    <row r="219" spans="1:24" ht="15">
      <c r="A219" s="29"/>
      <c r="B219" s="29"/>
      <c r="C219" s="29"/>
      <c r="D219" s="33"/>
      <c r="E219" s="33"/>
      <c r="G219" s="29"/>
      <c r="H219" s="29"/>
      <c r="I219" s="29"/>
      <c r="J219" s="29"/>
      <c r="K219" s="29"/>
      <c r="L219" s="29"/>
      <c r="M219" s="29"/>
      <c r="N219" s="29"/>
      <c r="O219" s="29"/>
      <c r="P219" s="29"/>
      <c r="Q219" s="29"/>
      <c r="R219" s="29"/>
      <c r="S219" s="29"/>
      <c r="T219" s="29"/>
      <c r="U219" s="29"/>
      <c r="V219" s="29"/>
      <c r="W219" s="29"/>
      <c r="X219" s="29"/>
    </row>
    <row r="220" spans="1:24" ht="15">
      <c r="A220" s="29"/>
      <c r="B220" s="29"/>
      <c r="C220" s="29"/>
      <c r="D220" s="33"/>
      <c r="E220" s="33"/>
      <c r="G220" s="29"/>
      <c r="H220" s="29"/>
      <c r="I220" s="29"/>
      <c r="J220" s="29"/>
      <c r="K220" s="29"/>
      <c r="L220" s="29"/>
      <c r="M220" s="29"/>
      <c r="N220" s="29"/>
      <c r="O220" s="29"/>
      <c r="P220" s="29"/>
      <c r="Q220" s="29"/>
      <c r="R220" s="29"/>
      <c r="S220" s="29"/>
      <c r="T220" s="29"/>
      <c r="U220" s="29"/>
      <c r="V220" s="29"/>
      <c r="W220" s="29"/>
      <c r="X220" s="29"/>
    </row>
    <row r="221" spans="1:24" ht="15">
      <c r="A221" s="29"/>
      <c r="B221" s="29"/>
      <c r="C221" s="29"/>
      <c r="D221" s="33"/>
      <c r="E221" s="33"/>
      <c r="G221" s="29"/>
      <c r="H221" s="29"/>
      <c r="I221" s="29"/>
      <c r="J221" s="29"/>
      <c r="K221" s="29"/>
      <c r="L221" s="29"/>
      <c r="M221" s="29"/>
      <c r="N221" s="29"/>
      <c r="O221" s="29"/>
      <c r="P221" s="29"/>
      <c r="Q221" s="29"/>
      <c r="R221" s="29"/>
      <c r="S221" s="29"/>
      <c r="T221" s="29"/>
      <c r="U221" s="29"/>
      <c r="V221" s="29"/>
      <c r="W221" s="29"/>
      <c r="X221" s="29"/>
    </row>
    <row r="222" spans="1:24" ht="15">
      <c r="A222" s="29"/>
      <c r="B222" s="29"/>
      <c r="C222" s="29"/>
      <c r="D222" s="33"/>
      <c r="E222" s="33"/>
      <c r="G222" s="29"/>
      <c r="H222" s="29"/>
      <c r="I222" s="29"/>
      <c r="J222" s="29"/>
      <c r="K222" s="29"/>
      <c r="L222" s="29"/>
      <c r="M222" s="29"/>
      <c r="N222" s="29"/>
      <c r="O222" s="29"/>
      <c r="P222" s="29"/>
      <c r="Q222" s="29"/>
      <c r="R222" s="29"/>
      <c r="S222" s="29"/>
      <c r="T222" s="29"/>
      <c r="U222" s="29"/>
      <c r="V222" s="29"/>
      <c r="W222" s="29"/>
      <c r="X222" s="29"/>
    </row>
    <row r="223" spans="1:24" ht="15">
      <c r="A223" s="29"/>
      <c r="B223" s="29"/>
      <c r="C223" s="29"/>
      <c r="D223" s="33"/>
      <c r="E223" s="33"/>
      <c r="G223" s="29"/>
      <c r="H223" s="29"/>
      <c r="I223" s="29"/>
      <c r="J223" s="29"/>
      <c r="K223" s="29"/>
      <c r="L223" s="29"/>
      <c r="M223" s="29"/>
      <c r="N223" s="29"/>
      <c r="O223" s="29"/>
      <c r="P223" s="29"/>
      <c r="Q223" s="29"/>
      <c r="R223" s="29"/>
      <c r="S223" s="29"/>
      <c r="T223" s="29"/>
      <c r="U223" s="29"/>
      <c r="V223" s="29"/>
      <c r="W223" s="29"/>
      <c r="X223" s="29"/>
    </row>
    <row r="224" spans="1:24" ht="15">
      <c r="A224" s="29"/>
      <c r="B224" s="29"/>
      <c r="C224" s="29"/>
      <c r="D224" s="33"/>
      <c r="E224" s="33"/>
      <c r="G224" s="29"/>
      <c r="H224" s="29"/>
      <c r="I224" s="29"/>
      <c r="J224" s="29"/>
      <c r="K224" s="29"/>
      <c r="L224" s="29"/>
      <c r="M224" s="29"/>
      <c r="N224" s="29"/>
      <c r="O224" s="29"/>
      <c r="P224" s="29"/>
      <c r="Q224" s="29"/>
      <c r="R224" s="29"/>
      <c r="S224" s="29"/>
      <c r="T224" s="29"/>
      <c r="U224" s="29"/>
      <c r="V224" s="29"/>
      <c r="W224" s="29"/>
      <c r="X224" s="29"/>
    </row>
    <row r="225" spans="1:24" ht="15">
      <c r="A225" s="29"/>
      <c r="B225" s="29"/>
      <c r="C225" s="29"/>
      <c r="D225" s="33"/>
      <c r="E225" s="33"/>
      <c r="G225" s="29"/>
      <c r="H225" s="29"/>
      <c r="I225" s="29"/>
      <c r="J225" s="29"/>
      <c r="K225" s="29"/>
      <c r="L225" s="29"/>
      <c r="M225" s="29"/>
      <c r="N225" s="29"/>
      <c r="O225" s="29"/>
      <c r="P225" s="29"/>
      <c r="Q225" s="29"/>
      <c r="R225" s="29"/>
      <c r="S225" s="29"/>
      <c r="T225" s="29"/>
      <c r="U225" s="29"/>
      <c r="V225" s="29"/>
      <c r="W225" s="29"/>
      <c r="X225" s="29"/>
    </row>
    <row r="226" spans="1:24" ht="15">
      <c r="A226" s="29"/>
      <c r="B226" s="29"/>
      <c r="C226" s="29"/>
      <c r="D226" s="33"/>
      <c r="E226" s="33"/>
      <c r="G226" s="29"/>
      <c r="H226" s="29"/>
      <c r="I226" s="29"/>
      <c r="J226" s="29"/>
      <c r="K226" s="29"/>
      <c r="L226" s="29"/>
      <c r="M226" s="29"/>
      <c r="N226" s="29"/>
      <c r="O226" s="29"/>
      <c r="P226" s="29"/>
      <c r="Q226" s="29"/>
      <c r="R226" s="29"/>
      <c r="S226" s="29"/>
      <c r="T226" s="29"/>
      <c r="U226" s="29"/>
      <c r="V226" s="29"/>
      <c r="W226" s="29"/>
      <c r="X226" s="29"/>
    </row>
    <row r="227" spans="1:24" ht="15">
      <c r="A227" s="29"/>
      <c r="B227" s="29"/>
      <c r="C227" s="29"/>
      <c r="D227" s="33"/>
      <c r="E227" s="33"/>
      <c r="G227" s="29"/>
      <c r="H227" s="29"/>
      <c r="I227" s="29"/>
      <c r="J227" s="29"/>
      <c r="K227" s="29"/>
      <c r="L227" s="29"/>
      <c r="M227" s="29"/>
      <c r="N227" s="29"/>
      <c r="O227" s="29"/>
      <c r="P227" s="29"/>
      <c r="Q227" s="29"/>
      <c r="R227" s="29"/>
      <c r="S227" s="29"/>
      <c r="T227" s="29"/>
      <c r="U227" s="29"/>
      <c r="V227" s="29"/>
      <c r="W227" s="29"/>
      <c r="X227" s="29"/>
    </row>
    <row r="228" spans="1:24" ht="15">
      <c r="A228" s="29"/>
      <c r="B228" s="29"/>
      <c r="C228" s="29"/>
      <c r="D228" s="33"/>
      <c r="E228" s="33"/>
      <c r="G228" s="29"/>
      <c r="H228" s="29"/>
      <c r="I228" s="29"/>
      <c r="J228" s="29"/>
      <c r="K228" s="29"/>
      <c r="L228" s="29"/>
      <c r="M228" s="29"/>
      <c r="N228" s="29"/>
      <c r="O228" s="29"/>
      <c r="P228" s="29"/>
      <c r="Q228" s="29"/>
      <c r="R228" s="29"/>
      <c r="S228" s="29"/>
      <c r="T228" s="29"/>
      <c r="U228" s="29"/>
      <c r="V228" s="29"/>
      <c r="W228" s="29"/>
      <c r="X228" s="29"/>
    </row>
    <row r="229" spans="1:24" ht="15">
      <c r="A229" s="29"/>
      <c r="B229" s="29"/>
      <c r="C229" s="29"/>
      <c r="D229" s="33"/>
      <c r="E229" s="33"/>
      <c r="G229" s="29"/>
      <c r="H229" s="29"/>
      <c r="I229" s="29"/>
      <c r="J229" s="29"/>
      <c r="K229" s="29"/>
      <c r="L229" s="29"/>
      <c r="M229" s="29"/>
      <c r="N229" s="29"/>
      <c r="O229" s="29"/>
      <c r="P229" s="29"/>
      <c r="Q229" s="29"/>
      <c r="R229" s="29"/>
      <c r="S229" s="29"/>
      <c r="T229" s="29"/>
      <c r="U229" s="29"/>
      <c r="V229" s="29"/>
      <c r="W229" s="29"/>
      <c r="X229" s="29"/>
    </row>
    <row r="230" spans="1:24" ht="15">
      <c r="A230" s="29"/>
      <c r="B230" s="29"/>
      <c r="C230" s="29"/>
      <c r="D230" s="33"/>
      <c r="E230" s="33"/>
      <c r="G230" s="29"/>
      <c r="H230" s="29"/>
      <c r="I230" s="29"/>
      <c r="J230" s="29"/>
      <c r="K230" s="29"/>
      <c r="L230" s="29"/>
      <c r="M230" s="29"/>
      <c r="N230" s="29"/>
      <c r="O230" s="29"/>
      <c r="P230" s="29"/>
      <c r="Q230" s="29"/>
      <c r="R230" s="29"/>
      <c r="S230" s="29"/>
      <c r="T230" s="29"/>
      <c r="U230" s="29"/>
      <c r="V230" s="29"/>
      <c r="W230" s="29"/>
      <c r="X230" s="29"/>
    </row>
    <row r="231" spans="1:24" ht="15">
      <c r="A231" s="29"/>
      <c r="B231" s="29"/>
      <c r="C231" s="29"/>
      <c r="D231" s="33"/>
      <c r="E231" s="33"/>
      <c r="G231" s="29"/>
      <c r="H231" s="29"/>
      <c r="I231" s="29"/>
      <c r="J231" s="29"/>
      <c r="K231" s="29"/>
      <c r="L231" s="29"/>
      <c r="M231" s="29"/>
      <c r="N231" s="29"/>
      <c r="O231" s="29"/>
      <c r="P231" s="29"/>
      <c r="Q231" s="29"/>
      <c r="R231" s="29"/>
      <c r="S231" s="29"/>
      <c r="T231" s="29"/>
      <c r="U231" s="29"/>
      <c r="V231" s="29"/>
      <c r="W231" s="29"/>
      <c r="X231" s="29"/>
    </row>
    <row r="232" spans="1:24" ht="15">
      <c r="A232" s="29"/>
      <c r="B232" s="29"/>
      <c r="C232" s="29"/>
      <c r="D232" s="33"/>
      <c r="E232" s="33"/>
      <c r="G232" s="29"/>
      <c r="H232" s="29"/>
      <c r="I232" s="29"/>
      <c r="J232" s="29"/>
      <c r="K232" s="29"/>
      <c r="L232" s="29"/>
      <c r="M232" s="29"/>
      <c r="N232" s="29"/>
      <c r="O232" s="29"/>
      <c r="P232" s="29"/>
      <c r="Q232" s="29"/>
      <c r="R232" s="29"/>
      <c r="S232" s="29"/>
      <c r="T232" s="29"/>
      <c r="U232" s="29"/>
      <c r="V232" s="29"/>
      <c r="W232" s="29"/>
      <c r="X232" s="29"/>
    </row>
    <row r="233" spans="1:24" ht="15">
      <c r="A233" s="29"/>
      <c r="B233" s="29"/>
      <c r="C233" s="29"/>
      <c r="D233" s="33"/>
      <c r="E233" s="33"/>
      <c r="G233" s="29"/>
      <c r="H233" s="29"/>
      <c r="I233" s="29"/>
      <c r="J233" s="29"/>
      <c r="K233" s="29"/>
      <c r="L233" s="29"/>
      <c r="M233" s="29"/>
      <c r="N233" s="29"/>
      <c r="O233" s="29"/>
      <c r="P233" s="29"/>
      <c r="Q233" s="29"/>
      <c r="R233" s="29"/>
      <c r="S233" s="29"/>
      <c r="T233" s="29"/>
      <c r="U233" s="29"/>
      <c r="V233" s="29"/>
      <c r="W233" s="29"/>
      <c r="X233" s="29"/>
    </row>
    <row r="234" spans="1:24" ht="15">
      <c r="A234" s="29"/>
      <c r="B234" s="29"/>
      <c r="C234" s="29"/>
      <c r="D234" s="33"/>
      <c r="E234" s="33"/>
      <c r="G234" s="29"/>
      <c r="H234" s="29"/>
      <c r="I234" s="29"/>
      <c r="J234" s="29"/>
      <c r="K234" s="29"/>
      <c r="L234" s="29"/>
      <c r="M234" s="29"/>
      <c r="N234" s="29"/>
      <c r="O234" s="29"/>
      <c r="P234" s="29"/>
      <c r="Q234" s="29"/>
      <c r="R234" s="29"/>
      <c r="S234" s="29"/>
      <c r="T234" s="29"/>
      <c r="U234" s="29"/>
      <c r="V234" s="29"/>
      <c r="W234" s="29"/>
      <c r="X234" s="29"/>
    </row>
    <row r="235" spans="1:24" ht="15">
      <c r="A235" s="29"/>
      <c r="B235" s="29"/>
      <c r="C235" s="29"/>
      <c r="D235" s="33"/>
      <c r="E235" s="33"/>
      <c r="G235" s="29"/>
      <c r="H235" s="29"/>
      <c r="I235" s="29"/>
      <c r="J235" s="29"/>
      <c r="K235" s="29"/>
      <c r="L235" s="29"/>
      <c r="M235" s="29"/>
      <c r="N235" s="29"/>
      <c r="O235" s="29"/>
      <c r="P235" s="29"/>
      <c r="Q235" s="29"/>
      <c r="R235" s="29"/>
      <c r="S235" s="29"/>
      <c r="T235" s="29"/>
      <c r="U235" s="29"/>
      <c r="V235" s="29"/>
      <c r="W235" s="29"/>
      <c r="X235" s="29"/>
    </row>
    <row r="236" spans="1:24" ht="15">
      <c r="A236" s="29"/>
      <c r="B236" s="29"/>
      <c r="C236" s="29"/>
      <c r="D236" s="33"/>
      <c r="E236" s="33"/>
      <c r="G236" s="29"/>
      <c r="H236" s="29"/>
      <c r="I236" s="29"/>
      <c r="J236" s="29"/>
      <c r="K236" s="29"/>
      <c r="L236" s="29"/>
      <c r="M236" s="29"/>
      <c r="N236" s="29"/>
      <c r="O236" s="29"/>
      <c r="P236" s="29"/>
      <c r="Q236" s="29"/>
      <c r="R236" s="29"/>
      <c r="S236" s="29"/>
      <c r="T236" s="29"/>
      <c r="U236" s="29"/>
      <c r="V236" s="29"/>
      <c r="W236" s="29"/>
      <c r="X236" s="29"/>
    </row>
    <row r="237" spans="1:24" ht="15">
      <c r="A237" s="29"/>
      <c r="B237" s="29"/>
      <c r="C237" s="29"/>
      <c r="D237" s="33"/>
      <c r="E237" s="33"/>
      <c r="G237" s="29"/>
      <c r="H237" s="29"/>
      <c r="I237" s="29"/>
      <c r="J237" s="29"/>
      <c r="K237" s="29"/>
      <c r="L237" s="29"/>
      <c r="M237" s="29"/>
      <c r="N237" s="29"/>
      <c r="O237" s="29"/>
      <c r="P237" s="29"/>
      <c r="Q237" s="29"/>
      <c r="R237" s="29"/>
      <c r="S237" s="29"/>
      <c r="T237" s="29"/>
      <c r="U237" s="29"/>
      <c r="V237" s="29"/>
      <c r="W237" s="29"/>
      <c r="X237" s="29"/>
    </row>
    <row r="238" spans="1:24" ht="15">
      <c r="A238" s="29"/>
      <c r="B238" s="29"/>
      <c r="C238" s="29"/>
      <c r="D238" s="33"/>
      <c r="E238" s="33"/>
      <c r="G238" s="29"/>
      <c r="H238" s="29"/>
      <c r="I238" s="29"/>
      <c r="J238" s="29"/>
      <c r="K238" s="29"/>
      <c r="L238" s="29"/>
      <c r="M238" s="29"/>
      <c r="N238" s="29"/>
      <c r="O238" s="29"/>
      <c r="P238" s="29"/>
      <c r="Q238" s="29"/>
      <c r="R238" s="29"/>
      <c r="S238" s="29"/>
      <c r="T238" s="29"/>
      <c r="U238" s="29"/>
      <c r="V238" s="29"/>
      <c r="W238" s="29"/>
      <c r="X238" s="29"/>
    </row>
    <row r="239" spans="1:24" ht="15">
      <c r="A239" s="29"/>
      <c r="B239" s="29"/>
      <c r="C239" s="29"/>
      <c r="D239" s="33"/>
      <c r="E239" s="33"/>
      <c r="G239" s="29"/>
      <c r="H239" s="29"/>
      <c r="I239" s="29"/>
      <c r="J239" s="29"/>
      <c r="K239" s="29"/>
      <c r="L239" s="29"/>
      <c r="M239" s="29"/>
      <c r="N239" s="29"/>
      <c r="O239" s="29"/>
      <c r="P239" s="29"/>
      <c r="Q239" s="29"/>
      <c r="R239" s="29"/>
      <c r="S239" s="29"/>
      <c r="T239" s="29"/>
      <c r="U239" s="29"/>
      <c r="V239" s="29"/>
      <c r="W239" s="29"/>
      <c r="X239" s="29"/>
    </row>
    <row r="240" spans="1:24" ht="15">
      <c r="A240" s="29"/>
      <c r="B240" s="29"/>
      <c r="C240" s="29"/>
      <c r="D240" s="33"/>
      <c r="E240" s="33"/>
      <c r="G240" s="29"/>
      <c r="H240" s="29"/>
      <c r="I240" s="29"/>
      <c r="J240" s="29"/>
      <c r="K240" s="29"/>
      <c r="L240" s="29"/>
      <c r="M240" s="29"/>
      <c r="N240" s="29"/>
      <c r="O240" s="29"/>
      <c r="P240" s="29"/>
      <c r="Q240" s="29"/>
      <c r="R240" s="29"/>
      <c r="S240" s="29"/>
      <c r="T240" s="29"/>
      <c r="U240" s="29"/>
      <c r="V240" s="29"/>
      <c r="W240" s="29"/>
      <c r="X240" s="29"/>
    </row>
    <row r="241" spans="1:24" ht="15">
      <c r="A241" s="29"/>
      <c r="B241" s="29"/>
      <c r="C241" s="29"/>
      <c r="D241" s="33"/>
      <c r="E241" s="33"/>
      <c r="G241" s="29"/>
      <c r="H241" s="29"/>
      <c r="I241" s="29"/>
      <c r="J241" s="29"/>
      <c r="K241" s="29"/>
      <c r="L241" s="29"/>
      <c r="M241" s="29"/>
      <c r="N241" s="29"/>
      <c r="O241" s="29"/>
      <c r="P241" s="29"/>
      <c r="Q241" s="29"/>
      <c r="R241" s="29"/>
      <c r="S241" s="29"/>
      <c r="T241" s="29"/>
      <c r="U241" s="29"/>
      <c r="V241" s="29"/>
      <c r="W241" s="29"/>
      <c r="X241" s="29"/>
    </row>
    <row r="242" spans="1:24" ht="15">
      <c r="A242" s="29"/>
      <c r="B242" s="29"/>
      <c r="C242" s="29"/>
      <c r="D242" s="33"/>
      <c r="E242" s="33"/>
      <c r="G242" s="29"/>
      <c r="H242" s="29"/>
      <c r="I242" s="29"/>
      <c r="J242" s="29"/>
      <c r="K242" s="29"/>
      <c r="L242" s="29"/>
      <c r="M242" s="29"/>
      <c r="N242" s="29"/>
      <c r="O242" s="29"/>
      <c r="P242" s="29"/>
      <c r="Q242" s="29"/>
      <c r="R242" s="29"/>
      <c r="S242" s="29"/>
      <c r="T242" s="29"/>
      <c r="U242" s="29"/>
      <c r="V242" s="29"/>
      <c r="W242" s="29"/>
      <c r="X242" s="29"/>
    </row>
    <row r="243" spans="1:24" ht="15">
      <c r="A243" s="29"/>
      <c r="B243" s="29"/>
      <c r="C243" s="29"/>
      <c r="D243" s="33"/>
      <c r="E243" s="33"/>
      <c r="G243" s="29"/>
      <c r="H243" s="29"/>
      <c r="I243" s="29"/>
      <c r="J243" s="29"/>
      <c r="K243" s="29"/>
      <c r="L243" s="29"/>
      <c r="M243" s="29"/>
      <c r="N243" s="29"/>
      <c r="O243" s="29"/>
      <c r="P243" s="29"/>
      <c r="Q243" s="29"/>
      <c r="R243" s="29"/>
      <c r="S243" s="29"/>
      <c r="T243" s="29"/>
      <c r="U243" s="29"/>
      <c r="V243" s="29"/>
      <c r="W243" s="29"/>
      <c r="X243" s="29"/>
    </row>
    <row r="244" spans="1:24" ht="15">
      <c r="A244" s="29"/>
      <c r="B244" s="29"/>
      <c r="C244" s="29"/>
      <c r="D244" s="33"/>
      <c r="E244" s="33"/>
      <c r="G244" s="29"/>
      <c r="H244" s="29"/>
      <c r="I244" s="29"/>
      <c r="J244" s="29"/>
      <c r="K244" s="29"/>
      <c r="L244" s="29"/>
      <c r="M244" s="29"/>
      <c r="N244" s="29"/>
      <c r="O244" s="29"/>
      <c r="P244" s="29"/>
      <c r="Q244" s="29"/>
      <c r="R244" s="29"/>
      <c r="S244" s="29"/>
      <c r="T244" s="29"/>
      <c r="U244" s="29"/>
      <c r="V244" s="29"/>
      <c r="W244" s="29"/>
      <c r="X244" s="29"/>
    </row>
    <row r="245" spans="1:24" ht="15">
      <c r="A245" s="29"/>
      <c r="B245" s="29"/>
      <c r="C245" s="29"/>
      <c r="D245" s="33"/>
      <c r="E245" s="33"/>
      <c r="G245" s="29"/>
      <c r="H245" s="29"/>
      <c r="I245" s="29"/>
      <c r="J245" s="29"/>
      <c r="K245" s="29"/>
      <c r="L245" s="29"/>
      <c r="M245" s="29"/>
      <c r="N245" s="29"/>
      <c r="O245" s="29"/>
      <c r="P245" s="29"/>
      <c r="Q245" s="29"/>
      <c r="R245" s="29"/>
      <c r="S245" s="29"/>
      <c r="T245" s="29"/>
      <c r="U245" s="29"/>
      <c r="V245" s="29"/>
      <c r="W245" s="29"/>
      <c r="X245" s="29"/>
    </row>
    <row r="246" spans="1:24" ht="15">
      <c r="A246" s="29"/>
      <c r="B246" s="29"/>
      <c r="C246" s="29"/>
      <c r="D246" s="33"/>
      <c r="E246" s="33"/>
      <c r="G246" s="29"/>
      <c r="H246" s="29"/>
      <c r="I246" s="29"/>
      <c r="J246" s="29"/>
      <c r="K246" s="29"/>
      <c r="L246" s="29"/>
      <c r="M246" s="29"/>
      <c r="N246" s="29"/>
      <c r="O246" s="29"/>
      <c r="P246" s="29"/>
      <c r="Q246" s="29"/>
      <c r="R246" s="29"/>
      <c r="S246" s="29"/>
      <c r="T246" s="29"/>
      <c r="U246" s="29"/>
      <c r="V246" s="29"/>
      <c r="W246" s="29"/>
      <c r="X246" s="29"/>
    </row>
    <row r="247" spans="1:24" ht="15">
      <c r="A247" s="29"/>
      <c r="B247" s="29"/>
      <c r="C247" s="29"/>
      <c r="D247" s="33"/>
      <c r="E247" s="33"/>
      <c r="G247" s="29"/>
      <c r="H247" s="29"/>
      <c r="I247" s="29"/>
      <c r="J247" s="29"/>
      <c r="K247" s="29"/>
      <c r="L247" s="29"/>
      <c r="M247" s="29"/>
      <c r="N247" s="29"/>
      <c r="O247" s="29"/>
      <c r="P247" s="29"/>
      <c r="Q247" s="29"/>
      <c r="R247" s="29"/>
      <c r="S247" s="29"/>
      <c r="T247" s="29"/>
      <c r="U247" s="29"/>
      <c r="V247" s="29"/>
      <c r="W247" s="29"/>
      <c r="X247" s="29"/>
    </row>
    <row r="248" spans="1:24" ht="15">
      <c r="A248" s="29"/>
      <c r="B248" s="29"/>
      <c r="C248" s="29"/>
      <c r="D248" s="33"/>
      <c r="E248" s="33"/>
      <c r="G248" s="29"/>
      <c r="H248" s="29"/>
      <c r="I248" s="29"/>
      <c r="J248" s="29"/>
      <c r="K248" s="29"/>
      <c r="L248" s="29"/>
      <c r="M248" s="29"/>
      <c r="N248" s="29"/>
      <c r="O248" s="29"/>
      <c r="P248" s="29"/>
      <c r="Q248" s="29"/>
      <c r="R248" s="29"/>
      <c r="S248" s="29"/>
      <c r="T248" s="29"/>
      <c r="U248" s="29"/>
      <c r="V248" s="29"/>
      <c r="W248" s="29"/>
      <c r="X248" s="29"/>
    </row>
    <row r="249" spans="1:24" ht="15">
      <c r="A249" s="29"/>
      <c r="B249" s="29"/>
      <c r="C249" s="29"/>
      <c r="D249" s="33"/>
      <c r="E249" s="33"/>
      <c r="G249" s="29"/>
      <c r="H249" s="29"/>
      <c r="I249" s="29"/>
      <c r="J249" s="29"/>
      <c r="K249" s="29"/>
      <c r="L249" s="29"/>
      <c r="M249" s="29"/>
      <c r="N249" s="29"/>
      <c r="O249" s="29"/>
      <c r="P249" s="29"/>
      <c r="Q249" s="29"/>
      <c r="R249" s="29"/>
      <c r="S249" s="29"/>
      <c r="T249" s="29"/>
      <c r="U249" s="29"/>
      <c r="V249" s="29"/>
      <c r="W249" s="29"/>
      <c r="X249" s="29"/>
    </row>
    <row r="250" spans="1:24" ht="15">
      <c r="A250" s="29"/>
      <c r="B250" s="29"/>
      <c r="C250" s="29"/>
      <c r="D250" s="33"/>
      <c r="E250" s="33"/>
      <c r="G250" s="29"/>
      <c r="H250" s="29"/>
      <c r="I250" s="29"/>
      <c r="J250" s="29"/>
      <c r="K250" s="29"/>
      <c r="L250" s="29"/>
      <c r="M250" s="29"/>
      <c r="N250" s="29"/>
      <c r="O250" s="29"/>
      <c r="P250" s="29"/>
      <c r="Q250" s="29"/>
      <c r="R250" s="29"/>
      <c r="S250" s="29"/>
      <c r="T250" s="29"/>
      <c r="U250" s="29"/>
      <c r="V250" s="29"/>
      <c r="W250" s="29"/>
      <c r="X250" s="29"/>
    </row>
    <row r="251" spans="1:24" ht="15">
      <c r="A251" s="29"/>
      <c r="B251" s="29"/>
      <c r="C251" s="29"/>
      <c r="D251" s="33"/>
      <c r="E251" s="33"/>
      <c r="G251" s="29"/>
      <c r="H251" s="29"/>
      <c r="I251" s="29"/>
      <c r="J251" s="29"/>
      <c r="K251" s="29"/>
      <c r="L251" s="29"/>
      <c r="M251" s="29"/>
      <c r="N251" s="29"/>
      <c r="O251" s="29"/>
      <c r="P251" s="29"/>
      <c r="Q251" s="29"/>
      <c r="R251" s="29"/>
      <c r="S251" s="29"/>
      <c r="T251" s="29"/>
      <c r="U251" s="29"/>
      <c r="V251" s="29"/>
      <c r="W251" s="29"/>
      <c r="X251" s="29"/>
    </row>
    <row r="252" spans="1:24" ht="15">
      <c r="A252" s="29"/>
      <c r="B252" s="29"/>
      <c r="C252" s="29"/>
      <c r="D252" s="33"/>
      <c r="E252" s="33"/>
      <c r="G252" s="29"/>
      <c r="H252" s="29"/>
      <c r="I252" s="29"/>
      <c r="J252" s="29"/>
      <c r="K252" s="29"/>
      <c r="L252" s="29"/>
      <c r="M252" s="29"/>
      <c r="N252" s="29"/>
      <c r="O252" s="29"/>
      <c r="P252" s="29"/>
      <c r="Q252" s="29"/>
      <c r="R252" s="29"/>
      <c r="S252" s="29"/>
      <c r="T252" s="29"/>
      <c r="U252" s="29"/>
      <c r="V252" s="29"/>
      <c r="W252" s="29"/>
      <c r="X252" s="29"/>
    </row>
    <row r="253" spans="1:24" ht="15">
      <c r="A253" s="29"/>
      <c r="B253" s="29"/>
      <c r="C253" s="29"/>
      <c r="D253" s="33"/>
      <c r="E253" s="33"/>
      <c r="G253" s="29"/>
      <c r="H253" s="29"/>
      <c r="I253" s="29"/>
      <c r="J253" s="29"/>
      <c r="K253" s="29"/>
      <c r="L253" s="29"/>
      <c r="M253" s="29"/>
      <c r="N253" s="29"/>
      <c r="O253" s="29"/>
      <c r="P253" s="29"/>
      <c r="Q253" s="29"/>
      <c r="R253" s="29"/>
      <c r="S253" s="29"/>
      <c r="T253" s="29"/>
      <c r="U253" s="29"/>
      <c r="V253" s="29"/>
      <c r="W253" s="29"/>
      <c r="X253" s="29"/>
    </row>
    <row r="254" spans="1:24" ht="15">
      <c r="A254" s="29"/>
      <c r="B254" s="29"/>
      <c r="C254" s="29"/>
      <c r="D254" s="33"/>
      <c r="E254" s="33"/>
      <c r="G254" s="29"/>
      <c r="H254" s="29"/>
      <c r="I254" s="29"/>
      <c r="J254" s="29"/>
      <c r="K254" s="29"/>
      <c r="L254" s="29"/>
      <c r="M254" s="29"/>
      <c r="N254" s="29"/>
      <c r="O254" s="29"/>
      <c r="P254" s="29"/>
      <c r="Q254" s="29"/>
      <c r="R254" s="29"/>
      <c r="S254" s="29"/>
      <c r="T254" s="29"/>
      <c r="U254" s="29"/>
      <c r="V254" s="29"/>
      <c r="W254" s="29"/>
      <c r="X254" s="29"/>
    </row>
    <row r="255" spans="1:24" ht="15">
      <c r="A255" s="29"/>
      <c r="B255" s="29"/>
      <c r="C255" s="29"/>
      <c r="D255" s="33"/>
      <c r="E255" s="33"/>
      <c r="G255" s="29"/>
      <c r="H255" s="29"/>
      <c r="I255" s="29"/>
      <c r="J255" s="29"/>
      <c r="K255" s="29"/>
      <c r="L255" s="29"/>
      <c r="M255" s="29"/>
      <c r="N255" s="29"/>
      <c r="O255" s="29"/>
      <c r="P255" s="29"/>
      <c r="Q255" s="29"/>
      <c r="R255" s="29"/>
      <c r="S255" s="29"/>
      <c r="T255" s="29"/>
      <c r="U255" s="29"/>
      <c r="V255" s="29"/>
      <c r="W255" s="29"/>
      <c r="X255" s="29"/>
    </row>
    <row r="256" spans="1:24" ht="15">
      <c r="A256" s="29"/>
      <c r="B256" s="29"/>
      <c r="C256" s="29"/>
      <c r="D256" s="33"/>
      <c r="E256" s="33"/>
      <c r="G256" s="29"/>
      <c r="H256" s="29"/>
      <c r="I256" s="29"/>
      <c r="J256" s="29"/>
      <c r="K256" s="29"/>
      <c r="L256" s="29"/>
      <c r="M256" s="29"/>
      <c r="N256" s="29"/>
      <c r="O256" s="29"/>
      <c r="P256" s="29"/>
      <c r="Q256" s="29"/>
      <c r="R256" s="29"/>
      <c r="S256" s="29"/>
      <c r="T256" s="29"/>
      <c r="U256" s="29"/>
      <c r="V256" s="29"/>
      <c r="W256" s="29"/>
      <c r="X256" s="29"/>
    </row>
    <row r="257" spans="1:24" ht="15">
      <c r="A257" s="29"/>
      <c r="B257" s="29"/>
      <c r="C257" s="29"/>
      <c r="D257" s="33"/>
      <c r="E257" s="33"/>
      <c r="G257" s="29"/>
      <c r="H257" s="29"/>
      <c r="I257" s="29"/>
      <c r="J257" s="29"/>
      <c r="K257" s="29"/>
      <c r="L257" s="29"/>
      <c r="M257" s="29"/>
      <c r="N257" s="29"/>
      <c r="O257" s="29"/>
      <c r="P257" s="29"/>
      <c r="Q257" s="29"/>
      <c r="R257" s="29"/>
      <c r="S257" s="29"/>
      <c r="T257" s="29"/>
      <c r="U257" s="29"/>
      <c r="V257" s="29"/>
      <c r="W257" s="29"/>
      <c r="X257" s="29"/>
    </row>
    <row r="258" spans="1:24" ht="15">
      <c r="A258" s="29"/>
      <c r="B258" s="29"/>
      <c r="C258" s="29"/>
      <c r="D258" s="33"/>
      <c r="E258" s="33"/>
      <c r="G258" s="29"/>
      <c r="H258" s="29"/>
      <c r="I258" s="29"/>
      <c r="J258" s="29"/>
      <c r="K258" s="29"/>
      <c r="L258" s="29"/>
      <c r="M258" s="29"/>
      <c r="N258" s="29"/>
      <c r="O258" s="29"/>
      <c r="P258" s="29"/>
      <c r="Q258" s="29"/>
      <c r="R258" s="29"/>
      <c r="S258" s="29"/>
      <c r="T258" s="29"/>
      <c r="U258" s="29"/>
      <c r="V258" s="29"/>
      <c r="W258" s="29"/>
      <c r="X258" s="29"/>
    </row>
    <row r="259" spans="1:24" ht="15">
      <c r="A259" s="29"/>
      <c r="B259" s="29"/>
      <c r="C259" s="29"/>
      <c r="D259" s="33"/>
      <c r="E259" s="33"/>
      <c r="G259" s="29"/>
      <c r="H259" s="29"/>
      <c r="I259" s="29"/>
      <c r="J259" s="29"/>
      <c r="K259" s="29"/>
      <c r="L259" s="29"/>
      <c r="M259" s="29"/>
      <c r="N259" s="29"/>
      <c r="O259" s="29"/>
      <c r="P259" s="29"/>
      <c r="Q259" s="29"/>
      <c r="R259" s="29"/>
      <c r="S259" s="29"/>
      <c r="T259" s="29"/>
      <c r="U259" s="29"/>
      <c r="V259" s="29"/>
      <c r="W259" s="29"/>
      <c r="X259" s="29"/>
    </row>
    <row r="260" spans="1:24" ht="15">
      <c r="A260" s="29"/>
      <c r="B260" s="29"/>
      <c r="C260" s="29"/>
      <c r="D260" s="33"/>
      <c r="E260" s="33"/>
      <c r="G260" s="29"/>
      <c r="H260" s="29"/>
      <c r="I260" s="29"/>
      <c r="J260" s="29"/>
      <c r="K260" s="29"/>
      <c r="L260" s="29"/>
      <c r="M260" s="29"/>
      <c r="N260" s="29"/>
      <c r="O260" s="29"/>
      <c r="P260" s="29"/>
      <c r="Q260" s="29"/>
      <c r="R260" s="29"/>
      <c r="S260" s="29"/>
      <c r="T260" s="29"/>
      <c r="U260" s="29"/>
      <c r="V260" s="29"/>
      <c r="W260" s="29"/>
      <c r="X260" s="29"/>
    </row>
    <row r="261" spans="1:24" ht="15">
      <c r="A261" s="29"/>
      <c r="B261" s="29"/>
      <c r="C261" s="29"/>
      <c r="D261" s="33"/>
      <c r="E261" s="33"/>
      <c r="G261" s="29"/>
      <c r="H261" s="29"/>
      <c r="I261" s="29"/>
      <c r="J261" s="29"/>
      <c r="K261" s="29"/>
      <c r="L261" s="29"/>
      <c r="M261" s="29"/>
      <c r="N261" s="29"/>
      <c r="O261" s="29"/>
      <c r="P261" s="29"/>
      <c r="Q261" s="29"/>
      <c r="R261" s="29"/>
      <c r="S261" s="29"/>
      <c r="T261" s="29"/>
      <c r="U261" s="29"/>
      <c r="V261" s="29"/>
      <c r="W261" s="29"/>
      <c r="X261" s="29"/>
    </row>
    <row r="262" spans="1:24" ht="15">
      <c r="A262" s="29"/>
      <c r="B262" s="29"/>
      <c r="C262" s="29"/>
      <c r="D262" s="33"/>
      <c r="E262" s="33"/>
      <c r="G262" s="29"/>
      <c r="H262" s="29"/>
      <c r="I262" s="29"/>
      <c r="J262" s="29"/>
      <c r="K262" s="29"/>
      <c r="L262" s="29"/>
      <c r="M262" s="29"/>
      <c r="N262" s="29"/>
      <c r="O262" s="29"/>
      <c r="P262" s="29"/>
      <c r="Q262" s="29"/>
      <c r="R262" s="29"/>
      <c r="S262" s="29"/>
      <c r="T262" s="29"/>
      <c r="U262" s="29"/>
      <c r="V262" s="29"/>
      <c r="W262" s="29"/>
      <c r="X262" s="29"/>
    </row>
    <row r="263" spans="1:24" ht="15">
      <c r="A263" s="29"/>
      <c r="B263" s="29"/>
      <c r="C263" s="29"/>
      <c r="D263" s="33"/>
      <c r="E263" s="33"/>
      <c r="G263" s="29"/>
      <c r="H263" s="29"/>
      <c r="I263" s="29"/>
      <c r="J263" s="29"/>
      <c r="K263" s="29"/>
      <c r="L263" s="29"/>
      <c r="M263" s="29"/>
      <c r="N263" s="29"/>
      <c r="O263" s="29"/>
      <c r="P263" s="29"/>
      <c r="Q263" s="29"/>
      <c r="R263" s="29"/>
      <c r="S263" s="29"/>
      <c r="T263" s="29"/>
      <c r="U263" s="29"/>
      <c r="V263" s="29"/>
      <c r="W263" s="29"/>
      <c r="X263" s="29"/>
    </row>
    <row r="264" spans="1:24" ht="15">
      <c r="A264" s="29"/>
      <c r="B264" s="29"/>
      <c r="C264" s="29"/>
      <c r="D264" s="33"/>
      <c r="E264" s="33"/>
      <c r="G264" s="29"/>
      <c r="H264" s="29"/>
      <c r="I264" s="29"/>
      <c r="J264" s="29"/>
      <c r="K264" s="29"/>
      <c r="L264" s="29"/>
      <c r="M264" s="29"/>
      <c r="N264" s="29"/>
      <c r="O264" s="29"/>
      <c r="P264" s="29"/>
      <c r="Q264" s="29"/>
      <c r="R264" s="29"/>
      <c r="S264" s="29"/>
      <c r="T264" s="29"/>
      <c r="U264" s="29"/>
      <c r="V264" s="29"/>
      <c r="W264" s="29"/>
      <c r="X264" s="29"/>
    </row>
    <row r="265" spans="1:24" ht="15">
      <c r="A265" s="29"/>
      <c r="B265" s="29"/>
      <c r="C265" s="29"/>
      <c r="D265" s="33"/>
      <c r="E265" s="33"/>
      <c r="G265" s="29"/>
      <c r="H265" s="29"/>
      <c r="I265" s="29"/>
      <c r="J265" s="29"/>
      <c r="K265" s="29"/>
      <c r="L265" s="29"/>
      <c r="M265" s="29"/>
      <c r="N265" s="29"/>
      <c r="O265" s="29"/>
      <c r="P265" s="29"/>
      <c r="Q265" s="29"/>
      <c r="R265" s="29"/>
      <c r="S265" s="29"/>
      <c r="T265" s="29"/>
      <c r="U265" s="29"/>
      <c r="V265" s="29"/>
      <c r="W265" s="29"/>
      <c r="X265" s="29"/>
    </row>
    <row r="266" spans="1:24" ht="15">
      <c r="A266" s="29"/>
      <c r="B266" s="29"/>
      <c r="C266" s="29"/>
      <c r="D266" s="33"/>
      <c r="E266" s="33"/>
      <c r="G266" s="29"/>
      <c r="H266" s="29"/>
      <c r="I266" s="29"/>
      <c r="J266" s="29"/>
      <c r="K266" s="29"/>
      <c r="L266" s="29"/>
      <c r="M266" s="29"/>
      <c r="N266" s="29"/>
      <c r="O266" s="29"/>
      <c r="P266" s="29"/>
      <c r="Q266" s="29"/>
      <c r="R266" s="29"/>
      <c r="S266" s="29"/>
      <c r="T266" s="29"/>
      <c r="U266" s="29"/>
      <c r="V266" s="29"/>
      <c r="W266" s="29"/>
      <c r="X266" s="29"/>
    </row>
    <row r="267" spans="1:24" ht="15">
      <c r="A267" s="29"/>
      <c r="B267" s="29"/>
      <c r="C267" s="29"/>
      <c r="D267" s="33"/>
      <c r="E267" s="33"/>
      <c r="G267" s="29"/>
      <c r="H267" s="29"/>
      <c r="I267" s="29"/>
      <c r="J267" s="29"/>
      <c r="K267" s="29"/>
      <c r="L267" s="29"/>
      <c r="M267" s="29"/>
      <c r="N267" s="29"/>
      <c r="O267" s="29"/>
      <c r="P267" s="29"/>
      <c r="Q267" s="29"/>
      <c r="R267" s="29"/>
      <c r="S267" s="29"/>
      <c r="T267" s="29"/>
      <c r="U267" s="29"/>
      <c r="V267" s="29"/>
      <c r="W267" s="29"/>
      <c r="X267" s="29"/>
    </row>
    <row r="268" spans="1:24" ht="15">
      <c r="A268" s="29"/>
      <c r="B268" s="29"/>
      <c r="C268" s="29"/>
      <c r="D268" s="33"/>
      <c r="E268" s="33"/>
      <c r="G268" s="29"/>
      <c r="H268" s="29"/>
      <c r="I268" s="29"/>
      <c r="J268" s="29"/>
      <c r="K268" s="29"/>
      <c r="L268" s="29"/>
      <c r="M268" s="29"/>
      <c r="N268" s="29"/>
      <c r="O268" s="29"/>
      <c r="P268" s="29"/>
      <c r="Q268" s="29"/>
      <c r="R268" s="29"/>
      <c r="S268" s="29"/>
      <c r="T268" s="29"/>
      <c r="U268" s="29"/>
      <c r="V268" s="29"/>
      <c r="W268" s="29"/>
      <c r="X268" s="29"/>
    </row>
    <row r="269" spans="1:24" ht="15">
      <c r="A269" s="29"/>
      <c r="B269" s="29"/>
      <c r="C269" s="29"/>
      <c r="D269" s="33"/>
      <c r="E269" s="33"/>
      <c r="G269" s="29"/>
      <c r="H269" s="29"/>
      <c r="I269" s="29"/>
      <c r="J269" s="29"/>
      <c r="K269" s="29"/>
      <c r="L269" s="29"/>
      <c r="M269" s="29"/>
      <c r="N269" s="29"/>
      <c r="O269" s="29"/>
      <c r="P269" s="29"/>
      <c r="Q269" s="29"/>
      <c r="R269" s="29"/>
      <c r="S269" s="29"/>
      <c r="T269" s="29"/>
      <c r="U269" s="29"/>
      <c r="V269" s="29"/>
      <c r="W269" s="29"/>
      <c r="X269" s="29"/>
    </row>
    <row r="270" spans="1:24" ht="15">
      <c r="A270" s="29"/>
      <c r="B270" s="29"/>
      <c r="C270" s="29"/>
      <c r="D270" s="33"/>
      <c r="E270" s="33"/>
      <c r="G270" s="29"/>
      <c r="H270" s="29"/>
      <c r="I270" s="29"/>
      <c r="J270" s="29"/>
      <c r="K270" s="29"/>
      <c r="L270" s="29"/>
      <c r="M270" s="29"/>
      <c r="N270" s="29"/>
      <c r="O270" s="29"/>
      <c r="P270" s="29"/>
      <c r="Q270" s="29"/>
      <c r="R270" s="29"/>
      <c r="S270" s="29"/>
      <c r="T270" s="29"/>
      <c r="U270" s="29"/>
      <c r="V270" s="29"/>
      <c r="W270" s="29"/>
      <c r="X270" s="29"/>
    </row>
    <row r="271" spans="1:24" ht="15">
      <c r="A271" s="29"/>
      <c r="B271" s="29"/>
      <c r="C271" s="29"/>
      <c r="D271" s="33"/>
      <c r="E271" s="33"/>
      <c r="G271" s="29"/>
      <c r="H271" s="29"/>
      <c r="I271" s="29"/>
      <c r="J271" s="29"/>
      <c r="K271" s="29"/>
      <c r="L271" s="29"/>
      <c r="M271" s="29"/>
      <c r="N271" s="29"/>
      <c r="O271" s="29"/>
      <c r="P271" s="29"/>
      <c r="Q271" s="29"/>
      <c r="R271" s="29"/>
      <c r="S271" s="29"/>
      <c r="T271" s="29"/>
      <c r="U271" s="29"/>
      <c r="V271" s="29"/>
      <c r="W271" s="29"/>
      <c r="X271" s="29"/>
    </row>
    <row r="272" spans="1:24" ht="15">
      <c r="A272" s="29"/>
      <c r="B272" s="29"/>
      <c r="C272" s="29"/>
      <c r="D272" s="33"/>
      <c r="E272" s="33"/>
      <c r="G272" s="29"/>
      <c r="H272" s="29"/>
      <c r="I272" s="29"/>
      <c r="J272" s="29"/>
      <c r="K272" s="29"/>
      <c r="L272" s="29"/>
      <c r="M272" s="29"/>
      <c r="N272" s="29"/>
      <c r="O272" s="29"/>
      <c r="P272" s="29"/>
      <c r="Q272" s="29"/>
      <c r="R272" s="29"/>
      <c r="S272" s="29"/>
      <c r="T272" s="29"/>
      <c r="U272" s="29"/>
      <c r="V272" s="29"/>
      <c r="W272" s="29"/>
      <c r="X272" s="29"/>
    </row>
    <row r="273" spans="1:24" ht="15">
      <c r="A273" s="29"/>
      <c r="B273" s="29"/>
      <c r="C273" s="29"/>
      <c r="D273" s="33"/>
      <c r="E273" s="33"/>
      <c r="G273" s="29"/>
      <c r="H273" s="29"/>
      <c r="I273" s="29"/>
      <c r="J273" s="29"/>
      <c r="K273" s="29"/>
      <c r="L273" s="29"/>
      <c r="M273" s="29"/>
      <c r="N273" s="29"/>
      <c r="O273" s="29"/>
      <c r="P273" s="29"/>
      <c r="Q273" s="29"/>
      <c r="R273" s="29"/>
      <c r="S273" s="29"/>
      <c r="T273" s="29"/>
      <c r="U273" s="29"/>
      <c r="V273" s="29"/>
      <c r="W273" s="29"/>
      <c r="X273" s="29"/>
    </row>
    <row r="274" spans="1:24" ht="15">
      <c r="A274" s="29"/>
      <c r="B274" s="29"/>
      <c r="C274" s="29"/>
      <c r="D274" s="33"/>
      <c r="E274" s="33"/>
      <c r="G274" s="29"/>
      <c r="H274" s="29"/>
      <c r="I274" s="29"/>
      <c r="J274" s="29"/>
      <c r="K274" s="29"/>
      <c r="L274" s="29"/>
      <c r="M274" s="29"/>
      <c r="N274" s="29"/>
      <c r="O274" s="29"/>
      <c r="P274" s="29"/>
      <c r="Q274" s="29"/>
      <c r="R274" s="29"/>
      <c r="S274" s="29"/>
      <c r="T274" s="29"/>
      <c r="U274" s="29"/>
      <c r="V274" s="29"/>
      <c r="W274" s="29"/>
      <c r="X274" s="29"/>
    </row>
    <row r="275" spans="1:24" ht="15">
      <c r="A275" s="29"/>
      <c r="B275" s="29"/>
      <c r="C275" s="29"/>
      <c r="D275" s="33"/>
      <c r="E275" s="33"/>
      <c r="G275" s="29"/>
      <c r="H275" s="29"/>
      <c r="I275" s="29"/>
      <c r="J275" s="29"/>
      <c r="K275" s="29"/>
      <c r="L275" s="29"/>
      <c r="M275" s="29"/>
      <c r="N275" s="29"/>
      <c r="O275" s="29"/>
      <c r="P275" s="29"/>
      <c r="Q275" s="29"/>
      <c r="R275" s="29"/>
      <c r="S275" s="29"/>
      <c r="T275" s="29"/>
      <c r="U275" s="29"/>
      <c r="V275" s="29"/>
      <c r="W275" s="29"/>
      <c r="X275" s="29"/>
    </row>
    <row r="276" spans="1:24" ht="15">
      <c r="A276" s="29"/>
      <c r="B276" s="29"/>
      <c r="C276" s="29"/>
      <c r="D276" s="33"/>
      <c r="E276" s="33"/>
      <c r="G276" s="29"/>
      <c r="H276" s="29"/>
      <c r="I276" s="29"/>
      <c r="J276" s="29"/>
      <c r="K276" s="29"/>
      <c r="L276" s="29"/>
      <c r="M276" s="29"/>
      <c r="N276" s="29"/>
      <c r="O276" s="29"/>
      <c r="P276" s="29"/>
      <c r="Q276" s="29"/>
      <c r="R276" s="29"/>
      <c r="S276" s="29"/>
      <c r="T276" s="29"/>
      <c r="U276" s="29"/>
      <c r="V276" s="29"/>
      <c r="W276" s="29"/>
      <c r="X276" s="29"/>
    </row>
    <row r="277" spans="1:24" ht="15">
      <c r="A277" s="29"/>
      <c r="B277" s="29"/>
      <c r="C277" s="29"/>
      <c r="D277" s="33"/>
      <c r="E277" s="33"/>
      <c r="G277" s="29"/>
      <c r="H277" s="29"/>
      <c r="I277" s="29"/>
      <c r="J277" s="29"/>
      <c r="K277" s="29"/>
      <c r="L277" s="29"/>
      <c r="M277" s="29"/>
      <c r="N277" s="29"/>
      <c r="O277" s="29"/>
      <c r="P277" s="29"/>
      <c r="Q277" s="29"/>
      <c r="R277" s="29"/>
      <c r="S277" s="29"/>
      <c r="T277" s="29"/>
      <c r="U277" s="29"/>
      <c r="V277" s="29"/>
      <c r="W277" s="29"/>
      <c r="X277" s="29"/>
    </row>
    <row r="278" spans="1:24" ht="15">
      <c r="A278" s="29"/>
      <c r="B278" s="29"/>
      <c r="C278" s="29"/>
      <c r="D278" s="33"/>
      <c r="E278" s="33"/>
      <c r="G278" s="29"/>
      <c r="H278" s="29"/>
      <c r="I278" s="29"/>
      <c r="J278" s="29"/>
      <c r="K278" s="29"/>
      <c r="L278" s="29"/>
      <c r="M278" s="29"/>
      <c r="N278" s="29"/>
      <c r="O278" s="29"/>
      <c r="P278" s="29"/>
      <c r="Q278" s="29"/>
      <c r="R278" s="29"/>
      <c r="S278" s="29"/>
      <c r="T278" s="29"/>
      <c r="U278" s="29"/>
      <c r="V278" s="29"/>
      <c r="W278" s="29"/>
      <c r="X278" s="29"/>
    </row>
    <row r="279" spans="1:24" ht="15">
      <c r="A279" s="29"/>
      <c r="B279" s="29"/>
      <c r="C279" s="29"/>
      <c r="D279" s="33"/>
      <c r="E279" s="33"/>
      <c r="G279" s="29"/>
      <c r="H279" s="29"/>
      <c r="I279" s="29"/>
      <c r="J279" s="29"/>
      <c r="K279" s="29"/>
      <c r="L279" s="29"/>
      <c r="M279" s="29"/>
      <c r="N279" s="29"/>
      <c r="O279" s="29"/>
      <c r="P279" s="29"/>
      <c r="Q279" s="29"/>
      <c r="R279" s="29"/>
      <c r="S279" s="29"/>
      <c r="T279" s="29"/>
      <c r="U279" s="29"/>
      <c r="V279" s="29"/>
      <c r="W279" s="29"/>
      <c r="X279" s="29"/>
    </row>
    <row r="280" spans="1:24" ht="15">
      <c r="A280" s="29"/>
      <c r="B280" s="29"/>
      <c r="C280" s="29"/>
      <c r="D280" s="33"/>
      <c r="E280" s="33"/>
      <c r="G280" s="29"/>
      <c r="H280" s="29"/>
      <c r="I280" s="29"/>
      <c r="J280" s="29"/>
      <c r="K280" s="29"/>
      <c r="L280" s="29"/>
      <c r="M280" s="29"/>
      <c r="N280" s="29"/>
      <c r="O280" s="29"/>
      <c r="P280" s="29"/>
      <c r="Q280" s="29"/>
      <c r="R280" s="29"/>
      <c r="S280" s="29"/>
      <c r="T280" s="29"/>
      <c r="U280" s="29"/>
      <c r="V280" s="29"/>
      <c r="W280" s="29"/>
      <c r="X280" s="29"/>
    </row>
    <row r="281" spans="1:24" ht="15">
      <c r="A281" s="29"/>
      <c r="B281" s="29"/>
      <c r="C281" s="29"/>
      <c r="D281" s="33"/>
      <c r="E281" s="33"/>
      <c r="G281" s="29"/>
      <c r="H281" s="29"/>
      <c r="I281" s="29"/>
      <c r="J281" s="29"/>
      <c r="K281" s="29"/>
      <c r="L281" s="29"/>
      <c r="M281" s="29"/>
      <c r="N281" s="29"/>
      <c r="O281" s="29"/>
      <c r="P281" s="29"/>
      <c r="Q281" s="29"/>
      <c r="R281" s="29"/>
      <c r="S281" s="29"/>
      <c r="T281" s="29"/>
      <c r="U281" s="29"/>
      <c r="V281" s="29"/>
      <c r="W281" s="29"/>
      <c r="X281" s="29"/>
    </row>
    <row r="282" spans="1:24" ht="15">
      <c r="A282" s="29"/>
      <c r="B282" s="29"/>
      <c r="C282" s="29"/>
      <c r="D282" s="33"/>
      <c r="E282" s="33"/>
      <c r="G282" s="29"/>
      <c r="H282" s="29"/>
      <c r="I282" s="29"/>
      <c r="J282" s="29"/>
      <c r="K282" s="29"/>
      <c r="L282" s="29"/>
      <c r="M282" s="29"/>
      <c r="N282" s="29"/>
      <c r="O282" s="29"/>
      <c r="P282" s="29"/>
      <c r="Q282" s="29"/>
      <c r="R282" s="29"/>
      <c r="S282" s="29"/>
      <c r="T282" s="29"/>
      <c r="U282" s="29"/>
      <c r="V282" s="29"/>
      <c r="W282" s="29"/>
      <c r="X282" s="29"/>
    </row>
    <row r="283" spans="1:24" ht="15">
      <c r="A283" s="29"/>
      <c r="B283" s="29"/>
      <c r="C283" s="29"/>
      <c r="D283" s="33"/>
      <c r="E283" s="33"/>
      <c r="G283" s="29"/>
      <c r="H283" s="29"/>
      <c r="I283" s="29"/>
      <c r="J283" s="29"/>
      <c r="K283" s="29"/>
      <c r="L283" s="29"/>
      <c r="M283" s="29"/>
      <c r="N283" s="29"/>
      <c r="O283" s="29"/>
      <c r="P283" s="29"/>
      <c r="Q283" s="29"/>
      <c r="R283" s="29"/>
      <c r="S283" s="29"/>
      <c r="T283" s="29"/>
      <c r="U283" s="29"/>
      <c r="V283" s="29"/>
      <c r="W283" s="29"/>
      <c r="X283" s="29"/>
    </row>
    <row r="284" spans="1:24" ht="15">
      <c r="A284" s="29"/>
      <c r="B284" s="29"/>
      <c r="C284" s="29"/>
      <c r="D284" s="33"/>
      <c r="E284" s="33"/>
      <c r="G284" s="29"/>
      <c r="H284" s="29"/>
      <c r="I284" s="29"/>
      <c r="J284" s="29"/>
      <c r="K284" s="29"/>
      <c r="L284" s="29"/>
      <c r="M284" s="29"/>
      <c r="N284" s="29"/>
      <c r="O284" s="29"/>
      <c r="P284" s="29"/>
      <c r="Q284" s="29"/>
      <c r="R284" s="29"/>
      <c r="S284" s="29"/>
      <c r="T284" s="29"/>
      <c r="U284" s="29"/>
      <c r="V284" s="29"/>
      <c r="W284" s="29"/>
      <c r="X284" s="29"/>
    </row>
    <row r="285" spans="1:24" ht="15">
      <c r="A285" s="29"/>
      <c r="B285" s="29"/>
      <c r="C285" s="29"/>
      <c r="D285" s="33"/>
      <c r="E285" s="33"/>
      <c r="G285" s="29"/>
      <c r="H285" s="29"/>
      <c r="I285" s="29"/>
      <c r="J285" s="29"/>
      <c r="K285" s="29"/>
      <c r="L285" s="29"/>
      <c r="M285" s="29"/>
      <c r="N285" s="29"/>
      <c r="O285" s="29"/>
      <c r="P285" s="29"/>
      <c r="Q285" s="29"/>
      <c r="R285" s="29"/>
      <c r="S285" s="29"/>
      <c r="T285" s="29"/>
      <c r="U285" s="29"/>
      <c r="V285" s="29"/>
      <c r="W285" s="29"/>
      <c r="X285" s="29"/>
    </row>
    <row r="286" spans="1:24" ht="15">
      <c r="A286" s="29"/>
      <c r="B286" s="29"/>
      <c r="C286" s="29"/>
      <c r="D286" s="33"/>
      <c r="E286" s="33"/>
      <c r="G286" s="29"/>
      <c r="H286" s="29"/>
      <c r="I286" s="29"/>
      <c r="J286" s="29"/>
      <c r="K286" s="29"/>
      <c r="L286" s="29"/>
      <c r="M286" s="29"/>
      <c r="N286" s="29"/>
      <c r="O286" s="29"/>
      <c r="P286" s="29"/>
      <c r="Q286" s="29"/>
      <c r="R286" s="29"/>
      <c r="S286" s="29"/>
      <c r="T286" s="29"/>
      <c r="U286" s="29"/>
      <c r="V286" s="29"/>
      <c r="W286" s="29"/>
      <c r="X286" s="29"/>
    </row>
    <row r="287" spans="1:24" ht="15">
      <c r="A287" s="29"/>
      <c r="B287" s="29"/>
      <c r="C287" s="29"/>
      <c r="D287" s="33"/>
      <c r="E287" s="33"/>
      <c r="G287" s="29"/>
      <c r="H287" s="29"/>
      <c r="I287" s="29"/>
      <c r="J287" s="29"/>
      <c r="K287" s="29"/>
      <c r="L287" s="29"/>
      <c r="M287" s="29"/>
      <c r="N287" s="29"/>
      <c r="O287" s="29"/>
      <c r="P287" s="29"/>
      <c r="Q287" s="29"/>
      <c r="R287" s="29"/>
      <c r="S287" s="29"/>
      <c r="T287" s="29"/>
      <c r="U287" s="29"/>
      <c r="V287" s="29"/>
      <c r="W287" s="29"/>
      <c r="X287" s="29"/>
    </row>
    <row r="288" spans="1:24" ht="15">
      <c r="A288" s="29"/>
      <c r="B288" s="29"/>
      <c r="C288" s="29"/>
      <c r="D288" s="33"/>
      <c r="E288" s="33"/>
      <c r="G288" s="29"/>
      <c r="H288" s="29"/>
      <c r="I288" s="29"/>
      <c r="J288" s="29"/>
      <c r="K288" s="29"/>
      <c r="L288" s="29"/>
      <c r="M288" s="29"/>
      <c r="N288" s="29"/>
      <c r="O288" s="29"/>
      <c r="P288" s="29"/>
      <c r="Q288" s="29"/>
      <c r="R288" s="29"/>
      <c r="S288" s="29"/>
      <c r="T288" s="29"/>
      <c r="U288" s="29"/>
      <c r="V288" s="29"/>
      <c r="W288" s="29"/>
      <c r="X288" s="29"/>
    </row>
    <row r="289" spans="1:24" ht="15">
      <c r="A289" s="29"/>
      <c r="B289" s="29"/>
      <c r="C289" s="29"/>
      <c r="D289" s="33"/>
      <c r="E289" s="33"/>
      <c r="G289" s="29"/>
      <c r="H289" s="29"/>
      <c r="I289" s="29"/>
      <c r="J289" s="29"/>
      <c r="K289" s="29"/>
      <c r="L289" s="29"/>
      <c r="M289" s="29"/>
      <c r="N289" s="29"/>
      <c r="O289" s="29"/>
      <c r="P289" s="29"/>
      <c r="Q289" s="29"/>
      <c r="R289" s="29"/>
      <c r="S289" s="29"/>
      <c r="T289" s="29"/>
      <c r="U289" s="29"/>
      <c r="V289" s="29"/>
      <c r="W289" s="29"/>
      <c r="X289" s="29"/>
    </row>
    <row r="290" spans="1:24" ht="15">
      <c r="A290" s="29"/>
      <c r="B290" s="29"/>
      <c r="C290" s="29"/>
      <c r="D290" s="33"/>
      <c r="E290" s="33"/>
      <c r="G290" s="29"/>
      <c r="H290" s="29"/>
      <c r="I290" s="29"/>
      <c r="J290" s="29"/>
      <c r="K290" s="29"/>
      <c r="L290" s="29"/>
      <c r="M290" s="29"/>
      <c r="N290" s="29"/>
      <c r="O290" s="29"/>
      <c r="P290" s="29"/>
      <c r="Q290" s="29"/>
      <c r="R290" s="29"/>
      <c r="S290" s="29"/>
      <c r="T290" s="29"/>
      <c r="U290" s="29"/>
      <c r="V290" s="29"/>
      <c r="W290" s="29"/>
      <c r="X290" s="29"/>
    </row>
    <row r="291" spans="1:24" ht="15">
      <c r="A291" s="29"/>
      <c r="B291" s="29"/>
      <c r="C291" s="29"/>
      <c r="D291" s="33"/>
      <c r="E291" s="33"/>
      <c r="G291" s="29"/>
      <c r="H291" s="29"/>
      <c r="I291" s="29"/>
      <c r="J291" s="29"/>
      <c r="K291" s="29"/>
      <c r="L291" s="29"/>
      <c r="M291" s="29"/>
      <c r="N291" s="29"/>
      <c r="O291" s="29"/>
      <c r="P291" s="29"/>
      <c r="Q291" s="29"/>
      <c r="R291" s="29"/>
      <c r="S291" s="29"/>
      <c r="T291" s="29"/>
      <c r="U291" s="29"/>
      <c r="V291" s="29"/>
      <c r="W291" s="29"/>
      <c r="X291" s="29"/>
    </row>
    <row r="292" spans="1:24" ht="15">
      <c r="A292" s="29"/>
      <c r="B292" s="29"/>
      <c r="C292" s="29"/>
      <c r="D292" s="33"/>
      <c r="E292" s="33"/>
      <c r="G292" s="29"/>
      <c r="H292" s="29"/>
      <c r="I292" s="29"/>
      <c r="J292" s="29"/>
      <c r="K292" s="29"/>
      <c r="L292" s="29"/>
      <c r="M292" s="29"/>
      <c r="N292" s="29"/>
      <c r="O292" s="29"/>
      <c r="P292" s="29"/>
      <c r="Q292" s="29"/>
      <c r="R292" s="29"/>
      <c r="S292" s="29"/>
      <c r="T292" s="29"/>
      <c r="U292" s="29"/>
      <c r="V292" s="29"/>
      <c r="W292" s="29"/>
      <c r="X292" s="29"/>
    </row>
    <row r="293" spans="1:24" ht="15">
      <c r="A293" s="29"/>
      <c r="B293" s="29"/>
      <c r="C293" s="29"/>
      <c r="D293" s="33"/>
      <c r="E293" s="33"/>
      <c r="G293" s="29"/>
      <c r="H293" s="29"/>
      <c r="I293" s="29"/>
      <c r="J293" s="29"/>
      <c r="K293" s="29"/>
      <c r="L293" s="29"/>
      <c r="M293" s="29"/>
      <c r="N293" s="29"/>
      <c r="O293" s="29"/>
      <c r="P293" s="29"/>
      <c r="Q293" s="29"/>
      <c r="R293" s="29"/>
      <c r="S293" s="29"/>
      <c r="T293" s="29"/>
      <c r="U293" s="29"/>
      <c r="V293" s="29"/>
      <c r="W293" s="29"/>
      <c r="X293" s="29"/>
    </row>
    <row r="294" spans="1:24" ht="15">
      <c r="A294" s="29"/>
      <c r="B294" s="29"/>
      <c r="C294" s="29"/>
      <c r="D294" s="33"/>
      <c r="E294" s="33"/>
      <c r="G294" s="29"/>
      <c r="H294" s="29"/>
      <c r="I294" s="29"/>
      <c r="J294" s="29"/>
      <c r="K294" s="29"/>
      <c r="L294" s="29"/>
      <c r="M294" s="29"/>
      <c r="N294" s="29"/>
      <c r="O294" s="29"/>
      <c r="P294" s="29"/>
      <c r="Q294" s="29"/>
      <c r="R294" s="29"/>
      <c r="S294" s="29"/>
      <c r="T294" s="29"/>
      <c r="U294" s="29"/>
      <c r="V294" s="29"/>
      <c r="W294" s="29"/>
      <c r="X294" s="29"/>
    </row>
    <row r="295" spans="1:24" ht="15">
      <c r="A295" s="29"/>
      <c r="B295" s="29"/>
      <c r="C295" s="29"/>
      <c r="D295" s="33"/>
      <c r="E295" s="33"/>
      <c r="G295" s="29"/>
      <c r="H295" s="29"/>
      <c r="I295" s="29"/>
      <c r="J295" s="29"/>
      <c r="K295" s="29"/>
      <c r="L295" s="29"/>
      <c r="M295" s="29"/>
      <c r="N295" s="29"/>
      <c r="O295" s="29"/>
      <c r="P295" s="29"/>
      <c r="Q295" s="29"/>
      <c r="R295" s="29"/>
      <c r="S295" s="29"/>
      <c r="T295" s="29"/>
      <c r="U295" s="29"/>
      <c r="V295" s="29"/>
      <c r="W295" s="29"/>
      <c r="X295" s="29"/>
    </row>
    <row r="296" spans="1:24" ht="15">
      <c r="A296" s="29"/>
      <c r="B296" s="29"/>
      <c r="C296" s="29"/>
      <c r="D296" s="33"/>
      <c r="E296" s="33"/>
      <c r="G296" s="29"/>
      <c r="H296" s="29"/>
      <c r="I296" s="29"/>
      <c r="J296" s="29"/>
      <c r="K296" s="29"/>
      <c r="L296" s="29"/>
      <c r="M296" s="29"/>
      <c r="N296" s="29"/>
      <c r="O296" s="29"/>
      <c r="P296" s="29"/>
      <c r="Q296" s="29"/>
      <c r="R296" s="29"/>
      <c r="S296" s="29"/>
      <c r="T296" s="29"/>
      <c r="U296" s="29"/>
      <c r="V296" s="29"/>
      <c r="W296" s="29"/>
      <c r="X296" s="29"/>
    </row>
    <row r="297" spans="1:24" ht="15">
      <c r="A297" s="29"/>
      <c r="B297" s="29"/>
      <c r="C297" s="29"/>
      <c r="D297" s="33"/>
      <c r="E297" s="33"/>
      <c r="G297" s="29"/>
      <c r="H297" s="29"/>
      <c r="I297" s="29"/>
      <c r="J297" s="29"/>
      <c r="K297" s="29"/>
      <c r="L297" s="29"/>
      <c r="M297" s="29"/>
      <c r="N297" s="29"/>
      <c r="O297" s="29"/>
      <c r="P297" s="29"/>
      <c r="Q297" s="29"/>
      <c r="R297" s="29"/>
      <c r="S297" s="29"/>
      <c r="T297" s="29"/>
      <c r="U297" s="29"/>
      <c r="V297" s="29"/>
      <c r="W297" s="29"/>
      <c r="X297" s="29"/>
    </row>
    <row r="298" spans="1:24" ht="15">
      <c r="A298" s="29"/>
      <c r="B298" s="29"/>
      <c r="C298" s="29"/>
      <c r="D298" s="33"/>
      <c r="E298" s="33"/>
      <c r="G298" s="29"/>
      <c r="H298" s="29"/>
      <c r="I298" s="29"/>
      <c r="J298" s="29"/>
      <c r="K298" s="29"/>
      <c r="L298" s="29"/>
      <c r="M298" s="29"/>
      <c r="N298" s="29"/>
      <c r="O298" s="29"/>
      <c r="P298" s="29"/>
      <c r="Q298" s="29"/>
      <c r="R298" s="29"/>
      <c r="S298" s="29"/>
      <c r="T298" s="29"/>
      <c r="U298" s="29"/>
      <c r="V298" s="29"/>
      <c r="W298" s="29"/>
      <c r="X298" s="29"/>
    </row>
    <row r="299" spans="1:24" ht="15">
      <c r="A299" s="29"/>
      <c r="B299" s="29"/>
      <c r="C299" s="29"/>
      <c r="D299" s="33"/>
      <c r="E299" s="33"/>
      <c r="G299" s="29"/>
      <c r="H299" s="29"/>
      <c r="I299" s="29"/>
      <c r="J299" s="29"/>
      <c r="K299" s="29"/>
      <c r="L299" s="29"/>
      <c r="M299" s="29"/>
      <c r="N299" s="29"/>
      <c r="O299" s="29"/>
      <c r="P299" s="29"/>
      <c r="Q299" s="29"/>
      <c r="R299" s="29"/>
      <c r="S299" s="29"/>
      <c r="T299" s="29"/>
      <c r="U299" s="29"/>
      <c r="V299" s="29"/>
      <c r="W299" s="29"/>
      <c r="X299" s="29"/>
    </row>
    <row r="300" spans="1:24" ht="15">
      <c r="A300" s="29"/>
      <c r="B300" s="29"/>
      <c r="C300" s="29"/>
      <c r="D300" s="33"/>
      <c r="E300" s="33"/>
      <c r="G300" s="29"/>
      <c r="H300" s="29"/>
      <c r="I300" s="29"/>
      <c r="J300" s="29"/>
      <c r="K300" s="29"/>
      <c r="L300" s="29"/>
      <c r="M300" s="29"/>
      <c r="N300" s="29"/>
      <c r="O300" s="29"/>
      <c r="P300" s="29"/>
      <c r="Q300" s="29"/>
      <c r="R300" s="29"/>
      <c r="S300" s="29"/>
      <c r="T300" s="29"/>
      <c r="U300" s="29"/>
      <c r="V300" s="29"/>
      <c r="W300" s="29"/>
      <c r="X300" s="29"/>
    </row>
    <row r="301" spans="1:24" ht="15">
      <c r="A301" s="29"/>
      <c r="B301" s="29"/>
      <c r="C301" s="29"/>
      <c r="D301" s="33"/>
      <c r="E301" s="33"/>
      <c r="G301" s="29"/>
      <c r="H301" s="29"/>
      <c r="I301" s="29"/>
      <c r="J301" s="29"/>
      <c r="K301" s="29"/>
      <c r="L301" s="29"/>
      <c r="M301" s="29"/>
      <c r="N301" s="29"/>
      <c r="O301" s="29"/>
      <c r="P301" s="29"/>
      <c r="Q301" s="29"/>
      <c r="R301" s="29"/>
      <c r="S301" s="29"/>
      <c r="T301" s="29"/>
      <c r="U301" s="29"/>
      <c r="V301" s="29"/>
      <c r="W301" s="29"/>
      <c r="X301" s="29"/>
    </row>
    <row r="302" spans="1:24" ht="15">
      <c r="A302" s="29"/>
      <c r="B302" s="29"/>
      <c r="C302" s="29"/>
      <c r="D302" s="33"/>
      <c r="E302" s="33"/>
      <c r="G302" s="29"/>
      <c r="H302" s="29"/>
      <c r="I302" s="29"/>
      <c r="J302" s="29"/>
      <c r="K302" s="29"/>
      <c r="L302" s="29"/>
      <c r="M302" s="29"/>
      <c r="N302" s="29"/>
      <c r="O302" s="29"/>
      <c r="P302" s="29"/>
      <c r="Q302" s="29"/>
      <c r="R302" s="29"/>
      <c r="S302" s="29"/>
      <c r="T302" s="29"/>
      <c r="U302" s="29"/>
      <c r="V302" s="29"/>
      <c r="W302" s="29"/>
      <c r="X302" s="29"/>
    </row>
    <row r="303" spans="1:24" ht="15">
      <c r="A303" s="29"/>
      <c r="B303" s="29"/>
      <c r="C303" s="29"/>
      <c r="D303" s="33"/>
      <c r="E303" s="33"/>
      <c r="G303" s="29"/>
      <c r="H303" s="29"/>
      <c r="I303" s="29"/>
      <c r="J303" s="29"/>
      <c r="K303" s="29"/>
      <c r="L303" s="29"/>
      <c r="M303" s="29"/>
      <c r="N303" s="29"/>
      <c r="O303" s="29"/>
      <c r="P303" s="29"/>
      <c r="Q303" s="29"/>
      <c r="R303" s="29"/>
      <c r="S303" s="29"/>
      <c r="T303" s="29"/>
      <c r="U303" s="29"/>
      <c r="V303" s="29"/>
      <c r="W303" s="29"/>
      <c r="X303" s="29"/>
    </row>
    <row r="304" spans="1:24" ht="15">
      <c r="A304" s="29"/>
      <c r="B304" s="29"/>
      <c r="C304" s="29"/>
      <c r="D304" s="33"/>
      <c r="E304" s="33"/>
      <c r="G304" s="29"/>
      <c r="H304" s="29"/>
      <c r="I304" s="29"/>
      <c r="J304" s="29"/>
      <c r="K304" s="29"/>
      <c r="L304" s="29"/>
      <c r="M304" s="29"/>
      <c r="N304" s="29"/>
      <c r="O304" s="29"/>
      <c r="P304" s="29"/>
      <c r="Q304" s="29"/>
      <c r="R304" s="29"/>
      <c r="S304" s="29"/>
      <c r="T304" s="29"/>
      <c r="U304" s="29"/>
      <c r="V304" s="29"/>
      <c r="W304" s="29"/>
      <c r="X304" s="29"/>
    </row>
    <row r="305" spans="1:24" ht="15">
      <c r="A305" s="29"/>
      <c r="B305" s="29"/>
      <c r="C305" s="29"/>
      <c r="D305" s="33"/>
      <c r="E305" s="33"/>
      <c r="G305" s="29"/>
      <c r="H305" s="29"/>
      <c r="I305" s="29"/>
      <c r="J305" s="29"/>
      <c r="K305" s="29"/>
      <c r="L305" s="29"/>
      <c r="M305" s="29"/>
      <c r="N305" s="29"/>
      <c r="O305" s="29"/>
      <c r="P305" s="29"/>
      <c r="Q305" s="29"/>
      <c r="R305" s="29"/>
      <c r="S305" s="29"/>
      <c r="T305" s="29"/>
      <c r="U305" s="29"/>
      <c r="V305" s="29"/>
      <c r="W305" s="29"/>
      <c r="X305" s="29"/>
    </row>
    <row r="306" spans="1:24" ht="15">
      <c r="A306" s="29"/>
      <c r="B306" s="29"/>
      <c r="C306" s="29"/>
      <c r="D306" s="33"/>
      <c r="E306" s="33"/>
      <c r="G306" s="29"/>
      <c r="H306" s="29"/>
      <c r="I306" s="29"/>
      <c r="J306" s="29"/>
      <c r="K306" s="29"/>
      <c r="L306" s="29"/>
      <c r="M306" s="29"/>
      <c r="N306" s="29"/>
      <c r="O306" s="29"/>
      <c r="P306" s="29"/>
      <c r="Q306" s="29"/>
      <c r="R306" s="29"/>
      <c r="S306" s="29"/>
      <c r="T306" s="29"/>
      <c r="U306" s="29"/>
      <c r="V306" s="29"/>
      <c r="W306" s="29"/>
      <c r="X306" s="29"/>
    </row>
    <row r="307" spans="1:24" ht="15">
      <c r="A307" s="29"/>
      <c r="B307" s="29"/>
      <c r="C307" s="29"/>
      <c r="D307" s="33"/>
      <c r="E307" s="33"/>
      <c r="G307" s="29"/>
      <c r="H307" s="29"/>
      <c r="I307" s="29"/>
      <c r="J307" s="29"/>
      <c r="K307" s="29"/>
      <c r="L307" s="29"/>
      <c r="M307" s="29"/>
      <c r="N307" s="29"/>
      <c r="O307" s="29"/>
      <c r="P307" s="29"/>
      <c r="Q307" s="29"/>
      <c r="R307" s="29"/>
      <c r="S307" s="29"/>
      <c r="T307" s="29"/>
      <c r="U307" s="29"/>
      <c r="V307" s="29"/>
      <c r="W307" s="29"/>
      <c r="X307" s="29"/>
    </row>
    <row r="308" spans="1:24" ht="15">
      <c r="A308" s="29"/>
      <c r="B308" s="29"/>
      <c r="C308" s="29"/>
      <c r="D308" s="33"/>
      <c r="E308" s="33"/>
      <c r="G308" s="29"/>
      <c r="H308" s="29"/>
      <c r="I308" s="29"/>
      <c r="J308" s="29"/>
      <c r="K308" s="29"/>
      <c r="L308" s="29"/>
      <c r="M308" s="29"/>
      <c r="N308" s="29"/>
      <c r="O308" s="29"/>
      <c r="P308" s="29"/>
      <c r="Q308" s="29"/>
      <c r="R308" s="29"/>
      <c r="S308" s="29"/>
      <c r="T308" s="29"/>
      <c r="U308" s="29"/>
      <c r="V308" s="29"/>
      <c r="W308" s="29"/>
      <c r="X308" s="29"/>
    </row>
    <row r="309" spans="1:24" ht="15">
      <c r="A309" s="29"/>
      <c r="B309" s="29"/>
      <c r="C309" s="29"/>
      <c r="D309" s="33"/>
      <c r="E309" s="33"/>
      <c r="G309" s="29"/>
      <c r="H309" s="29"/>
      <c r="I309" s="29"/>
      <c r="J309" s="29"/>
      <c r="K309" s="29"/>
      <c r="L309" s="29"/>
      <c r="M309" s="29"/>
      <c r="N309" s="29"/>
      <c r="O309" s="29"/>
      <c r="P309" s="29"/>
      <c r="Q309" s="29"/>
      <c r="R309" s="29"/>
      <c r="S309" s="29"/>
      <c r="T309" s="29"/>
      <c r="U309" s="29"/>
      <c r="V309" s="29"/>
      <c r="W309" s="29"/>
      <c r="X309" s="29"/>
    </row>
    <row r="310" spans="1:24" ht="15">
      <c r="A310" s="29"/>
      <c r="B310" s="29"/>
      <c r="C310" s="29"/>
      <c r="D310" s="33"/>
      <c r="E310" s="33"/>
      <c r="G310" s="29"/>
      <c r="H310" s="29"/>
      <c r="I310" s="29"/>
      <c r="J310" s="29"/>
      <c r="K310" s="29"/>
      <c r="L310" s="29"/>
      <c r="M310" s="29"/>
      <c r="N310" s="29"/>
      <c r="O310" s="29"/>
      <c r="P310" s="29"/>
      <c r="Q310" s="29"/>
      <c r="R310" s="29"/>
      <c r="S310" s="29"/>
      <c r="T310" s="29"/>
      <c r="U310" s="29"/>
      <c r="V310" s="29"/>
      <c r="W310" s="29"/>
      <c r="X310" s="29"/>
    </row>
    <row r="311" spans="1:24" ht="15">
      <c r="A311" s="29"/>
      <c r="B311" s="29"/>
      <c r="C311" s="29"/>
      <c r="D311" s="33"/>
      <c r="E311" s="33"/>
      <c r="G311" s="29"/>
      <c r="H311" s="29"/>
      <c r="I311" s="29"/>
      <c r="J311" s="29"/>
      <c r="K311" s="29"/>
      <c r="L311" s="29"/>
      <c r="M311" s="29"/>
      <c r="N311" s="29"/>
      <c r="O311" s="29"/>
      <c r="P311" s="29"/>
      <c r="Q311" s="29"/>
      <c r="R311" s="29"/>
      <c r="S311" s="29"/>
      <c r="T311" s="29"/>
      <c r="U311" s="29"/>
      <c r="V311" s="29"/>
      <c r="W311" s="29"/>
      <c r="X311" s="29"/>
    </row>
    <row r="312" spans="1:24" ht="15">
      <c r="A312" s="29"/>
      <c r="B312" s="29"/>
      <c r="C312" s="29"/>
      <c r="D312" s="33"/>
      <c r="E312" s="33"/>
      <c r="G312" s="29"/>
      <c r="H312" s="29"/>
      <c r="I312" s="29"/>
      <c r="J312" s="29"/>
      <c r="K312" s="29"/>
      <c r="L312" s="29"/>
      <c r="M312" s="29"/>
      <c r="N312" s="29"/>
      <c r="O312" s="29"/>
      <c r="P312" s="29"/>
      <c r="Q312" s="29"/>
      <c r="R312" s="29"/>
      <c r="S312" s="29"/>
      <c r="T312" s="29"/>
      <c r="U312" s="29"/>
      <c r="V312" s="29"/>
      <c r="W312" s="29"/>
      <c r="X312" s="29"/>
    </row>
    <row r="313" spans="1:24" ht="15">
      <c r="A313" s="29"/>
      <c r="B313" s="29"/>
      <c r="C313" s="29"/>
      <c r="D313" s="33"/>
      <c r="E313" s="33"/>
      <c r="G313" s="29"/>
      <c r="H313" s="29"/>
      <c r="I313" s="29"/>
      <c r="J313" s="29"/>
      <c r="K313" s="29"/>
      <c r="L313" s="29"/>
      <c r="M313" s="29"/>
      <c r="N313" s="29"/>
      <c r="O313" s="29"/>
      <c r="P313" s="29"/>
      <c r="Q313" s="29"/>
      <c r="R313" s="29"/>
      <c r="S313" s="29"/>
      <c r="T313" s="29"/>
      <c r="U313" s="29"/>
      <c r="V313" s="29"/>
      <c r="W313" s="29"/>
      <c r="X313" s="29"/>
    </row>
    <row r="314" spans="1:24" ht="15">
      <c r="A314" s="29"/>
      <c r="B314" s="29"/>
      <c r="C314" s="29"/>
      <c r="D314" s="33"/>
      <c r="E314" s="33"/>
      <c r="G314" s="29"/>
      <c r="H314" s="29"/>
      <c r="I314" s="29"/>
      <c r="J314" s="29"/>
      <c r="K314" s="29"/>
      <c r="L314" s="29"/>
      <c r="M314" s="29"/>
      <c r="N314" s="29"/>
      <c r="O314" s="29"/>
      <c r="P314" s="29"/>
      <c r="Q314" s="29"/>
      <c r="R314" s="29"/>
      <c r="S314" s="29"/>
      <c r="T314" s="29"/>
      <c r="U314" s="29"/>
      <c r="V314" s="29"/>
      <c r="W314" s="29"/>
      <c r="X314" s="29"/>
    </row>
    <row r="315" spans="1:24" ht="15">
      <c r="A315" s="29"/>
      <c r="B315" s="29"/>
      <c r="C315" s="29"/>
      <c r="D315" s="33"/>
      <c r="E315" s="33"/>
      <c r="G315" s="29"/>
      <c r="H315" s="29"/>
      <c r="I315" s="29"/>
      <c r="J315" s="29"/>
      <c r="K315" s="29"/>
      <c r="L315" s="29"/>
      <c r="M315" s="29"/>
      <c r="N315" s="29"/>
      <c r="O315" s="29"/>
      <c r="P315" s="29"/>
      <c r="Q315" s="29"/>
      <c r="R315" s="29"/>
      <c r="S315" s="29"/>
      <c r="T315" s="29"/>
      <c r="U315" s="29"/>
      <c r="V315" s="29"/>
      <c r="W315" s="29"/>
      <c r="X315" s="29"/>
    </row>
    <row r="316" spans="1:24" ht="15">
      <c r="A316" s="29"/>
      <c r="B316" s="29"/>
      <c r="C316" s="29"/>
      <c r="D316" s="33"/>
      <c r="E316" s="33"/>
      <c r="G316" s="29"/>
      <c r="H316" s="29"/>
      <c r="I316" s="29"/>
      <c r="J316" s="29"/>
      <c r="K316" s="29"/>
      <c r="L316" s="29"/>
      <c r="M316" s="29"/>
      <c r="N316" s="29"/>
      <c r="O316" s="29"/>
      <c r="P316" s="29"/>
      <c r="Q316" s="29"/>
      <c r="R316" s="29"/>
      <c r="S316" s="29"/>
      <c r="T316" s="29"/>
      <c r="U316" s="29"/>
      <c r="V316" s="29"/>
      <c r="W316" s="29"/>
      <c r="X316" s="29"/>
    </row>
    <row r="317" spans="1:24" ht="15">
      <c r="A317" s="29"/>
      <c r="B317" s="29"/>
      <c r="C317" s="29"/>
      <c r="D317" s="33"/>
      <c r="E317" s="33"/>
      <c r="G317" s="29"/>
      <c r="H317" s="29"/>
      <c r="I317" s="29"/>
      <c r="J317" s="29"/>
      <c r="K317" s="29"/>
      <c r="L317" s="29"/>
      <c r="M317" s="29"/>
      <c r="N317" s="29"/>
      <c r="O317" s="29"/>
      <c r="P317" s="29"/>
      <c r="Q317" s="29"/>
      <c r="R317" s="29"/>
      <c r="S317" s="29"/>
      <c r="T317" s="29"/>
      <c r="U317" s="29"/>
      <c r="V317" s="29"/>
      <c r="W317" s="29"/>
      <c r="X317" s="29"/>
    </row>
    <row r="318" spans="1:24" ht="15">
      <c r="A318" s="29"/>
      <c r="B318" s="29"/>
      <c r="C318" s="29"/>
      <c r="D318" s="33"/>
      <c r="E318" s="33"/>
      <c r="G318" s="29"/>
      <c r="H318" s="29"/>
      <c r="I318" s="29"/>
      <c r="J318" s="29"/>
      <c r="K318" s="29"/>
      <c r="L318" s="29"/>
      <c r="M318" s="29"/>
      <c r="N318" s="29"/>
      <c r="O318" s="29"/>
      <c r="P318" s="29"/>
      <c r="Q318" s="29"/>
      <c r="R318" s="29"/>
      <c r="S318" s="29"/>
      <c r="T318" s="29"/>
      <c r="U318" s="29"/>
      <c r="V318" s="29"/>
      <c r="W318" s="29"/>
      <c r="X318" s="29"/>
    </row>
    <row r="319" spans="1:24" ht="15">
      <c r="A319" s="29"/>
      <c r="B319" s="29"/>
      <c r="C319" s="29"/>
      <c r="D319" s="33"/>
      <c r="E319" s="33"/>
      <c r="G319" s="29"/>
      <c r="H319" s="29"/>
      <c r="I319" s="29"/>
      <c r="J319" s="29"/>
      <c r="K319" s="29"/>
      <c r="L319" s="29"/>
      <c r="M319" s="29"/>
      <c r="N319" s="29"/>
      <c r="O319" s="29"/>
      <c r="P319" s="29"/>
      <c r="Q319" s="29"/>
      <c r="R319" s="29"/>
      <c r="S319" s="29"/>
      <c r="T319" s="29"/>
      <c r="U319" s="29"/>
      <c r="V319" s="29"/>
      <c r="W319" s="29"/>
      <c r="X319" s="29"/>
    </row>
    <row r="320" spans="1:24" ht="15">
      <c r="A320" s="29"/>
      <c r="B320" s="29"/>
      <c r="C320" s="29"/>
      <c r="D320" s="33"/>
      <c r="E320" s="33"/>
      <c r="G320" s="29"/>
      <c r="H320" s="29"/>
      <c r="I320" s="29"/>
      <c r="J320" s="29"/>
      <c r="K320" s="29"/>
      <c r="L320" s="29"/>
      <c r="M320" s="29"/>
      <c r="N320" s="29"/>
      <c r="O320" s="29"/>
      <c r="P320" s="29"/>
      <c r="Q320" s="29"/>
      <c r="R320" s="29"/>
      <c r="S320" s="29"/>
      <c r="T320" s="29"/>
      <c r="U320" s="29"/>
      <c r="V320" s="29"/>
      <c r="W320" s="29"/>
      <c r="X320" s="29"/>
    </row>
    <row r="321" spans="1:24" ht="15">
      <c r="A321" s="29"/>
      <c r="B321" s="29"/>
      <c r="C321" s="29"/>
      <c r="D321" s="33"/>
      <c r="E321" s="33"/>
      <c r="G321" s="29"/>
      <c r="H321" s="29"/>
      <c r="I321" s="29"/>
      <c r="J321" s="29"/>
      <c r="K321" s="29"/>
      <c r="L321" s="29"/>
      <c r="M321" s="29"/>
      <c r="N321" s="29"/>
      <c r="O321" s="29"/>
      <c r="P321" s="29"/>
      <c r="Q321" s="29"/>
      <c r="R321" s="29"/>
      <c r="S321" s="29"/>
      <c r="T321" s="29"/>
      <c r="U321" s="29"/>
      <c r="V321" s="29"/>
      <c r="W321" s="29"/>
      <c r="X321" s="29"/>
    </row>
    <row r="322" spans="1:24" ht="15">
      <c r="A322" s="29"/>
      <c r="B322" s="29"/>
      <c r="C322" s="29"/>
      <c r="D322" s="33"/>
      <c r="E322" s="33"/>
      <c r="G322" s="29"/>
      <c r="H322" s="29"/>
      <c r="I322" s="29"/>
      <c r="J322" s="29"/>
      <c r="K322" s="29"/>
      <c r="L322" s="29"/>
      <c r="M322" s="29"/>
      <c r="N322" s="29"/>
      <c r="O322" s="29"/>
      <c r="P322" s="29"/>
      <c r="Q322" s="29"/>
      <c r="R322" s="29"/>
      <c r="S322" s="29"/>
      <c r="T322" s="29"/>
      <c r="U322" s="29"/>
      <c r="V322" s="29"/>
      <c r="W322" s="29"/>
      <c r="X322" s="29"/>
    </row>
    <row r="323" spans="1:24" ht="15">
      <c r="A323" s="29"/>
      <c r="B323" s="29"/>
      <c r="C323" s="29"/>
      <c r="D323" s="33"/>
      <c r="E323" s="33"/>
      <c r="G323" s="29"/>
      <c r="H323" s="29"/>
      <c r="I323" s="29"/>
      <c r="J323" s="29"/>
      <c r="K323" s="29"/>
      <c r="L323" s="29"/>
      <c r="M323" s="29"/>
      <c r="N323" s="29"/>
      <c r="O323" s="29"/>
      <c r="P323" s="29"/>
      <c r="Q323" s="29"/>
      <c r="R323" s="29"/>
      <c r="S323" s="29"/>
      <c r="T323" s="29"/>
      <c r="U323" s="29"/>
      <c r="V323" s="29"/>
      <c r="W323" s="29"/>
      <c r="X323" s="29"/>
    </row>
    <row r="324" spans="1:24" ht="15">
      <c r="A324" s="29"/>
      <c r="B324" s="29"/>
      <c r="C324" s="29"/>
      <c r="D324" s="33"/>
      <c r="E324" s="33"/>
      <c r="G324" s="29"/>
      <c r="H324" s="29"/>
      <c r="I324" s="29"/>
      <c r="J324" s="29"/>
      <c r="K324" s="29"/>
      <c r="L324" s="29"/>
      <c r="M324" s="29"/>
      <c r="N324" s="29"/>
      <c r="O324" s="29"/>
      <c r="P324" s="29"/>
      <c r="Q324" s="29"/>
      <c r="R324" s="29"/>
      <c r="S324" s="29"/>
      <c r="T324" s="29"/>
      <c r="U324" s="29"/>
      <c r="V324" s="29"/>
      <c r="W324" s="29"/>
      <c r="X324" s="29"/>
    </row>
    <row r="325" spans="1:24" ht="15">
      <c r="A325" s="29"/>
      <c r="B325" s="29"/>
      <c r="C325" s="29"/>
      <c r="D325" s="33"/>
      <c r="E325" s="33"/>
      <c r="G325" s="29"/>
      <c r="H325" s="29"/>
      <c r="I325" s="29"/>
      <c r="J325" s="29"/>
      <c r="K325" s="29"/>
      <c r="L325" s="29"/>
      <c r="M325" s="29"/>
      <c r="N325" s="29"/>
      <c r="O325" s="29"/>
      <c r="P325" s="29"/>
      <c r="Q325" s="29"/>
      <c r="R325" s="29"/>
      <c r="S325" s="29"/>
      <c r="T325" s="29"/>
      <c r="U325" s="29"/>
      <c r="V325" s="29"/>
      <c r="W325" s="29"/>
      <c r="X325" s="29"/>
    </row>
    <row r="326" spans="1:24" ht="15">
      <c r="A326" s="29"/>
      <c r="B326" s="29"/>
      <c r="C326" s="29"/>
      <c r="D326" s="33"/>
      <c r="E326" s="33"/>
      <c r="G326" s="29"/>
      <c r="H326" s="29"/>
      <c r="I326" s="29"/>
      <c r="J326" s="29"/>
      <c r="K326" s="29"/>
      <c r="L326" s="29"/>
      <c r="M326" s="29"/>
      <c r="N326" s="29"/>
      <c r="O326" s="29"/>
      <c r="P326" s="29"/>
      <c r="Q326" s="29"/>
      <c r="R326" s="29"/>
      <c r="S326" s="29"/>
      <c r="T326" s="29"/>
      <c r="U326" s="29"/>
      <c r="V326" s="29"/>
      <c r="W326" s="29"/>
      <c r="X326" s="29"/>
    </row>
    <row r="327" spans="1:24" ht="15">
      <c r="A327" s="29"/>
      <c r="B327" s="29"/>
      <c r="C327" s="29"/>
      <c r="D327" s="33"/>
      <c r="E327" s="33"/>
      <c r="G327" s="29"/>
      <c r="H327" s="29"/>
      <c r="I327" s="29"/>
      <c r="J327" s="29"/>
      <c r="K327" s="29"/>
      <c r="L327" s="29"/>
      <c r="M327" s="29"/>
      <c r="N327" s="29"/>
      <c r="O327" s="29"/>
      <c r="P327" s="29"/>
      <c r="Q327" s="29"/>
      <c r="R327" s="29"/>
      <c r="S327" s="29"/>
      <c r="T327" s="29"/>
      <c r="U327" s="29"/>
      <c r="V327" s="29"/>
      <c r="W327" s="29"/>
      <c r="X327" s="29"/>
    </row>
    <row r="328" spans="1:24" ht="15">
      <c r="A328" s="29"/>
      <c r="B328" s="29"/>
      <c r="C328" s="29"/>
      <c r="D328" s="33"/>
      <c r="E328" s="33"/>
      <c r="G328" s="29"/>
      <c r="H328" s="29"/>
      <c r="I328" s="29"/>
      <c r="J328" s="29"/>
      <c r="K328" s="29"/>
      <c r="L328" s="29"/>
      <c r="M328" s="29"/>
      <c r="N328" s="29"/>
      <c r="O328" s="29"/>
      <c r="P328" s="29"/>
      <c r="Q328" s="29"/>
      <c r="R328" s="29"/>
      <c r="S328" s="29"/>
      <c r="T328" s="29"/>
      <c r="U328" s="29"/>
      <c r="V328" s="29"/>
      <c r="W328" s="29"/>
      <c r="X328" s="29"/>
    </row>
    <row r="329" spans="1:24" ht="15">
      <c r="A329" s="29"/>
      <c r="B329" s="29"/>
      <c r="C329" s="29"/>
      <c r="D329" s="33"/>
      <c r="E329" s="33"/>
      <c r="G329" s="29"/>
      <c r="H329" s="29"/>
      <c r="I329" s="29"/>
      <c r="J329" s="29"/>
      <c r="K329" s="29"/>
      <c r="L329" s="29"/>
      <c r="M329" s="29"/>
      <c r="N329" s="29"/>
      <c r="O329" s="29"/>
      <c r="P329" s="29"/>
      <c r="Q329" s="29"/>
      <c r="R329" s="29"/>
      <c r="S329" s="29"/>
      <c r="T329" s="29"/>
      <c r="U329" s="29"/>
      <c r="V329" s="29"/>
      <c r="W329" s="29"/>
      <c r="X329" s="29"/>
    </row>
    <row r="330" spans="1:24" ht="15">
      <c r="A330" s="29"/>
      <c r="B330" s="29"/>
      <c r="C330" s="29"/>
      <c r="D330" s="33"/>
      <c r="E330" s="33"/>
      <c r="G330" s="29"/>
      <c r="H330" s="29"/>
      <c r="I330" s="29"/>
      <c r="J330" s="29"/>
      <c r="K330" s="29"/>
      <c r="L330" s="29"/>
      <c r="M330" s="29"/>
      <c r="N330" s="29"/>
      <c r="O330" s="29"/>
      <c r="P330" s="29"/>
      <c r="Q330" s="29"/>
      <c r="R330" s="29"/>
      <c r="S330" s="29"/>
      <c r="T330" s="29"/>
      <c r="U330" s="29"/>
      <c r="V330" s="29"/>
      <c r="W330" s="29"/>
      <c r="X330" s="29"/>
    </row>
    <row r="331" spans="1:24" ht="15">
      <c r="A331" s="29"/>
      <c r="B331" s="29"/>
      <c r="C331" s="29"/>
      <c r="D331" s="33"/>
      <c r="E331" s="33"/>
      <c r="G331" s="29"/>
      <c r="H331" s="29"/>
      <c r="I331" s="29"/>
      <c r="J331" s="29"/>
      <c r="K331" s="29"/>
      <c r="L331" s="29"/>
      <c r="M331" s="29"/>
      <c r="N331" s="29"/>
      <c r="O331" s="29"/>
      <c r="P331" s="29"/>
      <c r="Q331" s="29"/>
      <c r="R331" s="29"/>
      <c r="S331" s="29"/>
      <c r="T331" s="29"/>
      <c r="U331" s="29"/>
      <c r="V331" s="29"/>
      <c r="W331" s="29"/>
      <c r="X331" s="29"/>
    </row>
    <row r="332" spans="1:24" ht="15">
      <c r="A332" s="29"/>
      <c r="B332" s="29"/>
      <c r="C332" s="29"/>
      <c r="D332" s="33"/>
      <c r="E332" s="33"/>
      <c r="G332" s="29"/>
      <c r="H332" s="29"/>
      <c r="I332" s="29"/>
      <c r="J332" s="29"/>
      <c r="K332" s="29"/>
      <c r="L332" s="29"/>
      <c r="M332" s="29"/>
      <c r="N332" s="29"/>
      <c r="O332" s="29"/>
      <c r="P332" s="29"/>
      <c r="Q332" s="29"/>
      <c r="R332" s="29"/>
      <c r="S332" s="29"/>
      <c r="T332" s="29"/>
      <c r="U332" s="29"/>
      <c r="V332" s="29"/>
      <c r="W332" s="29"/>
      <c r="X332" s="29"/>
    </row>
    <row r="333" spans="1:24" ht="15">
      <c r="A333" s="29"/>
      <c r="B333" s="29"/>
      <c r="C333" s="29"/>
      <c r="D333" s="33"/>
      <c r="E333" s="33"/>
      <c r="G333" s="29"/>
      <c r="H333" s="29"/>
      <c r="I333" s="29"/>
      <c r="J333" s="29"/>
      <c r="K333" s="29"/>
      <c r="L333" s="29"/>
      <c r="M333" s="29"/>
      <c r="N333" s="29"/>
      <c r="O333" s="29"/>
      <c r="P333" s="29"/>
      <c r="Q333" s="29"/>
      <c r="R333" s="29"/>
      <c r="S333" s="29"/>
      <c r="T333" s="29"/>
      <c r="U333" s="29"/>
      <c r="V333" s="29"/>
      <c r="W333" s="29"/>
      <c r="X333" s="29"/>
    </row>
    <row r="334" spans="1:24" ht="15">
      <c r="A334" s="29"/>
      <c r="B334" s="29"/>
      <c r="C334" s="29"/>
      <c r="D334" s="33"/>
      <c r="E334" s="33"/>
      <c r="G334" s="29"/>
      <c r="H334" s="29"/>
      <c r="I334" s="29"/>
      <c r="J334" s="29"/>
      <c r="K334" s="29"/>
      <c r="L334" s="29"/>
      <c r="M334" s="29"/>
      <c r="N334" s="29"/>
      <c r="O334" s="29"/>
      <c r="P334" s="29"/>
      <c r="Q334" s="29"/>
      <c r="R334" s="29"/>
      <c r="S334" s="29"/>
      <c r="T334" s="29"/>
      <c r="U334" s="29"/>
      <c r="V334" s="29"/>
      <c r="W334" s="29"/>
      <c r="X334" s="29"/>
    </row>
    <row r="335" spans="1:24" ht="15">
      <c r="A335" s="29"/>
      <c r="B335" s="29"/>
      <c r="C335" s="29"/>
      <c r="D335" s="33"/>
      <c r="E335" s="33"/>
      <c r="G335" s="29"/>
      <c r="H335" s="29"/>
      <c r="I335" s="29"/>
      <c r="J335" s="29"/>
      <c r="K335" s="29"/>
      <c r="L335" s="29"/>
      <c r="M335" s="29"/>
      <c r="N335" s="29"/>
      <c r="O335" s="29"/>
      <c r="P335" s="29"/>
      <c r="Q335" s="29"/>
      <c r="R335" s="29"/>
      <c r="S335" s="29"/>
      <c r="T335" s="29"/>
      <c r="U335" s="29"/>
      <c r="V335" s="29"/>
      <c r="W335" s="29"/>
      <c r="X335" s="29"/>
    </row>
    <row r="336" spans="1:24" ht="15">
      <c r="A336" s="29"/>
      <c r="B336" s="29"/>
      <c r="C336" s="29"/>
      <c r="D336" s="33"/>
      <c r="E336" s="33"/>
      <c r="G336" s="29"/>
      <c r="H336" s="29"/>
      <c r="I336" s="29"/>
      <c r="J336" s="29"/>
      <c r="K336" s="29"/>
      <c r="L336" s="29"/>
      <c r="M336" s="29"/>
      <c r="N336" s="29"/>
      <c r="O336" s="29"/>
      <c r="P336" s="29"/>
      <c r="Q336" s="29"/>
      <c r="R336" s="29"/>
      <c r="S336" s="29"/>
      <c r="T336" s="29"/>
      <c r="U336" s="29"/>
      <c r="V336" s="29"/>
      <c r="W336" s="29"/>
      <c r="X336" s="29"/>
    </row>
    <row r="337" spans="1:24" ht="15">
      <c r="A337" s="29"/>
      <c r="B337" s="29"/>
      <c r="C337" s="29"/>
      <c r="D337" s="33"/>
      <c r="E337" s="33"/>
      <c r="G337" s="29"/>
      <c r="H337" s="29"/>
      <c r="I337" s="29"/>
      <c r="J337" s="29"/>
      <c r="K337" s="29"/>
      <c r="L337" s="29"/>
      <c r="M337" s="29"/>
      <c r="N337" s="29"/>
      <c r="O337" s="29"/>
      <c r="P337" s="29"/>
      <c r="Q337" s="29"/>
      <c r="R337" s="29"/>
      <c r="S337" s="29"/>
      <c r="T337" s="29"/>
      <c r="U337" s="29"/>
      <c r="V337" s="29"/>
      <c r="W337" s="29"/>
      <c r="X337" s="29"/>
    </row>
    <row r="338" spans="1:24" ht="15">
      <c r="A338" s="29"/>
      <c r="B338" s="29"/>
      <c r="C338" s="29"/>
      <c r="D338" s="33"/>
      <c r="E338" s="33"/>
      <c r="G338" s="29"/>
      <c r="H338" s="29"/>
      <c r="I338" s="29"/>
      <c r="J338" s="29"/>
      <c r="K338" s="29"/>
      <c r="L338" s="29"/>
      <c r="M338" s="29"/>
      <c r="N338" s="29"/>
      <c r="O338" s="29"/>
      <c r="P338" s="29"/>
      <c r="Q338" s="29"/>
      <c r="R338" s="29"/>
      <c r="S338" s="29"/>
      <c r="T338" s="29"/>
      <c r="U338" s="29"/>
      <c r="V338" s="29"/>
      <c r="W338" s="29"/>
      <c r="X338" s="29"/>
    </row>
    <row r="339" spans="1:24" ht="15">
      <c r="A339" s="29"/>
      <c r="B339" s="29"/>
      <c r="C339" s="29"/>
      <c r="D339" s="33"/>
      <c r="E339" s="33"/>
      <c r="G339" s="29"/>
      <c r="H339" s="29"/>
      <c r="I339" s="29"/>
      <c r="J339" s="29"/>
      <c r="K339" s="29"/>
      <c r="L339" s="29"/>
      <c r="M339" s="29"/>
      <c r="N339" s="29"/>
      <c r="O339" s="29"/>
      <c r="P339" s="29"/>
      <c r="Q339" s="29"/>
      <c r="R339" s="29"/>
      <c r="S339" s="29"/>
      <c r="T339" s="29"/>
      <c r="U339" s="29"/>
      <c r="V339" s="29"/>
      <c r="W339" s="29"/>
      <c r="X339" s="29"/>
    </row>
    <row r="340" spans="1:24" ht="15">
      <c r="A340" s="29"/>
      <c r="B340" s="29"/>
      <c r="C340" s="29"/>
      <c r="D340" s="33"/>
      <c r="E340" s="33"/>
      <c r="G340" s="29"/>
      <c r="H340" s="29"/>
      <c r="I340" s="29"/>
      <c r="J340" s="29"/>
      <c r="K340" s="29"/>
      <c r="L340" s="29"/>
      <c r="M340" s="29"/>
      <c r="N340" s="29"/>
      <c r="O340" s="29"/>
      <c r="P340" s="29"/>
      <c r="Q340" s="29"/>
      <c r="R340" s="29"/>
      <c r="S340" s="29"/>
      <c r="T340" s="29"/>
      <c r="U340" s="29"/>
      <c r="V340" s="29"/>
      <c r="W340" s="29"/>
      <c r="X340" s="29"/>
    </row>
    <row r="341" spans="1:24" ht="15">
      <c r="A341" s="29"/>
      <c r="B341" s="29"/>
      <c r="C341" s="29"/>
      <c r="D341" s="33"/>
      <c r="E341" s="33"/>
      <c r="G341" s="29"/>
      <c r="H341" s="29"/>
      <c r="I341" s="29"/>
      <c r="J341" s="29"/>
      <c r="K341" s="29"/>
      <c r="L341" s="29"/>
      <c r="M341" s="29"/>
      <c r="N341" s="29"/>
      <c r="O341" s="29"/>
      <c r="P341" s="29"/>
      <c r="Q341" s="29"/>
      <c r="R341" s="29"/>
      <c r="S341" s="29"/>
      <c r="T341" s="29"/>
      <c r="U341" s="29"/>
      <c r="V341" s="29"/>
      <c r="W341" s="29"/>
      <c r="X341" s="29"/>
    </row>
    <row r="342" spans="1:24" ht="15">
      <c r="A342" s="29"/>
      <c r="B342" s="29"/>
      <c r="C342" s="29"/>
      <c r="D342" s="33"/>
      <c r="E342" s="33"/>
      <c r="G342" s="29"/>
      <c r="H342" s="29"/>
      <c r="I342" s="29"/>
      <c r="J342" s="29"/>
      <c r="K342" s="29"/>
      <c r="L342" s="29"/>
      <c r="M342" s="29"/>
      <c r="N342" s="29"/>
      <c r="O342" s="29"/>
      <c r="P342" s="29"/>
      <c r="Q342" s="29"/>
      <c r="R342" s="29"/>
      <c r="S342" s="29"/>
      <c r="T342" s="29"/>
      <c r="U342" s="29"/>
      <c r="V342" s="29"/>
      <c r="W342" s="29"/>
      <c r="X342" s="29"/>
    </row>
    <row r="343" spans="1:24" ht="15">
      <c r="A343" s="29"/>
      <c r="B343" s="29"/>
      <c r="C343" s="29"/>
      <c r="D343" s="33"/>
      <c r="E343" s="33"/>
      <c r="G343" s="29"/>
      <c r="H343" s="29"/>
      <c r="I343" s="29"/>
      <c r="J343" s="29"/>
      <c r="K343" s="29"/>
      <c r="L343" s="29"/>
      <c r="M343" s="29"/>
      <c r="N343" s="29"/>
      <c r="O343" s="29"/>
      <c r="P343" s="29"/>
      <c r="Q343" s="29"/>
      <c r="R343" s="29"/>
      <c r="S343" s="29"/>
      <c r="T343" s="29"/>
      <c r="U343" s="29"/>
      <c r="V343" s="29"/>
      <c r="W343" s="29"/>
      <c r="X343" s="29"/>
    </row>
    <row r="344" spans="1:24" ht="15">
      <c r="A344" s="29"/>
      <c r="B344" s="29"/>
      <c r="C344" s="29"/>
      <c r="D344" s="33"/>
      <c r="E344" s="33"/>
      <c r="G344" s="29"/>
      <c r="H344" s="29"/>
      <c r="I344" s="29"/>
      <c r="J344" s="29"/>
      <c r="K344" s="29"/>
      <c r="L344" s="29"/>
      <c r="M344" s="29"/>
      <c r="N344" s="29"/>
      <c r="O344" s="29"/>
      <c r="P344" s="29"/>
      <c r="Q344" s="29"/>
      <c r="R344" s="29"/>
      <c r="S344" s="29"/>
      <c r="T344" s="29"/>
      <c r="U344" s="29"/>
      <c r="V344" s="29"/>
      <c r="W344" s="29"/>
      <c r="X344" s="29"/>
    </row>
    <row r="345" spans="1:24" ht="15">
      <c r="A345" s="29"/>
      <c r="B345" s="29"/>
      <c r="C345" s="29"/>
      <c r="D345" s="33"/>
      <c r="E345" s="33"/>
      <c r="G345" s="29"/>
      <c r="H345" s="29"/>
      <c r="I345" s="29"/>
      <c r="J345" s="29"/>
      <c r="K345" s="29"/>
      <c r="L345" s="29"/>
      <c r="M345" s="29"/>
      <c r="N345" s="29"/>
      <c r="O345" s="29"/>
      <c r="P345" s="29"/>
      <c r="Q345" s="29"/>
      <c r="R345" s="29"/>
      <c r="S345" s="29"/>
      <c r="T345" s="29"/>
      <c r="U345" s="29"/>
      <c r="V345" s="29"/>
      <c r="W345" s="29"/>
      <c r="X345" s="29"/>
    </row>
    <row r="346" spans="1:24" ht="15">
      <c r="A346" s="29"/>
      <c r="B346" s="29"/>
      <c r="C346" s="29"/>
      <c r="D346" s="33"/>
      <c r="E346" s="33"/>
      <c r="G346" s="29"/>
      <c r="H346" s="29"/>
      <c r="I346" s="29"/>
      <c r="J346" s="29"/>
      <c r="K346" s="29"/>
      <c r="L346" s="29"/>
      <c r="M346" s="29"/>
      <c r="N346" s="29"/>
      <c r="O346" s="29"/>
      <c r="P346" s="29"/>
      <c r="Q346" s="29"/>
      <c r="R346" s="29"/>
      <c r="S346" s="29"/>
      <c r="T346" s="29"/>
      <c r="U346" s="29"/>
      <c r="V346" s="29"/>
      <c r="W346" s="29"/>
      <c r="X346" s="29"/>
    </row>
    <row r="347" spans="1:24" ht="15">
      <c r="A347" s="29"/>
      <c r="B347" s="29"/>
      <c r="C347" s="29"/>
      <c r="D347" s="33"/>
      <c r="E347" s="33"/>
      <c r="G347" s="29"/>
      <c r="H347" s="29"/>
      <c r="I347" s="29"/>
      <c r="J347" s="29"/>
      <c r="K347" s="29"/>
      <c r="L347" s="29"/>
      <c r="M347" s="29"/>
      <c r="N347" s="29"/>
      <c r="O347" s="29"/>
      <c r="P347" s="29"/>
      <c r="Q347" s="29"/>
      <c r="R347" s="29"/>
      <c r="S347" s="29"/>
      <c r="T347" s="29"/>
      <c r="U347" s="29"/>
      <c r="V347" s="29"/>
      <c r="W347" s="29"/>
      <c r="X347" s="29"/>
    </row>
    <row r="348" spans="1:24" ht="15">
      <c r="A348" s="29"/>
      <c r="B348" s="29"/>
      <c r="C348" s="29"/>
      <c r="D348" s="33"/>
      <c r="E348" s="33"/>
      <c r="G348" s="29"/>
      <c r="H348" s="29"/>
      <c r="I348" s="29"/>
      <c r="J348" s="29"/>
      <c r="K348" s="29"/>
      <c r="L348" s="29"/>
      <c r="M348" s="29"/>
      <c r="N348" s="29"/>
      <c r="O348" s="29"/>
      <c r="P348" s="29"/>
      <c r="Q348" s="29"/>
      <c r="R348" s="29"/>
      <c r="S348" s="29"/>
      <c r="T348" s="29"/>
      <c r="U348" s="29"/>
      <c r="V348" s="29"/>
      <c r="W348" s="29"/>
      <c r="X348" s="29"/>
    </row>
    <row r="349" spans="1:24" ht="15">
      <c r="A349" s="29"/>
      <c r="B349" s="29"/>
      <c r="C349" s="29"/>
      <c r="D349" s="33"/>
      <c r="E349" s="33"/>
      <c r="G349" s="29"/>
      <c r="H349" s="29"/>
      <c r="I349" s="29"/>
      <c r="J349" s="29"/>
      <c r="K349" s="29"/>
      <c r="L349" s="29"/>
      <c r="M349" s="29"/>
      <c r="N349" s="29"/>
      <c r="O349" s="29"/>
      <c r="P349" s="29"/>
      <c r="Q349" s="29"/>
      <c r="R349" s="29"/>
      <c r="S349" s="29"/>
      <c r="T349" s="29"/>
      <c r="U349" s="29"/>
      <c r="V349" s="29"/>
      <c r="W349" s="29"/>
      <c r="X349" s="29"/>
    </row>
    <row r="350" spans="1:24" ht="15">
      <c r="A350" s="29"/>
      <c r="B350" s="29"/>
      <c r="C350" s="29"/>
      <c r="D350" s="33"/>
      <c r="E350" s="33"/>
      <c r="G350" s="29"/>
      <c r="H350" s="29"/>
      <c r="I350" s="29"/>
      <c r="J350" s="29"/>
      <c r="K350" s="29"/>
      <c r="L350" s="29"/>
      <c r="M350" s="29"/>
      <c r="N350" s="29"/>
      <c r="O350" s="29"/>
      <c r="P350" s="29"/>
      <c r="Q350" s="29"/>
      <c r="R350" s="29"/>
      <c r="S350" s="29"/>
      <c r="T350" s="29"/>
      <c r="U350" s="29"/>
      <c r="V350" s="29"/>
      <c r="W350" s="29"/>
      <c r="X350" s="29"/>
    </row>
    <row r="351" spans="1:24" ht="15">
      <c r="A351" s="29"/>
      <c r="B351" s="29"/>
      <c r="C351" s="29"/>
      <c r="D351" s="33"/>
      <c r="E351" s="33"/>
      <c r="G351" s="29"/>
      <c r="H351" s="29"/>
      <c r="I351" s="29"/>
      <c r="J351" s="29"/>
      <c r="K351" s="29"/>
      <c r="L351" s="29"/>
      <c r="M351" s="29"/>
      <c r="N351" s="29"/>
      <c r="O351" s="29"/>
      <c r="P351" s="29"/>
      <c r="Q351" s="29"/>
      <c r="R351" s="29"/>
      <c r="S351" s="29"/>
      <c r="T351" s="29"/>
      <c r="U351" s="29"/>
      <c r="V351" s="29"/>
      <c r="W351" s="29"/>
      <c r="X351" s="29"/>
    </row>
    <row r="352" spans="1:24" ht="15">
      <c r="A352" s="29"/>
      <c r="B352" s="29"/>
      <c r="C352" s="29"/>
      <c r="D352" s="33"/>
      <c r="E352" s="33"/>
      <c r="G352" s="29"/>
      <c r="H352" s="29"/>
      <c r="I352" s="29"/>
      <c r="J352" s="29"/>
      <c r="K352" s="29"/>
      <c r="L352" s="29"/>
      <c r="M352" s="29"/>
      <c r="N352" s="29"/>
      <c r="O352" s="29"/>
      <c r="P352" s="29"/>
      <c r="Q352" s="29"/>
      <c r="R352" s="29"/>
      <c r="S352" s="29"/>
      <c r="T352" s="29"/>
      <c r="U352" s="29"/>
      <c r="V352" s="29"/>
      <c r="W352" s="29"/>
      <c r="X352" s="29"/>
    </row>
    <row r="353" spans="1:24" ht="15">
      <c r="A353" s="29"/>
      <c r="B353" s="29"/>
      <c r="C353" s="29"/>
      <c r="D353" s="33"/>
      <c r="E353" s="33"/>
      <c r="G353" s="29"/>
      <c r="H353" s="29"/>
      <c r="I353" s="29"/>
      <c r="J353" s="29"/>
      <c r="K353" s="29"/>
      <c r="L353" s="29"/>
      <c r="M353" s="29"/>
      <c r="N353" s="29"/>
      <c r="O353" s="29"/>
      <c r="P353" s="29"/>
      <c r="Q353" s="29"/>
      <c r="R353" s="29"/>
      <c r="S353" s="29"/>
      <c r="T353" s="29"/>
      <c r="U353" s="29"/>
      <c r="V353" s="29"/>
      <c r="W353" s="29"/>
      <c r="X353" s="29"/>
    </row>
    <row r="354" spans="1:24" ht="15">
      <c r="A354" s="29"/>
      <c r="B354" s="29"/>
      <c r="C354" s="29"/>
      <c r="D354" s="33"/>
      <c r="E354" s="33"/>
      <c r="G354" s="29"/>
      <c r="H354" s="29"/>
      <c r="I354" s="29"/>
      <c r="J354" s="29"/>
      <c r="K354" s="29"/>
      <c r="L354" s="29"/>
      <c r="M354" s="29"/>
      <c r="N354" s="29"/>
      <c r="O354" s="29"/>
      <c r="P354" s="29"/>
      <c r="Q354" s="29"/>
      <c r="R354" s="29"/>
      <c r="S354" s="29"/>
      <c r="T354" s="29"/>
      <c r="U354" s="29"/>
      <c r="V354" s="29"/>
      <c r="W354" s="29"/>
      <c r="X354" s="29"/>
    </row>
    <row r="355" spans="1:24" ht="15">
      <c r="A355" s="29"/>
      <c r="B355" s="29"/>
      <c r="C355" s="29"/>
      <c r="D355" s="33"/>
      <c r="E355" s="33"/>
      <c r="G355" s="29"/>
      <c r="H355" s="29"/>
      <c r="I355" s="29"/>
      <c r="J355" s="29"/>
      <c r="K355" s="29"/>
      <c r="L355" s="29"/>
      <c r="M355" s="29"/>
      <c r="N355" s="29"/>
      <c r="O355" s="29"/>
      <c r="P355" s="29"/>
      <c r="Q355" s="29"/>
      <c r="R355" s="29"/>
      <c r="S355" s="29"/>
      <c r="T355" s="29"/>
      <c r="U355" s="29"/>
      <c r="V355" s="29"/>
      <c r="W355" s="29"/>
      <c r="X355" s="29"/>
    </row>
    <row r="356" spans="1:24" ht="15">
      <c r="A356" s="29"/>
      <c r="B356" s="29"/>
      <c r="C356" s="29"/>
      <c r="D356" s="33"/>
      <c r="E356" s="33"/>
      <c r="G356" s="29"/>
      <c r="H356" s="29"/>
      <c r="I356" s="29"/>
      <c r="J356" s="29"/>
      <c r="K356" s="29"/>
      <c r="L356" s="29"/>
      <c r="M356" s="29"/>
      <c r="N356" s="29"/>
      <c r="O356" s="29"/>
      <c r="P356" s="29"/>
      <c r="Q356" s="29"/>
      <c r="R356" s="29"/>
      <c r="S356" s="29"/>
      <c r="T356" s="29"/>
      <c r="U356" s="29"/>
      <c r="V356" s="29"/>
      <c r="W356" s="29"/>
      <c r="X356" s="29"/>
    </row>
    <row r="357" spans="1:24" ht="15">
      <c r="A357" s="29"/>
      <c r="B357" s="29"/>
      <c r="C357" s="29"/>
      <c r="D357" s="33"/>
      <c r="E357" s="33"/>
      <c r="G357" s="29"/>
      <c r="H357" s="29"/>
      <c r="I357" s="29"/>
      <c r="J357" s="29"/>
      <c r="K357" s="29"/>
      <c r="L357" s="29"/>
      <c r="M357" s="29"/>
      <c r="N357" s="29"/>
      <c r="O357" s="29"/>
      <c r="P357" s="29"/>
      <c r="Q357" s="29"/>
      <c r="R357" s="29"/>
      <c r="S357" s="29"/>
      <c r="T357" s="29"/>
      <c r="U357" s="29"/>
      <c r="V357" s="29"/>
      <c r="W357" s="29"/>
      <c r="X357" s="29"/>
    </row>
    <row r="358" spans="1:24" ht="15">
      <c r="A358" s="29"/>
      <c r="B358" s="29"/>
      <c r="C358" s="29"/>
      <c r="D358" s="33"/>
      <c r="E358" s="33"/>
      <c r="G358" s="29"/>
      <c r="H358" s="29"/>
      <c r="I358" s="29"/>
      <c r="J358" s="29"/>
      <c r="K358" s="29"/>
      <c r="L358" s="29"/>
      <c r="M358" s="29"/>
      <c r="N358" s="29"/>
      <c r="O358" s="29"/>
      <c r="P358" s="29"/>
      <c r="Q358" s="29"/>
      <c r="R358" s="29"/>
      <c r="S358" s="29"/>
      <c r="T358" s="29"/>
      <c r="U358" s="29"/>
      <c r="V358" s="29"/>
      <c r="W358" s="29"/>
      <c r="X358" s="29"/>
    </row>
    <row r="359" spans="1:24" ht="15">
      <c r="A359" s="29"/>
      <c r="B359" s="29"/>
      <c r="C359" s="29"/>
      <c r="D359" s="33"/>
      <c r="E359" s="33"/>
      <c r="G359" s="29"/>
      <c r="H359" s="29"/>
      <c r="I359" s="29"/>
      <c r="J359" s="29"/>
      <c r="K359" s="29"/>
      <c r="L359" s="29"/>
      <c r="M359" s="29"/>
      <c r="N359" s="29"/>
      <c r="O359" s="29"/>
      <c r="P359" s="29"/>
      <c r="Q359" s="29"/>
      <c r="R359" s="29"/>
      <c r="S359" s="29"/>
      <c r="T359" s="29"/>
      <c r="U359" s="29"/>
      <c r="V359" s="29"/>
      <c r="W359" s="29"/>
      <c r="X359" s="29"/>
    </row>
    <row r="360" spans="1:24" ht="15">
      <c r="A360" s="29"/>
      <c r="B360" s="29"/>
      <c r="C360" s="29"/>
      <c r="D360" s="33"/>
      <c r="E360" s="33"/>
      <c r="G360" s="29"/>
      <c r="H360" s="29"/>
      <c r="I360" s="29"/>
      <c r="J360" s="29"/>
      <c r="K360" s="29"/>
      <c r="L360" s="29"/>
      <c r="M360" s="29"/>
      <c r="N360" s="29"/>
      <c r="O360" s="29"/>
      <c r="P360" s="29"/>
      <c r="Q360" s="29"/>
      <c r="R360" s="29"/>
      <c r="S360" s="29"/>
      <c r="T360" s="29"/>
      <c r="U360" s="29"/>
      <c r="V360" s="29"/>
      <c r="W360" s="29"/>
      <c r="X360" s="29"/>
    </row>
    <row r="361" spans="1:24" ht="15">
      <c r="A361" s="29"/>
      <c r="B361" s="29"/>
      <c r="C361" s="29"/>
      <c r="D361" s="33"/>
      <c r="E361" s="33"/>
      <c r="G361" s="29"/>
      <c r="H361" s="29"/>
      <c r="I361" s="29"/>
      <c r="J361" s="29"/>
      <c r="K361" s="29"/>
      <c r="L361" s="29"/>
      <c r="M361" s="29"/>
      <c r="N361" s="29"/>
      <c r="O361" s="29"/>
      <c r="P361" s="29"/>
      <c r="Q361" s="29"/>
      <c r="R361" s="29"/>
      <c r="S361" s="29"/>
      <c r="T361" s="29"/>
      <c r="U361" s="29"/>
      <c r="V361" s="29"/>
      <c r="W361" s="29"/>
      <c r="X361" s="29"/>
    </row>
    <row r="362" spans="1:24" ht="15">
      <c r="A362" s="29"/>
      <c r="B362" s="29"/>
      <c r="C362" s="29"/>
      <c r="D362" s="33"/>
      <c r="E362" s="33"/>
      <c r="G362" s="29"/>
      <c r="H362" s="29"/>
      <c r="I362" s="29"/>
      <c r="J362" s="29"/>
      <c r="K362" s="29"/>
      <c r="L362" s="29"/>
      <c r="M362" s="29"/>
      <c r="N362" s="29"/>
      <c r="O362" s="29"/>
      <c r="P362" s="29"/>
      <c r="Q362" s="29"/>
      <c r="R362" s="29"/>
      <c r="S362" s="29"/>
      <c r="T362" s="29"/>
      <c r="U362" s="29"/>
      <c r="V362" s="29"/>
      <c r="W362" s="29"/>
      <c r="X362" s="29"/>
    </row>
    <row r="363" spans="1:24" ht="15">
      <c r="A363" s="29"/>
      <c r="B363" s="29"/>
      <c r="C363" s="29"/>
      <c r="D363" s="33"/>
      <c r="E363" s="33"/>
      <c r="G363" s="29"/>
      <c r="H363" s="29"/>
      <c r="I363" s="29"/>
      <c r="J363" s="29"/>
      <c r="K363" s="29"/>
      <c r="L363" s="29"/>
      <c r="M363" s="29"/>
      <c r="N363" s="29"/>
      <c r="O363" s="29"/>
      <c r="P363" s="29"/>
      <c r="Q363" s="29"/>
      <c r="R363" s="29"/>
      <c r="S363" s="29"/>
      <c r="T363" s="29"/>
      <c r="U363" s="29"/>
      <c r="V363" s="29"/>
      <c r="W363" s="29"/>
      <c r="X363" s="29"/>
    </row>
    <row r="364" spans="1:24" ht="15">
      <c r="A364" s="29"/>
      <c r="B364" s="29"/>
      <c r="C364" s="29"/>
      <c r="D364" s="33"/>
      <c r="E364" s="33"/>
      <c r="G364" s="29"/>
      <c r="H364" s="29"/>
      <c r="I364" s="29"/>
      <c r="J364" s="29"/>
      <c r="K364" s="29"/>
      <c r="L364" s="29"/>
      <c r="M364" s="29"/>
      <c r="N364" s="29"/>
      <c r="O364" s="29"/>
      <c r="P364" s="29"/>
      <c r="Q364" s="29"/>
      <c r="R364" s="29"/>
      <c r="S364" s="29"/>
      <c r="T364" s="29"/>
      <c r="U364" s="29"/>
      <c r="V364" s="29"/>
      <c r="W364" s="29"/>
      <c r="X364" s="29"/>
    </row>
    <row r="365" spans="1:24" ht="15">
      <c r="A365" s="29"/>
      <c r="B365" s="29"/>
      <c r="C365" s="29"/>
      <c r="D365" s="33"/>
      <c r="E365" s="33"/>
      <c r="G365" s="29"/>
      <c r="H365" s="29"/>
      <c r="I365" s="29"/>
      <c r="J365" s="29"/>
      <c r="K365" s="29"/>
      <c r="L365" s="29"/>
      <c r="M365" s="29"/>
      <c r="N365" s="29"/>
      <c r="O365" s="29"/>
      <c r="P365" s="29"/>
      <c r="Q365" s="29"/>
      <c r="R365" s="29"/>
      <c r="S365" s="29"/>
      <c r="T365" s="29"/>
      <c r="U365" s="29"/>
      <c r="V365" s="29"/>
      <c r="W365" s="29"/>
      <c r="X365" s="29"/>
    </row>
    <row r="366" spans="1:24" ht="15">
      <c r="A366" s="29"/>
      <c r="B366" s="29"/>
      <c r="C366" s="29"/>
      <c r="D366" s="33"/>
      <c r="E366" s="33"/>
      <c r="G366" s="29"/>
      <c r="H366" s="29"/>
      <c r="I366" s="29"/>
      <c r="J366" s="29"/>
      <c r="K366" s="29"/>
      <c r="L366" s="29"/>
      <c r="M366" s="29"/>
      <c r="N366" s="29"/>
      <c r="O366" s="29"/>
      <c r="P366" s="29"/>
      <c r="Q366" s="29"/>
      <c r="R366" s="29"/>
      <c r="S366" s="29"/>
      <c r="T366" s="29"/>
      <c r="U366" s="29"/>
      <c r="V366" s="29"/>
      <c r="W366" s="29"/>
      <c r="X366" s="29"/>
    </row>
    <row r="367" spans="1:24" ht="15">
      <c r="A367" s="29"/>
      <c r="B367" s="29"/>
      <c r="C367" s="29"/>
      <c r="D367" s="33"/>
      <c r="E367" s="33"/>
      <c r="G367" s="29"/>
      <c r="H367" s="29"/>
      <c r="I367" s="29"/>
      <c r="J367" s="29"/>
      <c r="K367" s="29"/>
      <c r="L367" s="29"/>
      <c r="M367" s="29"/>
      <c r="N367" s="29"/>
      <c r="O367" s="29"/>
      <c r="P367" s="29"/>
      <c r="Q367" s="29"/>
      <c r="R367" s="29"/>
      <c r="S367" s="29"/>
      <c r="T367" s="29"/>
      <c r="U367" s="29"/>
      <c r="V367" s="29"/>
      <c r="W367" s="29"/>
      <c r="X367" s="29"/>
    </row>
    <row r="368" spans="1:24" ht="15">
      <c r="A368" s="29"/>
      <c r="B368" s="29"/>
      <c r="C368" s="29"/>
      <c r="D368" s="33"/>
      <c r="E368" s="33"/>
      <c r="G368" s="29"/>
      <c r="H368" s="29"/>
      <c r="I368" s="29"/>
      <c r="J368" s="29"/>
      <c r="K368" s="29"/>
      <c r="L368" s="29"/>
      <c r="M368" s="29"/>
      <c r="N368" s="29"/>
      <c r="O368" s="29"/>
      <c r="P368" s="29"/>
      <c r="Q368" s="29"/>
      <c r="R368" s="29"/>
      <c r="S368" s="29"/>
      <c r="T368" s="29"/>
      <c r="U368" s="29"/>
      <c r="V368" s="29"/>
      <c r="W368" s="29"/>
      <c r="X368" s="29"/>
    </row>
    <row r="369" spans="1:24" ht="15">
      <c r="A369" s="29"/>
      <c r="B369" s="29"/>
      <c r="C369" s="29"/>
      <c r="D369" s="33"/>
      <c r="E369" s="33"/>
      <c r="G369" s="29"/>
      <c r="H369" s="29"/>
      <c r="I369" s="29"/>
      <c r="J369" s="29"/>
      <c r="K369" s="29"/>
      <c r="L369" s="29"/>
      <c r="M369" s="29"/>
      <c r="N369" s="29"/>
      <c r="O369" s="29"/>
      <c r="P369" s="29"/>
      <c r="Q369" s="29"/>
      <c r="R369" s="29"/>
      <c r="S369" s="29"/>
      <c r="T369" s="29"/>
      <c r="U369" s="29"/>
      <c r="V369" s="29"/>
      <c r="W369" s="29"/>
      <c r="X369" s="29"/>
    </row>
    <row r="370" spans="1:24" ht="15">
      <c r="A370" s="29"/>
      <c r="B370" s="29"/>
      <c r="C370" s="29"/>
      <c r="D370" s="33"/>
      <c r="E370" s="33"/>
      <c r="G370" s="29"/>
      <c r="H370" s="29"/>
      <c r="I370" s="29"/>
      <c r="J370" s="29"/>
      <c r="K370" s="29"/>
      <c r="L370" s="29"/>
      <c r="M370" s="29"/>
      <c r="N370" s="29"/>
      <c r="O370" s="29"/>
      <c r="P370" s="29"/>
      <c r="Q370" s="29"/>
      <c r="R370" s="29"/>
      <c r="S370" s="29"/>
      <c r="T370" s="29"/>
      <c r="U370" s="29"/>
      <c r="V370" s="29"/>
      <c r="W370" s="29"/>
      <c r="X370" s="29"/>
    </row>
    <row r="371" spans="1:24" ht="15">
      <c r="A371" s="29"/>
      <c r="B371" s="29"/>
      <c r="C371" s="29"/>
      <c r="D371" s="33"/>
      <c r="E371" s="33"/>
      <c r="G371" s="29"/>
      <c r="H371" s="29"/>
      <c r="I371" s="29"/>
      <c r="J371" s="29"/>
      <c r="K371" s="29"/>
      <c r="L371" s="29"/>
      <c r="M371" s="29"/>
      <c r="N371" s="29"/>
      <c r="O371" s="29"/>
      <c r="P371" s="29"/>
      <c r="Q371" s="29"/>
      <c r="R371" s="29"/>
      <c r="S371" s="29"/>
      <c r="T371" s="29"/>
      <c r="U371" s="29"/>
      <c r="V371" s="29"/>
      <c r="W371" s="29"/>
      <c r="X371" s="29"/>
    </row>
    <row r="372" spans="1:24" ht="15">
      <c r="A372" s="29"/>
      <c r="B372" s="29"/>
      <c r="C372" s="29"/>
      <c r="D372" s="33"/>
      <c r="E372" s="33"/>
      <c r="G372" s="29"/>
      <c r="H372" s="29"/>
      <c r="I372" s="29"/>
      <c r="J372" s="29"/>
      <c r="K372" s="29"/>
      <c r="L372" s="29"/>
      <c r="M372" s="29"/>
      <c r="N372" s="29"/>
      <c r="O372" s="29"/>
      <c r="P372" s="29"/>
      <c r="Q372" s="29"/>
      <c r="R372" s="29"/>
      <c r="S372" s="29"/>
      <c r="T372" s="29"/>
      <c r="U372" s="29"/>
      <c r="V372" s="29"/>
      <c r="W372" s="29"/>
      <c r="X372" s="29"/>
    </row>
    <row r="373" spans="1:24" ht="15">
      <c r="A373" s="29"/>
      <c r="B373" s="29"/>
      <c r="C373" s="29"/>
      <c r="D373" s="33"/>
      <c r="E373" s="33"/>
      <c r="G373" s="29"/>
      <c r="H373" s="29"/>
      <c r="I373" s="29"/>
      <c r="J373" s="29"/>
      <c r="K373" s="29"/>
      <c r="L373" s="29"/>
      <c r="M373" s="29"/>
      <c r="N373" s="29"/>
      <c r="O373" s="29"/>
      <c r="P373" s="29"/>
      <c r="Q373" s="29"/>
      <c r="R373" s="29"/>
      <c r="S373" s="29"/>
      <c r="T373" s="29"/>
      <c r="U373" s="29"/>
      <c r="V373" s="29"/>
      <c r="W373" s="29"/>
      <c r="X373" s="29"/>
    </row>
    <row r="374" spans="1:24" ht="15">
      <c r="A374" s="29"/>
      <c r="B374" s="29"/>
      <c r="C374" s="29"/>
      <c r="D374" s="33"/>
      <c r="E374" s="33"/>
      <c r="G374" s="29"/>
      <c r="H374" s="29"/>
      <c r="I374" s="29"/>
      <c r="J374" s="29"/>
      <c r="K374" s="29"/>
      <c r="L374" s="29"/>
      <c r="M374" s="29"/>
      <c r="N374" s="29"/>
      <c r="O374" s="29"/>
      <c r="P374" s="29"/>
      <c r="Q374" s="29"/>
      <c r="R374" s="29"/>
      <c r="S374" s="29"/>
      <c r="T374" s="29"/>
      <c r="U374" s="29"/>
      <c r="V374" s="29"/>
      <c r="W374" s="29"/>
      <c r="X374" s="29"/>
    </row>
    <row r="375" spans="1:24" ht="15">
      <c r="A375" s="29"/>
      <c r="B375" s="29"/>
      <c r="C375" s="29"/>
      <c r="D375" s="33"/>
      <c r="E375" s="33"/>
      <c r="G375" s="29"/>
      <c r="H375" s="29"/>
      <c r="I375" s="29"/>
      <c r="J375" s="29"/>
      <c r="K375" s="29"/>
      <c r="L375" s="29"/>
      <c r="M375" s="29"/>
      <c r="N375" s="29"/>
      <c r="O375" s="29"/>
      <c r="P375" s="29"/>
      <c r="Q375" s="29"/>
      <c r="R375" s="29"/>
      <c r="S375" s="29"/>
      <c r="T375" s="29"/>
      <c r="U375" s="29"/>
      <c r="V375" s="29"/>
      <c r="W375" s="29"/>
      <c r="X375" s="29"/>
    </row>
    <row r="376" spans="1:24" ht="15">
      <c r="A376" s="29"/>
      <c r="B376" s="29"/>
      <c r="C376" s="29"/>
      <c r="D376" s="33"/>
      <c r="E376" s="33"/>
      <c r="G376" s="29"/>
      <c r="H376" s="29"/>
      <c r="I376" s="29"/>
      <c r="J376" s="29"/>
      <c r="K376" s="29"/>
      <c r="L376" s="29"/>
      <c r="M376" s="29"/>
      <c r="N376" s="29"/>
      <c r="O376" s="29"/>
      <c r="P376" s="29"/>
      <c r="Q376" s="29"/>
      <c r="R376" s="29"/>
      <c r="S376" s="29"/>
      <c r="T376" s="29"/>
      <c r="U376" s="29"/>
      <c r="V376" s="29"/>
      <c r="W376" s="29"/>
      <c r="X376" s="29"/>
    </row>
    <row r="377" spans="1:24" ht="15">
      <c r="A377" s="29"/>
      <c r="B377" s="29"/>
      <c r="C377" s="29"/>
      <c r="D377" s="33"/>
      <c r="E377" s="33"/>
      <c r="G377" s="29"/>
      <c r="H377" s="29"/>
      <c r="I377" s="29"/>
      <c r="J377" s="29"/>
      <c r="K377" s="29"/>
      <c r="L377" s="29"/>
      <c r="M377" s="29"/>
      <c r="N377" s="29"/>
      <c r="O377" s="29"/>
      <c r="P377" s="29"/>
      <c r="Q377" s="29"/>
      <c r="R377" s="29"/>
      <c r="S377" s="29"/>
      <c r="T377" s="29"/>
      <c r="U377" s="29"/>
      <c r="V377" s="29"/>
      <c r="W377" s="29"/>
      <c r="X377" s="29"/>
    </row>
    <row r="378" spans="1:24" ht="15">
      <c r="A378" s="29"/>
      <c r="B378" s="29"/>
      <c r="C378" s="29"/>
      <c r="D378" s="33"/>
      <c r="E378" s="33"/>
      <c r="G378" s="29"/>
      <c r="H378" s="29"/>
      <c r="I378" s="29"/>
      <c r="J378" s="29"/>
      <c r="K378" s="29"/>
      <c r="L378" s="29"/>
      <c r="M378" s="29"/>
      <c r="N378" s="29"/>
      <c r="O378" s="29"/>
      <c r="P378" s="29"/>
      <c r="Q378" s="29"/>
      <c r="R378" s="29"/>
      <c r="S378" s="29"/>
      <c r="T378" s="29"/>
      <c r="U378" s="29"/>
      <c r="V378" s="29"/>
      <c r="W378" s="29"/>
      <c r="X378" s="29"/>
    </row>
    <row r="379" spans="1:24" ht="15">
      <c r="A379" s="29"/>
      <c r="B379" s="29"/>
      <c r="C379" s="29"/>
      <c r="D379" s="33"/>
      <c r="E379" s="33"/>
      <c r="G379" s="29"/>
      <c r="H379" s="29"/>
      <c r="I379" s="29"/>
      <c r="J379" s="29"/>
      <c r="K379" s="29"/>
      <c r="L379" s="29"/>
      <c r="M379" s="29"/>
      <c r="N379" s="29"/>
      <c r="O379" s="29"/>
      <c r="P379" s="29"/>
      <c r="Q379" s="29"/>
      <c r="R379" s="29"/>
      <c r="S379" s="29"/>
      <c r="T379" s="29"/>
      <c r="U379" s="29"/>
      <c r="V379" s="29"/>
      <c r="W379" s="29"/>
      <c r="X379" s="29"/>
    </row>
    <row r="380" spans="1:24" ht="15">
      <c r="A380" s="29"/>
      <c r="B380" s="29"/>
      <c r="C380" s="29"/>
      <c r="D380" s="33"/>
      <c r="E380" s="33"/>
      <c r="G380" s="29"/>
      <c r="H380" s="29"/>
      <c r="I380" s="29"/>
      <c r="J380" s="29"/>
      <c r="K380" s="29"/>
      <c r="L380" s="29"/>
      <c r="M380" s="29"/>
      <c r="N380" s="29"/>
      <c r="O380" s="29"/>
      <c r="P380" s="29"/>
      <c r="Q380" s="29"/>
      <c r="R380" s="29"/>
      <c r="S380" s="29"/>
      <c r="T380" s="29"/>
      <c r="U380" s="29"/>
      <c r="V380" s="29"/>
      <c r="W380" s="29"/>
      <c r="X380" s="29"/>
    </row>
    <row r="381" spans="1:24" ht="15">
      <c r="A381" s="29"/>
      <c r="B381" s="29"/>
      <c r="C381" s="29"/>
      <c r="D381" s="33"/>
      <c r="E381" s="33"/>
      <c r="G381" s="29"/>
      <c r="H381" s="29"/>
      <c r="I381" s="29"/>
      <c r="J381" s="29"/>
      <c r="K381" s="29"/>
      <c r="L381" s="29"/>
      <c r="M381" s="29"/>
      <c r="N381" s="29"/>
      <c r="O381" s="29"/>
      <c r="P381" s="29"/>
      <c r="Q381" s="29"/>
      <c r="R381" s="29"/>
      <c r="S381" s="29"/>
      <c r="T381" s="29"/>
      <c r="U381" s="29"/>
      <c r="V381" s="29"/>
      <c r="W381" s="29"/>
      <c r="X381" s="29"/>
    </row>
    <row r="382" spans="1:24" ht="15">
      <c r="A382" s="29"/>
      <c r="B382" s="29"/>
      <c r="C382" s="29"/>
      <c r="D382" s="33"/>
      <c r="E382" s="33"/>
      <c r="G382" s="29"/>
      <c r="H382" s="29"/>
      <c r="I382" s="29"/>
      <c r="J382" s="29"/>
      <c r="K382" s="29"/>
      <c r="L382" s="29"/>
      <c r="M382" s="29"/>
      <c r="N382" s="29"/>
      <c r="O382" s="29"/>
      <c r="P382" s="29"/>
      <c r="Q382" s="29"/>
      <c r="R382" s="29"/>
      <c r="S382" s="29"/>
      <c r="T382" s="29"/>
      <c r="U382" s="29"/>
      <c r="V382" s="29"/>
      <c r="W382" s="29"/>
      <c r="X382" s="29"/>
    </row>
    <row r="383" spans="1:24" ht="15">
      <c r="A383" s="29"/>
      <c r="B383" s="29"/>
      <c r="C383" s="29"/>
      <c r="D383" s="33"/>
      <c r="E383" s="33"/>
      <c r="G383" s="29"/>
      <c r="H383" s="29"/>
      <c r="I383" s="29"/>
      <c r="J383" s="29"/>
      <c r="K383" s="29"/>
      <c r="L383" s="29"/>
      <c r="M383" s="29"/>
      <c r="N383" s="29"/>
      <c r="O383" s="29"/>
      <c r="P383" s="29"/>
      <c r="Q383" s="29"/>
      <c r="R383" s="29"/>
      <c r="S383" s="29"/>
      <c r="T383" s="29"/>
      <c r="U383" s="29"/>
      <c r="V383" s="29"/>
      <c r="W383" s="29"/>
      <c r="X383" s="29"/>
    </row>
    <row r="384" spans="1:24" ht="15">
      <c r="A384" s="29"/>
      <c r="B384" s="29"/>
      <c r="C384" s="29"/>
      <c r="D384" s="33"/>
      <c r="E384" s="33"/>
      <c r="G384" s="29"/>
      <c r="H384" s="29"/>
      <c r="I384" s="29"/>
      <c r="J384" s="29"/>
      <c r="K384" s="29"/>
      <c r="L384" s="29"/>
      <c r="M384" s="29"/>
      <c r="N384" s="29"/>
      <c r="O384" s="29"/>
      <c r="P384" s="29"/>
      <c r="Q384" s="29"/>
      <c r="R384" s="29"/>
      <c r="S384" s="29"/>
      <c r="T384" s="29"/>
      <c r="U384" s="29"/>
      <c r="V384" s="29"/>
      <c r="W384" s="29"/>
      <c r="X384" s="29"/>
    </row>
    <row r="385" spans="1:24" ht="15">
      <c r="A385" s="29"/>
      <c r="B385" s="29"/>
      <c r="C385" s="29"/>
      <c r="D385" s="33"/>
      <c r="E385" s="33"/>
      <c r="G385" s="29"/>
      <c r="H385" s="29"/>
      <c r="I385" s="29"/>
      <c r="J385" s="29"/>
      <c r="K385" s="29"/>
      <c r="L385" s="29"/>
      <c r="M385" s="29"/>
      <c r="N385" s="29"/>
      <c r="O385" s="29"/>
      <c r="P385" s="29"/>
      <c r="Q385" s="29"/>
      <c r="R385" s="29"/>
      <c r="S385" s="29"/>
      <c r="T385" s="29"/>
      <c r="U385" s="29"/>
      <c r="V385" s="29"/>
      <c r="W385" s="29"/>
      <c r="X385" s="29"/>
    </row>
    <row r="386" spans="1:24" ht="15">
      <c r="A386" s="29"/>
      <c r="B386" s="29"/>
      <c r="C386" s="29"/>
      <c r="D386" s="33"/>
      <c r="E386" s="33"/>
      <c r="G386" s="29"/>
      <c r="H386" s="29"/>
      <c r="I386" s="29"/>
      <c r="J386" s="29"/>
      <c r="K386" s="29"/>
      <c r="L386" s="29"/>
      <c r="M386" s="29"/>
      <c r="N386" s="29"/>
      <c r="O386" s="29"/>
      <c r="P386" s="29"/>
      <c r="Q386" s="29"/>
      <c r="R386" s="29"/>
      <c r="S386" s="29"/>
      <c r="T386" s="29"/>
      <c r="U386" s="29"/>
      <c r="V386" s="29"/>
      <c r="W386" s="29"/>
      <c r="X386" s="29"/>
    </row>
    <row r="387" spans="1:24" ht="15">
      <c r="A387" s="29"/>
      <c r="B387" s="29"/>
      <c r="C387" s="29"/>
      <c r="D387" s="33"/>
      <c r="E387" s="33"/>
      <c r="G387" s="29"/>
      <c r="H387" s="29"/>
      <c r="I387" s="29"/>
      <c r="J387" s="29"/>
      <c r="K387" s="29"/>
      <c r="L387" s="29"/>
      <c r="M387" s="29"/>
      <c r="N387" s="29"/>
      <c r="O387" s="29"/>
      <c r="P387" s="29"/>
      <c r="Q387" s="29"/>
      <c r="R387" s="29"/>
      <c r="S387" s="29"/>
      <c r="T387" s="29"/>
      <c r="U387" s="29"/>
      <c r="V387" s="29"/>
      <c r="W387" s="29"/>
      <c r="X387" s="29"/>
    </row>
    <row r="388" spans="1:24" ht="15">
      <c r="A388" s="29"/>
      <c r="B388" s="29"/>
      <c r="C388" s="29"/>
      <c r="D388" s="33"/>
      <c r="E388" s="33"/>
      <c r="G388" s="29"/>
      <c r="H388" s="29"/>
      <c r="I388" s="29"/>
      <c r="J388" s="29"/>
      <c r="K388" s="29"/>
      <c r="L388" s="29"/>
      <c r="M388" s="29"/>
      <c r="N388" s="29"/>
      <c r="O388" s="29"/>
      <c r="P388" s="29"/>
      <c r="Q388" s="29"/>
      <c r="R388" s="29"/>
      <c r="S388" s="29"/>
      <c r="T388" s="29"/>
      <c r="U388" s="29"/>
      <c r="V388" s="29"/>
      <c r="W388" s="29"/>
      <c r="X388" s="29"/>
    </row>
    <row r="389" spans="1:24" ht="15">
      <c r="A389" s="29"/>
      <c r="B389" s="29"/>
      <c r="C389" s="29"/>
      <c r="D389" s="33"/>
      <c r="E389" s="33"/>
      <c r="G389" s="29"/>
      <c r="H389" s="29"/>
      <c r="I389" s="29"/>
      <c r="J389" s="29"/>
      <c r="K389" s="29"/>
      <c r="L389" s="29"/>
      <c r="M389" s="29"/>
      <c r="N389" s="29"/>
      <c r="O389" s="29"/>
      <c r="P389" s="29"/>
      <c r="Q389" s="29"/>
      <c r="R389" s="29"/>
      <c r="S389" s="29"/>
      <c r="T389" s="29"/>
      <c r="U389" s="29"/>
      <c r="V389" s="29"/>
      <c r="W389" s="29"/>
      <c r="X389" s="29"/>
    </row>
    <row r="390" spans="1:24" ht="15">
      <c r="A390" s="29"/>
      <c r="B390" s="29"/>
      <c r="C390" s="29"/>
      <c r="D390" s="33"/>
      <c r="E390" s="33"/>
      <c r="G390" s="29"/>
      <c r="H390" s="29"/>
      <c r="I390" s="29"/>
      <c r="J390" s="29"/>
      <c r="K390" s="29"/>
      <c r="L390" s="29"/>
      <c r="M390" s="29"/>
      <c r="N390" s="29"/>
      <c r="O390" s="29"/>
      <c r="P390" s="29"/>
      <c r="Q390" s="29"/>
      <c r="R390" s="29"/>
      <c r="S390" s="29"/>
      <c r="T390" s="29"/>
      <c r="U390" s="29"/>
      <c r="V390" s="29"/>
      <c r="W390" s="29"/>
      <c r="X390" s="29"/>
    </row>
    <row r="391" spans="1:24" ht="15">
      <c r="A391" s="29"/>
      <c r="B391" s="29"/>
      <c r="C391" s="29"/>
      <c r="D391" s="33"/>
      <c r="E391" s="33"/>
      <c r="G391" s="29"/>
      <c r="H391" s="29"/>
      <c r="I391" s="29"/>
      <c r="J391" s="29"/>
      <c r="K391" s="29"/>
      <c r="L391" s="29"/>
      <c r="M391" s="29"/>
      <c r="N391" s="29"/>
      <c r="O391" s="29"/>
      <c r="P391" s="29"/>
      <c r="Q391" s="29"/>
      <c r="R391" s="29"/>
      <c r="S391" s="29"/>
      <c r="T391" s="29"/>
      <c r="U391" s="29"/>
      <c r="V391" s="29"/>
      <c r="W391" s="29"/>
      <c r="X391" s="29"/>
    </row>
    <row r="392" spans="1:24" ht="15">
      <c r="A392" s="29"/>
      <c r="B392" s="29"/>
      <c r="C392" s="29"/>
      <c r="D392" s="33"/>
      <c r="E392" s="33"/>
      <c r="G392" s="29"/>
      <c r="H392" s="29"/>
      <c r="I392" s="29"/>
      <c r="J392" s="29"/>
      <c r="K392" s="29"/>
      <c r="L392" s="29"/>
      <c r="M392" s="29"/>
      <c r="N392" s="29"/>
      <c r="O392" s="29"/>
      <c r="P392" s="29"/>
      <c r="Q392" s="29"/>
      <c r="R392" s="29"/>
      <c r="S392" s="29"/>
      <c r="T392" s="29"/>
      <c r="U392" s="29"/>
      <c r="V392" s="29"/>
      <c r="W392" s="29"/>
      <c r="X392" s="29"/>
    </row>
    <row r="393" spans="1:24" ht="15">
      <c r="A393" s="29"/>
      <c r="B393" s="29"/>
      <c r="C393" s="29"/>
      <c r="D393" s="33"/>
      <c r="E393" s="33"/>
      <c r="G393" s="29"/>
      <c r="H393" s="29"/>
      <c r="I393" s="29"/>
      <c r="J393" s="29"/>
      <c r="K393" s="29"/>
      <c r="L393" s="29"/>
      <c r="M393" s="29"/>
      <c r="N393" s="29"/>
      <c r="O393" s="29"/>
      <c r="P393" s="29"/>
      <c r="Q393" s="29"/>
      <c r="R393" s="29"/>
      <c r="S393" s="29"/>
      <c r="T393" s="29"/>
      <c r="U393" s="29"/>
      <c r="V393" s="29"/>
      <c r="W393" s="29"/>
      <c r="X393" s="29"/>
    </row>
    <row r="394" spans="1:24" ht="15">
      <c r="A394" s="29"/>
      <c r="B394" s="29"/>
      <c r="C394" s="29"/>
      <c r="D394" s="33"/>
      <c r="E394" s="33"/>
      <c r="G394" s="29"/>
      <c r="H394" s="29"/>
      <c r="I394" s="29"/>
      <c r="J394" s="29"/>
      <c r="K394" s="29"/>
      <c r="L394" s="29"/>
      <c r="M394" s="29"/>
      <c r="N394" s="29"/>
      <c r="O394" s="29"/>
      <c r="P394" s="29"/>
      <c r="Q394" s="29"/>
      <c r="R394" s="29"/>
      <c r="S394" s="29"/>
      <c r="T394" s="29"/>
      <c r="U394" s="29"/>
      <c r="V394" s="29"/>
      <c r="W394" s="29"/>
      <c r="X394" s="29"/>
    </row>
    <row r="395" spans="1:24" ht="15">
      <c r="A395" s="29"/>
      <c r="B395" s="29"/>
      <c r="C395" s="29"/>
      <c r="D395" s="33"/>
      <c r="E395" s="33"/>
      <c r="G395" s="29"/>
      <c r="H395" s="29"/>
      <c r="I395" s="29"/>
      <c r="J395" s="29"/>
      <c r="K395" s="29"/>
      <c r="L395" s="29"/>
      <c r="M395" s="29"/>
      <c r="N395" s="29"/>
      <c r="O395" s="29"/>
      <c r="P395" s="29"/>
      <c r="Q395" s="29"/>
      <c r="R395" s="29"/>
      <c r="S395" s="29"/>
      <c r="T395" s="29"/>
      <c r="U395" s="29"/>
      <c r="V395" s="29"/>
      <c r="W395" s="29"/>
      <c r="X395" s="29"/>
    </row>
    <row r="396" spans="1:24" ht="15">
      <c r="A396" s="29"/>
      <c r="B396" s="29"/>
      <c r="C396" s="29"/>
      <c r="D396" s="33"/>
      <c r="E396" s="33"/>
      <c r="G396" s="29"/>
      <c r="H396" s="29"/>
      <c r="I396" s="29"/>
      <c r="J396" s="29"/>
      <c r="K396" s="29"/>
      <c r="L396" s="29"/>
      <c r="M396" s="29"/>
      <c r="N396" s="29"/>
      <c r="O396" s="29"/>
      <c r="P396" s="29"/>
      <c r="Q396" s="29"/>
      <c r="R396" s="29"/>
      <c r="S396" s="29"/>
      <c r="T396" s="29"/>
      <c r="U396" s="29"/>
      <c r="V396" s="29"/>
      <c r="W396" s="29"/>
      <c r="X396" s="29"/>
    </row>
    <row r="397" spans="1:24" ht="15">
      <c r="A397" s="29"/>
      <c r="B397" s="29"/>
      <c r="C397" s="29"/>
      <c r="D397" s="33"/>
      <c r="E397" s="33"/>
      <c r="G397" s="29"/>
      <c r="H397" s="29"/>
      <c r="I397" s="29"/>
      <c r="J397" s="29"/>
      <c r="K397" s="29"/>
      <c r="L397" s="29"/>
      <c r="M397" s="29"/>
      <c r="N397" s="29"/>
      <c r="O397" s="29"/>
      <c r="P397" s="29"/>
      <c r="Q397" s="29"/>
      <c r="R397" s="29"/>
      <c r="S397" s="29"/>
      <c r="T397" s="29"/>
      <c r="U397" s="29"/>
      <c r="V397" s="29"/>
      <c r="W397" s="29"/>
      <c r="X397" s="29"/>
    </row>
    <row r="398" spans="1:24" ht="15">
      <c r="A398" s="29"/>
      <c r="B398" s="29"/>
      <c r="C398" s="29"/>
      <c r="D398" s="33"/>
      <c r="E398" s="33"/>
      <c r="G398" s="29"/>
      <c r="H398" s="29"/>
      <c r="I398" s="29"/>
      <c r="J398" s="29"/>
      <c r="K398" s="29"/>
      <c r="L398" s="29"/>
      <c r="M398" s="29"/>
      <c r="N398" s="29"/>
      <c r="O398" s="29"/>
      <c r="P398" s="29"/>
      <c r="Q398" s="29"/>
      <c r="R398" s="29"/>
      <c r="S398" s="29"/>
      <c r="T398" s="29"/>
      <c r="U398" s="29"/>
      <c r="V398" s="29"/>
      <c r="W398" s="29"/>
      <c r="X398" s="29"/>
    </row>
    <row r="399" spans="1:24" ht="15">
      <c r="A399" s="29"/>
      <c r="B399" s="29"/>
      <c r="C399" s="29"/>
      <c r="D399" s="33"/>
      <c r="E399" s="33"/>
      <c r="G399" s="29"/>
      <c r="H399" s="29"/>
      <c r="I399" s="29"/>
      <c r="J399" s="29"/>
      <c r="K399" s="29"/>
      <c r="L399" s="29"/>
      <c r="M399" s="29"/>
      <c r="N399" s="29"/>
      <c r="O399" s="29"/>
      <c r="P399" s="29"/>
      <c r="Q399" s="29"/>
      <c r="R399" s="29"/>
      <c r="S399" s="29"/>
      <c r="T399" s="29"/>
      <c r="U399" s="29"/>
      <c r="V399" s="29"/>
      <c r="W399" s="29"/>
      <c r="X399" s="29"/>
    </row>
    <row r="400" spans="1:24" ht="15">
      <c r="A400" s="29"/>
      <c r="B400" s="29"/>
      <c r="C400" s="29"/>
      <c r="D400" s="33"/>
      <c r="E400" s="33"/>
      <c r="G400" s="29"/>
      <c r="H400" s="29"/>
      <c r="I400" s="29"/>
      <c r="J400" s="29"/>
      <c r="K400" s="29"/>
      <c r="L400" s="29"/>
      <c r="M400" s="29"/>
      <c r="N400" s="29"/>
      <c r="O400" s="29"/>
      <c r="P400" s="29"/>
      <c r="Q400" s="29"/>
      <c r="R400" s="29"/>
      <c r="S400" s="29"/>
      <c r="T400" s="29"/>
      <c r="U400" s="29"/>
      <c r="V400" s="29"/>
      <c r="W400" s="29"/>
      <c r="X400" s="29"/>
    </row>
    <row r="401" spans="1:24" ht="15">
      <c r="A401" s="29"/>
      <c r="B401" s="29"/>
      <c r="C401" s="29"/>
      <c r="D401" s="33"/>
      <c r="E401" s="33"/>
      <c r="G401" s="29"/>
      <c r="H401" s="29"/>
      <c r="I401" s="29"/>
      <c r="J401" s="29"/>
      <c r="K401" s="29"/>
      <c r="L401" s="29"/>
      <c r="M401" s="29"/>
      <c r="N401" s="29"/>
      <c r="O401" s="29"/>
      <c r="P401" s="29"/>
      <c r="Q401" s="29"/>
      <c r="R401" s="29"/>
      <c r="S401" s="29"/>
      <c r="T401" s="29"/>
      <c r="U401" s="29"/>
      <c r="V401" s="29"/>
      <c r="W401" s="29"/>
      <c r="X401" s="29"/>
    </row>
    <row r="402" spans="1:24" ht="15">
      <c r="A402" s="29"/>
      <c r="B402" s="29"/>
      <c r="C402" s="29"/>
      <c r="D402" s="33"/>
      <c r="E402" s="33"/>
      <c r="G402" s="29"/>
      <c r="H402" s="29"/>
      <c r="I402" s="29"/>
      <c r="J402" s="29"/>
      <c r="K402" s="29"/>
      <c r="L402" s="29"/>
      <c r="M402" s="29"/>
      <c r="N402" s="29"/>
      <c r="O402" s="29"/>
      <c r="P402" s="29"/>
      <c r="Q402" s="29"/>
      <c r="R402" s="29"/>
      <c r="S402" s="29"/>
      <c r="T402" s="29"/>
      <c r="U402" s="29"/>
      <c r="V402" s="29"/>
      <c r="W402" s="29"/>
      <c r="X402" s="29"/>
    </row>
    <row r="403" spans="1:24" ht="15">
      <c r="A403" s="29"/>
      <c r="B403" s="29"/>
      <c r="C403" s="29"/>
      <c r="D403" s="33"/>
      <c r="E403" s="33"/>
      <c r="G403" s="29"/>
      <c r="H403" s="29"/>
      <c r="I403" s="29"/>
      <c r="J403" s="29"/>
      <c r="K403" s="29"/>
      <c r="L403" s="29"/>
      <c r="M403" s="29"/>
      <c r="N403" s="29"/>
      <c r="O403" s="29"/>
      <c r="P403" s="29"/>
      <c r="Q403" s="29"/>
      <c r="R403" s="29"/>
      <c r="S403" s="29"/>
      <c r="T403" s="29"/>
      <c r="U403" s="29"/>
      <c r="V403" s="29"/>
      <c r="W403" s="29"/>
      <c r="X403" s="29"/>
    </row>
    <row r="404" spans="1:24" ht="15">
      <c r="A404" s="29"/>
      <c r="B404" s="29"/>
      <c r="C404" s="29"/>
      <c r="D404" s="33"/>
      <c r="E404" s="33"/>
      <c r="G404" s="29"/>
      <c r="H404" s="29"/>
      <c r="I404" s="29"/>
      <c r="J404" s="29"/>
      <c r="K404" s="29"/>
      <c r="L404" s="29"/>
      <c r="M404" s="29"/>
      <c r="N404" s="29"/>
      <c r="O404" s="29"/>
      <c r="P404" s="29"/>
      <c r="Q404" s="29"/>
      <c r="R404" s="29"/>
      <c r="S404" s="29"/>
      <c r="T404" s="29"/>
      <c r="U404" s="29"/>
      <c r="V404" s="29"/>
      <c r="W404" s="29"/>
      <c r="X404" s="29"/>
    </row>
    <row r="405" spans="1:24" ht="15">
      <c r="A405" s="29"/>
      <c r="B405" s="29"/>
      <c r="C405" s="29"/>
      <c r="D405" s="33"/>
      <c r="E405" s="33"/>
      <c r="G405" s="29"/>
      <c r="H405" s="29"/>
      <c r="I405" s="29"/>
      <c r="J405" s="29"/>
      <c r="K405" s="29"/>
      <c r="L405" s="29"/>
      <c r="M405" s="29"/>
      <c r="N405" s="29"/>
      <c r="O405" s="29"/>
      <c r="P405" s="29"/>
      <c r="Q405" s="29"/>
      <c r="R405" s="29"/>
      <c r="S405" s="29"/>
      <c r="T405" s="29"/>
      <c r="U405" s="29"/>
      <c r="V405" s="29"/>
      <c r="W405" s="29"/>
      <c r="X405" s="29"/>
    </row>
    <row r="406" spans="1:24" ht="15">
      <c r="A406" s="29"/>
      <c r="B406" s="29"/>
      <c r="C406" s="29"/>
      <c r="D406" s="33"/>
      <c r="E406" s="33"/>
      <c r="G406" s="29"/>
      <c r="H406" s="29"/>
      <c r="I406" s="29"/>
      <c r="J406" s="29"/>
      <c r="K406" s="29"/>
      <c r="L406" s="29"/>
      <c r="M406" s="29"/>
      <c r="N406" s="29"/>
      <c r="O406" s="29"/>
      <c r="P406" s="29"/>
      <c r="Q406" s="29"/>
      <c r="R406" s="29"/>
      <c r="S406" s="29"/>
      <c r="T406" s="29"/>
      <c r="U406" s="29"/>
      <c r="V406" s="29"/>
      <c r="W406" s="29"/>
      <c r="X406" s="29"/>
    </row>
    <row r="407" spans="1:24" ht="15">
      <c r="A407" s="29"/>
      <c r="B407" s="29"/>
      <c r="C407" s="29"/>
      <c r="D407" s="33"/>
      <c r="E407" s="33"/>
      <c r="G407" s="29"/>
      <c r="H407" s="29"/>
      <c r="I407" s="29"/>
      <c r="J407" s="29"/>
      <c r="K407" s="29"/>
      <c r="L407" s="29"/>
      <c r="M407" s="29"/>
      <c r="N407" s="29"/>
      <c r="O407" s="29"/>
      <c r="P407" s="29"/>
      <c r="Q407" s="29"/>
      <c r="R407" s="29"/>
      <c r="S407" s="29"/>
      <c r="T407" s="29"/>
      <c r="U407" s="29"/>
      <c r="V407" s="29"/>
      <c r="W407" s="29"/>
      <c r="X407" s="29"/>
    </row>
    <row r="408" spans="1:24" ht="15">
      <c r="A408" s="29"/>
      <c r="B408" s="29"/>
      <c r="C408" s="29"/>
      <c r="D408" s="33"/>
      <c r="E408" s="33"/>
      <c r="G408" s="29"/>
      <c r="H408" s="29"/>
      <c r="I408" s="29"/>
      <c r="J408" s="29"/>
      <c r="K408" s="29"/>
      <c r="L408" s="29"/>
      <c r="M408" s="29"/>
      <c r="N408" s="29"/>
      <c r="O408" s="29"/>
      <c r="P408" s="29"/>
      <c r="Q408" s="29"/>
      <c r="R408" s="29"/>
      <c r="S408" s="29"/>
      <c r="T408" s="29"/>
      <c r="U408" s="29"/>
      <c r="V408" s="29"/>
      <c r="W408" s="29"/>
      <c r="X408" s="29"/>
    </row>
    <row r="409" spans="1:24" ht="15">
      <c r="A409" s="29"/>
      <c r="B409" s="29"/>
      <c r="C409" s="29"/>
      <c r="D409" s="33"/>
      <c r="E409" s="33"/>
      <c r="G409" s="29"/>
      <c r="H409" s="29"/>
      <c r="I409" s="29"/>
      <c r="J409" s="29"/>
      <c r="K409" s="29"/>
      <c r="L409" s="29"/>
      <c r="M409" s="29"/>
      <c r="N409" s="29"/>
      <c r="O409" s="29"/>
      <c r="P409" s="29"/>
      <c r="Q409" s="29"/>
      <c r="R409" s="29"/>
      <c r="S409" s="29"/>
      <c r="T409" s="29"/>
      <c r="U409" s="29"/>
      <c r="V409" s="29"/>
      <c r="W409" s="29"/>
      <c r="X409" s="29"/>
    </row>
    <row r="410" spans="1:24" ht="15">
      <c r="A410" s="29"/>
      <c r="B410" s="29"/>
      <c r="C410" s="29"/>
      <c r="D410" s="33"/>
      <c r="E410" s="33"/>
      <c r="G410" s="29"/>
      <c r="H410" s="29"/>
      <c r="I410" s="29"/>
      <c r="J410" s="29"/>
      <c r="K410" s="29"/>
      <c r="L410" s="29"/>
      <c r="M410" s="29"/>
      <c r="N410" s="29"/>
      <c r="O410" s="29"/>
      <c r="P410" s="29"/>
      <c r="Q410" s="29"/>
      <c r="R410" s="29"/>
      <c r="S410" s="29"/>
      <c r="T410" s="29"/>
      <c r="U410" s="29"/>
      <c r="V410" s="29"/>
      <c r="W410" s="29"/>
      <c r="X410" s="29"/>
    </row>
    <row r="411" spans="1:24" ht="15">
      <c r="A411" s="29"/>
      <c r="B411" s="29"/>
      <c r="C411" s="29"/>
      <c r="D411" s="33"/>
      <c r="E411" s="33"/>
      <c r="G411" s="29"/>
      <c r="H411" s="29"/>
      <c r="I411" s="29"/>
      <c r="J411" s="29"/>
      <c r="K411" s="29"/>
      <c r="L411" s="29"/>
      <c r="M411" s="29"/>
      <c r="N411" s="29"/>
      <c r="O411" s="29"/>
      <c r="P411" s="29"/>
      <c r="Q411" s="29"/>
      <c r="R411" s="29"/>
      <c r="S411" s="29"/>
      <c r="T411" s="29"/>
      <c r="U411" s="29"/>
      <c r="V411" s="29"/>
      <c r="W411" s="29"/>
      <c r="X411" s="29"/>
    </row>
    <row r="412" spans="1:24" ht="15">
      <c r="A412" s="29"/>
      <c r="B412" s="29"/>
      <c r="C412" s="29"/>
      <c r="D412" s="33"/>
      <c r="E412" s="33"/>
      <c r="G412" s="29"/>
      <c r="H412" s="29"/>
      <c r="I412" s="29"/>
      <c r="J412" s="29"/>
      <c r="K412" s="29"/>
      <c r="L412" s="29"/>
      <c r="M412" s="29"/>
      <c r="N412" s="29"/>
      <c r="O412" s="29"/>
      <c r="P412" s="29"/>
      <c r="Q412" s="29"/>
      <c r="R412" s="29"/>
      <c r="S412" s="29"/>
      <c r="T412" s="29"/>
      <c r="U412" s="29"/>
      <c r="V412" s="29"/>
      <c r="W412" s="29"/>
      <c r="X412" s="29"/>
    </row>
    <row r="413" spans="1:24" ht="15">
      <c r="A413" s="29"/>
      <c r="B413" s="29"/>
      <c r="C413" s="29"/>
      <c r="D413" s="33"/>
      <c r="E413" s="33"/>
      <c r="G413" s="29"/>
      <c r="H413" s="29"/>
      <c r="I413" s="29"/>
      <c r="J413" s="29"/>
      <c r="K413" s="29"/>
      <c r="L413" s="29"/>
      <c r="M413" s="29"/>
      <c r="N413" s="29"/>
      <c r="O413" s="29"/>
      <c r="P413" s="29"/>
      <c r="Q413" s="29"/>
      <c r="R413" s="29"/>
      <c r="S413" s="29"/>
      <c r="T413" s="29"/>
      <c r="U413" s="29"/>
      <c r="V413" s="29"/>
      <c r="W413" s="29"/>
      <c r="X413" s="29"/>
    </row>
    <row r="414" spans="1:24" ht="15">
      <c r="A414" s="29"/>
      <c r="B414" s="29"/>
      <c r="C414" s="29"/>
      <c r="D414" s="33"/>
      <c r="E414" s="33"/>
      <c r="G414" s="29"/>
      <c r="H414" s="29"/>
      <c r="I414" s="29"/>
      <c r="J414" s="29"/>
      <c r="K414" s="29"/>
      <c r="L414" s="29"/>
      <c r="M414" s="29"/>
      <c r="N414" s="29"/>
      <c r="O414" s="29"/>
      <c r="P414" s="29"/>
      <c r="Q414" s="29"/>
      <c r="R414" s="29"/>
      <c r="S414" s="29"/>
      <c r="T414" s="29"/>
      <c r="U414" s="29"/>
      <c r="V414" s="29"/>
      <c r="W414" s="29"/>
      <c r="X414" s="29"/>
    </row>
    <row r="415" spans="1:24" ht="15">
      <c r="A415" s="29"/>
      <c r="B415" s="29"/>
      <c r="C415" s="29"/>
      <c r="D415" s="33"/>
      <c r="E415" s="33"/>
      <c r="G415" s="29"/>
      <c r="H415" s="29"/>
      <c r="I415" s="29"/>
      <c r="J415" s="29"/>
      <c r="K415" s="29"/>
      <c r="L415" s="29"/>
      <c r="M415" s="29"/>
      <c r="N415" s="29"/>
      <c r="O415" s="29"/>
      <c r="P415" s="29"/>
      <c r="Q415" s="29"/>
      <c r="R415" s="29"/>
      <c r="S415" s="29"/>
      <c r="T415" s="29"/>
      <c r="U415" s="29"/>
      <c r="V415" s="29"/>
      <c r="W415" s="29"/>
      <c r="X415" s="29"/>
    </row>
    <row r="416" spans="1:24" ht="15">
      <c r="A416" s="29"/>
      <c r="B416" s="29"/>
      <c r="C416" s="29"/>
      <c r="D416" s="33"/>
      <c r="E416" s="33"/>
      <c r="G416" s="29"/>
      <c r="H416" s="29"/>
      <c r="I416" s="29"/>
      <c r="J416" s="29"/>
      <c r="K416" s="29"/>
      <c r="L416" s="29"/>
      <c r="M416" s="29"/>
      <c r="N416" s="29"/>
      <c r="O416" s="29"/>
      <c r="P416" s="29"/>
      <c r="Q416" s="29"/>
      <c r="R416" s="29"/>
      <c r="S416" s="29"/>
      <c r="T416" s="29"/>
      <c r="U416" s="29"/>
      <c r="V416" s="29"/>
      <c r="W416" s="29"/>
      <c r="X416" s="29"/>
    </row>
    <row r="417" spans="1:24" ht="15">
      <c r="A417" s="29"/>
      <c r="B417" s="29"/>
      <c r="C417" s="29"/>
      <c r="D417" s="33"/>
      <c r="E417" s="33"/>
      <c r="G417" s="29"/>
      <c r="H417" s="29"/>
      <c r="I417" s="29"/>
      <c r="J417" s="29"/>
      <c r="K417" s="29"/>
      <c r="L417" s="29"/>
      <c r="M417" s="29"/>
      <c r="N417" s="29"/>
      <c r="O417" s="29"/>
      <c r="P417" s="29"/>
      <c r="Q417" s="29"/>
      <c r="R417" s="29"/>
      <c r="S417" s="29"/>
      <c r="T417" s="29"/>
      <c r="U417" s="29"/>
      <c r="V417" s="29"/>
      <c r="W417" s="29"/>
      <c r="X417" s="29"/>
    </row>
    <row r="418" spans="1:24" ht="15">
      <c r="A418" s="29"/>
      <c r="B418" s="29"/>
      <c r="C418" s="29"/>
      <c r="D418" s="33"/>
      <c r="E418" s="33"/>
      <c r="G418" s="29"/>
      <c r="H418" s="29"/>
      <c r="I418" s="29"/>
      <c r="J418" s="29"/>
      <c r="K418" s="29"/>
      <c r="L418" s="29"/>
      <c r="M418" s="29"/>
      <c r="N418" s="29"/>
      <c r="O418" s="29"/>
      <c r="P418" s="29"/>
      <c r="Q418" s="29"/>
      <c r="R418" s="29"/>
      <c r="S418" s="29"/>
      <c r="T418" s="29"/>
      <c r="U418" s="29"/>
      <c r="V418" s="29"/>
      <c r="W418" s="29"/>
      <c r="X418" s="29"/>
    </row>
    <row r="419" spans="1:24" ht="15">
      <c r="A419" s="29"/>
      <c r="B419" s="29"/>
      <c r="C419" s="29"/>
      <c r="D419" s="33"/>
      <c r="E419" s="33"/>
      <c r="G419" s="29"/>
      <c r="H419" s="29"/>
      <c r="I419" s="29"/>
      <c r="J419" s="29"/>
      <c r="K419" s="29"/>
      <c r="L419" s="29"/>
      <c r="M419" s="29"/>
      <c r="N419" s="29"/>
      <c r="O419" s="29"/>
      <c r="P419" s="29"/>
      <c r="Q419" s="29"/>
      <c r="R419" s="29"/>
      <c r="S419" s="29"/>
      <c r="T419" s="29"/>
      <c r="U419" s="29"/>
      <c r="V419" s="29"/>
      <c r="W419" s="29"/>
      <c r="X419" s="29"/>
    </row>
    <row r="420" spans="1:24" ht="15">
      <c r="A420" s="29"/>
      <c r="B420" s="29"/>
      <c r="C420" s="29"/>
      <c r="D420" s="33"/>
      <c r="E420" s="33"/>
      <c r="G420" s="29"/>
      <c r="H420" s="29"/>
      <c r="I420" s="29"/>
      <c r="J420" s="29"/>
      <c r="K420" s="29"/>
      <c r="L420" s="29"/>
      <c r="M420" s="29"/>
      <c r="N420" s="29"/>
      <c r="O420" s="29"/>
      <c r="P420" s="29"/>
      <c r="Q420" s="29"/>
      <c r="R420" s="29"/>
      <c r="S420" s="29"/>
      <c r="T420" s="29"/>
      <c r="U420" s="29"/>
      <c r="V420" s="29"/>
      <c r="W420" s="29"/>
      <c r="X420" s="29"/>
    </row>
    <row r="421" spans="1:24" ht="15">
      <c r="A421" s="29"/>
      <c r="B421" s="29"/>
      <c r="C421" s="29"/>
      <c r="D421" s="33"/>
      <c r="E421" s="33"/>
      <c r="G421" s="29"/>
      <c r="H421" s="29"/>
      <c r="I421" s="29"/>
      <c r="J421" s="29"/>
      <c r="K421" s="29"/>
      <c r="L421" s="29"/>
      <c r="M421" s="29"/>
      <c r="N421" s="29"/>
      <c r="O421" s="29"/>
      <c r="P421" s="29"/>
      <c r="Q421" s="29"/>
      <c r="R421" s="29"/>
      <c r="S421" s="29"/>
      <c r="T421" s="29"/>
      <c r="U421" s="29"/>
      <c r="V421" s="29"/>
      <c r="W421" s="29"/>
      <c r="X421" s="29"/>
    </row>
    <row r="422" spans="1:24" ht="15">
      <c r="A422" s="29"/>
      <c r="B422" s="29"/>
      <c r="C422" s="29"/>
      <c r="D422" s="33"/>
      <c r="E422" s="33"/>
      <c r="G422" s="29"/>
      <c r="H422" s="29"/>
      <c r="I422" s="29"/>
      <c r="J422" s="29"/>
      <c r="K422" s="29"/>
      <c r="L422" s="29"/>
      <c r="M422" s="29"/>
      <c r="N422" s="29"/>
      <c r="O422" s="29"/>
      <c r="P422" s="29"/>
      <c r="Q422" s="29"/>
      <c r="R422" s="29"/>
      <c r="S422" s="29"/>
      <c r="T422" s="29"/>
      <c r="U422" s="29"/>
      <c r="V422" s="29"/>
      <c r="W422" s="29"/>
      <c r="X422" s="29"/>
    </row>
    <row r="423" spans="1:24" ht="15">
      <c r="A423" s="29"/>
      <c r="B423" s="29"/>
      <c r="C423" s="29"/>
      <c r="D423" s="33"/>
      <c r="E423" s="33"/>
      <c r="G423" s="29"/>
      <c r="H423" s="29"/>
      <c r="I423" s="29"/>
      <c r="J423" s="29"/>
      <c r="K423" s="29"/>
      <c r="L423" s="29"/>
      <c r="M423" s="29"/>
      <c r="N423" s="29"/>
      <c r="O423" s="29"/>
      <c r="P423" s="29"/>
      <c r="Q423" s="29"/>
      <c r="R423" s="29"/>
      <c r="S423" s="29"/>
      <c r="T423" s="29"/>
      <c r="U423" s="29"/>
      <c r="V423" s="29"/>
      <c r="W423" s="29"/>
      <c r="X423" s="29"/>
    </row>
    <row r="424" spans="1:24" ht="15">
      <c r="A424" s="29"/>
      <c r="B424" s="29"/>
      <c r="C424" s="29"/>
      <c r="D424" s="33"/>
      <c r="E424" s="33"/>
      <c r="G424" s="29"/>
      <c r="H424" s="29"/>
      <c r="I424" s="29"/>
      <c r="J424" s="29"/>
      <c r="K424" s="29"/>
      <c r="L424" s="29"/>
      <c r="M424" s="29"/>
      <c r="N424" s="29"/>
      <c r="O424" s="29"/>
      <c r="P424" s="29"/>
      <c r="Q424" s="29"/>
      <c r="R424" s="29"/>
      <c r="S424" s="29"/>
      <c r="T424" s="29"/>
      <c r="U424" s="29"/>
      <c r="V424" s="29"/>
      <c r="W424" s="29"/>
      <c r="X424" s="29"/>
    </row>
    <row r="425" spans="1:24" ht="15">
      <c r="A425" s="29"/>
      <c r="B425" s="29"/>
      <c r="C425" s="29"/>
      <c r="D425" s="33"/>
      <c r="E425" s="33"/>
      <c r="G425" s="29"/>
      <c r="H425" s="29"/>
      <c r="I425" s="29"/>
      <c r="J425" s="29"/>
      <c r="K425" s="29"/>
      <c r="L425" s="29"/>
      <c r="M425" s="29"/>
      <c r="N425" s="29"/>
      <c r="O425" s="29"/>
      <c r="P425" s="29"/>
      <c r="Q425" s="29"/>
      <c r="R425" s="29"/>
      <c r="S425" s="29"/>
      <c r="T425" s="29"/>
      <c r="U425" s="29"/>
      <c r="V425" s="29"/>
      <c r="W425" s="29"/>
      <c r="X425" s="29"/>
    </row>
    <row r="426" spans="1:24" ht="15">
      <c r="A426" s="29"/>
      <c r="B426" s="29"/>
      <c r="C426" s="29"/>
      <c r="D426" s="33"/>
      <c r="E426" s="33"/>
      <c r="G426" s="29"/>
      <c r="H426" s="29"/>
      <c r="I426" s="29"/>
      <c r="J426" s="29"/>
      <c r="K426" s="29"/>
      <c r="L426" s="29"/>
      <c r="M426" s="29"/>
      <c r="N426" s="29"/>
      <c r="O426" s="29"/>
      <c r="P426" s="29"/>
      <c r="Q426" s="29"/>
      <c r="R426" s="29"/>
      <c r="S426" s="29"/>
      <c r="T426" s="29"/>
      <c r="U426" s="29"/>
      <c r="V426" s="29"/>
      <c r="W426" s="29"/>
      <c r="X426" s="29"/>
    </row>
    <row r="427" spans="1:24" ht="15">
      <c r="A427" s="29"/>
      <c r="B427" s="29"/>
      <c r="C427" s="29"/>
      <c r="D427" s="33"/>
      <c r="E427" s="33"/>
      <c r="G427" s="29"/>
      <c r="H427" s="29"/>
      <c r="I427" s="29"/>
      <c r="J427" s="29"/>
      <c r="K427" s="29"/>
      <c r="L427" s="29"/>
      <c r="M427" s="29"/>
      <c r="N427" s="29"/>
      <c r="O427" s="29"/>
      <c r="P427" s="29"/>
      <c r="Q427" s="29"/>
      <c r="R427" s="29"/>
      <c r="S427" s="29"/>
      <c r="T427" s="29"/>
      <c r="U427" s="29"/>
      <c r="V427" s="29"/>
      <c r="W427" s="29"/>
      <c r="X427" s="29"/>
    </row>
    <row r="428" spans="1:24" ht="15">
      <c r="A428" s="29"/>
      <c r="B428" s="29"/>
      <c r="C428" s="29"/>
      <c r="D428" s="33"/>
      <c r="E428" s="33"/>
      <c r="G428" s="29"/>
      <c r="H428" s="29"/>
      <c r="I428" s="29"/>
      <c r="J428" s="29"/>
      <c r="K428" s="29"/>
      <c r="L428" s="29"/>
      <c r="M428" s="29"/>
      <c r="N428" s="29"/>
      <c r="O428" s="29"/>
      <c r="P428" s="29"/>
      <c r="Q428" s="29"/>
      <c r="R428" s="29"/>
      <c r="S428" s="29"/>
      <c r="T428" s="29"/>
      <c r="U428" s="29"/>
      <c r="V428" s="29"/>
      <c r="W428" s="29"/>
      <c r="X428" s="29"/>
    </row>
    <row r="429" spans="1:24" ht="15">
      <c r="A429" s="29"/>
      <c r="B429" s="29"/>
      <c r="C429" s="29"/>
      <c r="D429" s="33"/>
      <c r="E429" s="33"/>
      <c r="G429" s="29"/>
      <c r="H429" s="29"/>
      <c r="I429" s="29"/>
      <c r="J429" s="29"/>
      <c r="K429" s="29"/>
      <c r="L429" s="29"/>
      <c r="M429" s="29"/>
      <c r="N429" s="29"/>
      <c r="O429" s="29"/>
      <c r="P429" s="29"/>
      <c r="Q429" s="29"/>
      <c r="R429" s="29"/>
      <c r="S429" s="29"/>
      <c r="T429" s="29"/>
      <c r="U429" s="29"/>
      <c r="V429" s="29"/>
      <c r="W429" s="29"/>
      <c r="X429" s="29"/>
    </row>
    <row r="430" spans="1:24" ht="15">
      <c r="A430" s="29"/>
      <c r="B430" s="29"/>
      <c r="C430" s="29"/>
      <c r="D430" s="33"/>
      <c r="E430" s="33"/>
      <c r="G430" s="29"/>
      <c r="H430" s="29"/>
      <c r="I430" s="29"/>
      <c r="J430" s="29"/>
      <c r="K430" s="29"/>
      <c r="L430" s="29"/>
      <c r="M430" s="29"/>
      <c r="N430" s="29"/>
      <c r="O430" s="29"/>
      <c r="P430" s="29"/>
      <c r="Q430" s="29"/>
      <c r="R430" s="29"/>
      <c r="S430" s="29"/>
      <c r="T430" s="29"/>
      <c r="U430" s="29"/>
      <c r="V430" s="29"/>
      <c r="W430" s="29"/>
      <c r="X430" s="29"/>
    </row>
    <row r="431" spans="1:24" ht="15">
      <c r="A431" s="29"/>
      <c r="B431" s="29"/>
      <c r="C431" s="29"/>
      <c r="D431" s="33"/>
      <c r="E431" s="33"/>
      <c r="G431" s="29"/>
      <c r="H431" s="29"/>
      <c r="I431" s="29"/>
      <c r="J431" s="29"/>
      <c r="K431" s="29"/>
      <c r="L431" s="29"/>
      <c r="M431" s="29"/>
      <c r="N431" s="29"/>
      <c r="O431" s="29"/>
      <c r="P431" s="29"/>
      <c r="Q431" s="29"/>
      <c r="R431" s="29"/>
      <c r="S431" s="29"/>
      <c r="T431" s="29"/>
      <c r="U431" s="29"/>
      <c r="V431" s="29"/>
      <c r="W431" s="29"/>
      <c r="X431" s="29"/>
    </row>
    <row r="432" spans="1:24" ht="15">
      <c r="A432" s="29"/>
      <c r="B432" s="29"/>
      <c r="C432" s="29"/>
      <c r="D432" s="33"/>
      <c r="E432" s="33"/>
      <c r="G432" s="29"/>
      <c r="H432" s="29"/>
      <c r="I432" s="29"/>
      <c r="J432" s="29"/>
      <c r="K432" s="29"/>
      <c r="L432" s="29"/>
      <c r="M432" s="29"/>
      <c r="N432" s="29"/>
      <c r="O432" s="29"/>
      <c r="P432" s="29"/>
      <c r="Q432" s="29"/>
      <c r="R432" s="29"/>
      <c r="S432" s="29"/>
      <c r="T432" s="29"/>
      <c r="U432" s="29"/>
      <c r="V432" s="29"/>
      <c r="W432" s="29"/>
      <c r="X432" s="29"/>
    </row>
    <row r="433" spans="1:24" ht="15">
      <c r="A433" s="29"/>
      <c r="B433" s="29"/>
      <c r="C433" s="29"/>
      <c r="D433" s="33"/>
      <c r="E433" s="33"/>
      <c r="G433" s="29"/>
      <c r="H433" s="29"/>
      <c r="I433" s="29"/>
      <c r="J433" s="29"/>
      <c r="K433" s="29"/>
      <c r="L433" s="29"/>
      <c r="M433" s="29"/>
      <c r="N433" s="29"/>
      <c r="O433" s="29"/>
      <c r="P433" s="29"/>
      <c r="Q433" s="29"/>
      <c r="R433" s="29"/>
      <c r="S433" s="29"/>
      <c r="T433" s="29"/>
      <c r="U433" s="29"/>
      <c r="V433" s="29"/>
      <c r="W433" s="29"/>
      <c r="X433" s="29"/>
    </row>
    <row r="434" spans="1:24" ht="15">
      <c r="A434" s="29"/>
      <c r="B434" s="29"/>
      <c r="C434" s="29"/>
      <c r="D434" s="33"/>
      <c r="E434" s="33"/>
      <c r="G434" s="29"/>
      <c r="H434" s="29"/>
      <c r="I434" s="29"/>
      <c r="J434" s="29"/>
      <c r="K434" s="29"/>
      <c r="L434" s="29"/>
      <c r="M434" s="29"/>
      <c r="N434" s="29"/>
      <c r="O434" s="29"/>
      <c r="P434" s="29"/>
      <c r="Q434" s="29"/>
      <c r="R434" s="29"/>
      <c r="S434" s="29"/>
      <c r="T434" s="29"/>
      <c r="U434" s="29"/>
      <c r="V434" s="29"/>
      <c r="W434" s="29"/>
      <c r="X434" s="29"/>
    </row>
    <row r="435" spans="1:24" ht="15">
      <c r="A435" s="29"/>
      <c r="B435" s="29"/>
      <c r="C435" s="29"/>
      <c r="D435" s="33"/>
      <c r="E435" s="33"/>
      <c r="G435" s="29"/>
      <c r="H435" s="29"/>
      <c r="I435" s="29"/>
      <c r="J435" s="29"/>
      <c r="K435" s="29"/>
      <c r="L435" s="29"/>
      <c r="M435" s="29"/>
      <c r="N435" s="29"/>
      <c r="O435" s="29"/>
      <c r="P435" s="29"/>
      <c r="Q435" s="29"/>
      <c r="R435" s="29"/>
      <c r="S435" s="29"/>
      <c r="T435" s="29"/>
      <c r="U435" s="29"/>
      <c r="V435" s="29"/>
      <c r="W435" s="29"/>
      <c r="X435" s="29"/>
    </row>
    <row r="436" spans="1:24" ht="15">
      <c r="A436" s="29"/>
      <c r="B436" s="29"/>
      <c r="C436" s="29"/>
      <c r="D436" s="33"/>
      <c r="E436" s="33"/>
      <c r="G436" s="29"/>
      <c r="H436" s="29"/>
      <c r="I436" s="29"/>
      <c r="J436" s="29"/>
      <c r="K436" s="29"/>
      <c r="L436" s="29"/>
      <c r="M436" s="29"/>
      <c r="N436" s="29"/>
      <c r="O436" s="29"/>
      <c r="P436" s="29"/>
      <c r="Q436" s="29"/>
      <c r="R436" s="29"/>
      <c r="S436" s="29"/>
      <c r="T436" s="29"/>
      <c r="U436" s="29"/>
      <c r="V436" s="29"/>
      <c r="W436" s="29"/>
      <c r="X436" s="29"/>
    </row>
    <row r="437" spans="1:24" ht="15">
      <c r="A437" s="29"/>
      <c r="B437" s="29"/>
      <c r="C437" s="29"/>
      <c r="D437" s="33"/>
      <c r="E437" s="33"/>
      <c r="G437" s="29"/>
      <c r="H437" s="29"/>
      <c r="I437" s="29"/>
      <c r="J437" s="29"/>
      <c r="K437" s="29"/>
      <c r="L437" s="29"/>
      <c r="M437" s="29"/>
      <c r="N437" s="29"/>
      <c r="O437" s="29"/>
      <c r="P437" s="29"/>
      <c r="Q437" s="29"/>
      <c r="R437" s="29"/>
      <c r="S437" s="29"/>
      <c r="T437" s="29"/>
      <c r="U437" s="29"/>
      <c r="V437" s="29"/>
      <c r="W437" s="29"/>
      <c r="X437" s="29"/>
    </row>
    <row r="438" spans="1:24" ht="15">
      <c r="A438" s="29"/>
      <c r="B438" s="29"/>
      <c r="C438" s="29"/>
      <c r="D438" s="33"/>
      <c r="E438" s="33"/>
      <c r="G438" s="29"/>
      <c r="H438" s="29"/>
      <c r="I438" s="29"/>
      <c r="J438" s="29"/>
      <c r="K438" s="29"/>
      <c r="L438" s="29"/>
      <c r="M438" s="29"/>
      <c r="N438" s="29"/>
      <c r="O438" s="29"/>
      <c r="P438" s="29"/>
      <c r="Q438" s="29"/>
      <c r="R438" s="29"/>
      <c r="S438" s="29"/>
      <c r="T438" s="29"/>
      <c r="U438" s="29"/>
      <c r="V438" s="29"/>
      <c r="W438" s="29"/>
      <c r="X438" s="29"/>
    </row>
    <row r="439" spans="1:24" ht="15">
      <c r="A439" s="29"/>
      <c r="B439" s="29"/>
      <c r="C439" s="29"/>
      <c r="D439" s="33"/>
      <c r="E439" s="33"/>
      <c r="G439" s="29"/>
      <c r="H439" s="29"/>
      <c r="I439" s="29"/>
      <c r="J439" s="29"/>
      <c r="K439" s="29"/>
      <c r="L439" s="29"/>
      <c r="M439" s="29"/>
      <c r="N439" s="29"/>
      <c r="O439" s="29"/>
      <c r="P439" s="29"/>
      <c r="Q439" s="29"/>
      <c r="R439" s="29"/>
      <c r="S439" s="29"/>
      <c r="T439" s="29"/>
      <c r="U439" s="29"/>
      <c r="V439" s="29"/>
      <c r="W439" s="29"/>
      <c r="X439" s="29"/>
    </row>
    <row r="440" spans="1:24" ht="15">
      <c r="A440" s="29"/>
      <c r="B440" s="29"/>
      <c r="C440" s="29"/>
      <c r="D440" s="33"/>
      <c r="E440" s="33"/>
      <c r="G440" s="29"/>
      <c r="H440" s="29"/>
      <c r="I440" s="29"/>
      <c r="J440" s="29"/>
      <c r="K440" s="29"/>
      <c r="L440" s="29"/>
      <c r="M440" s="29"/>
      <c r="N440" s="29"/>
      <c r="O440" s="29"/>
      <c r="P440" s="29"/>
      <c r="Q440" s="29"/>
      <c r="R440" s="29"/>
      <c r="S440" s="29"/>
      <c r="T440" s="29"/>
      <c r="U440" s="29"/>
      <c r="V440" s="29"/>
      <c r="W440" s="29"/>
      <c r="X440" s="29"/>
    </row>
    <row r="441" spans="1:24" ht="15">
      <c r="A441" s="29"/>
      <c r="B441" s="29"/>
      <c r="C441" s="29"/>
      <c r="D441" s="33"/>
      <c r="E441" s="33"/>
      <c r="G441" s="29"/>
      <c r="H441" s="29"/>
      <c r="I441" s="29"/>
      <c r="J441" s="29"/>
      <c r="K441" s="29"/>
      <c r="L441" s="29"/>
      <c r="M441" s="29"/>
      <c r="N441" s="29"/>
      <c r="O441" s="29"/>
      <c r="P441" s="29"/>
      <c r="Q441" s="29"/>
      <c r="R441" s="29"/>
      <c r="S441" s="29"/>
      <c r="T441" s="29"/>
      <c r="U441" s="29"/>
      <c r="V441" s="29"/>
      <c r="W441" s="29"/>
      <c r="X441" s="29"/>
    </row>
    <row r="442" spans="1:24" ht="15">
      <c r="A442" s="29"/>
      <c r="B442" s="29"/>
      <c r="C442" s="29"/>
      <c r="D442" s="33"/>
      <c r="E442" s="33"/>
      <c r="G442" s="29"/>
      <c r="H442" s="29"/>
      <c r="I442" s="29"/>
      <c r="J442" s="29"/>
      <c r="K442" s="29"/>
      <c r="L442" s="29"/>
      <c r="M442" s="29"/>
      <c r="N442" s="29"/>
      <c r="O442" s="29"/>
      <c r="P442" s="29"/>
      <c r="Q442" s="29"/>
      <c r="R442" s="29"/>
      <c r="S442" s="29"/>
      <c r="T442" s="29"/>
      <c r="U442" s="29"/>
      <c r="V442" s="29"/>
      <c r="W442" s="29"/>
      <c r="X442" s="29"/>
    </row>
    <row r="443" spans="1:24" ht="15">
      <c r="A443" s="29"/>
      <c r="B443" s="29"/>
      <c r="C443" s="29"/>
      <c r="D443" s="33"/>
      <c r="E443" s="33"/>
      <c r="G443" s="29"/>
      <c r="H443" s="29"/>
      <c r="I443" s="29"/>
      <c r="J443" s="29"/>
      <c r="K443" s="29"/>
      <c r="L443" s="29"/>
      <c r="M443" s="29"/>
      <c r="N443" s="29"/>
      <c r="O443" s="29"/>
      <c r="P443" s="29"/>
      <c r="Q443" s="29"/>
      <c r="R443" s="29"/>
      <c r="S443" s="29"/>
      <c r="T443" s="29"/>
      <c r="U443" s="29"/>
      <c r="V443" s="29"/>
      <c r="W443" s="29"/>
      <c r="X443" s="29"/>
    </row>
    <row r="444" spans="1:24" ht="15">
      <c r="A444" s="29"/>
      <c r="B444" s="29"/>
      <c r="C444" s="29"/>
      <c r="D444" s="33"/>
      <c r="E444" s="33"/>
      <c r="G444" s="29"/>
      <c r="H444" s="29"/>
      <c r="I444" s="29"/>
      <c r="J444" s="29"/>
      <c r="K444" s="29"/>
      <c r="L444" s="29"/>
      <c r="M444" s="29"/>
      <c r="N444" s="29"/>
      <c r="O444" s="29"/>
      <c r="P444" s="29"/>
      <c r="Q444" s="29"/>
      <c r="R444" s="29"/>
      <c r="S444" s="29"/>
      <c r="T444" s="29"/>
      <c r="U444" s="29"/>
      <c r="V444" s="29"/>
      <c r="W444" s="29"/>
      <c r="X444" s="29"/>
    </row>
    <row r="445" spans="1:24" ht="15">
      <c r="A445" s="29"/>
      <c r="B445" s="29"/>
      <c r="C445" s="29"/>
      <c r="D445" s="33"/>
      <c r="E445" s="33"/>
      <c r="G445" s="29"/>
      <c r="H445" s="29"/>
      <c r="I445" s="29"/>
      <c r="J445" s="29"/>
      <c r="K445" s="29"/>
      <c r="L445" s="29"/>
      <c r="M445" s="29"/>
      <c r="N445" s="29"/>
      <c r="O445" s="29"/>
      <c r="P445" s="29"/>
      <c r="Q445" s="29"/>
      <c r="R445" s="29"/>
      <c r="S445" s="29"/>
      <c r="T445" s="29"/>
      <c r="U445" s="29"/>
      <c r="V445" s="29"/>
      <c r="W445" s="29"/>
      <c r="X445" s="29"/>
    </row>
    <row r="446" spans="1:24" ht="15">
      <c r="A446" s="29"/>
      <c r="B446" s="29"/>
      <c r="C446" s="29"/>
      <c r="D446" s="33"/>
      <c r="E446" s="33"/>
      <c r="G446" s="29"/>
      <c r="H446" s="29"/>
      <c r="I446" s="29"/>
      <c r="J446" s="29"/>
      <c r="K446" s="29"/>
      <c r="L446" s="29"/>
      <c r="M446" s="29"/>
      <c r="N446" s="29"/>
      <c r="O446" s="29"/>
      <c r="P446" s="29"/>
      <c r="Q446" s="29"/>
      <c r="R446" s="29"/>
      <c r="S446" s="29"/>
      <c r="T446" s="29"/>
      <c r="U446" s="29"/>
      <c r="V446" s="29"/>
      <c r="W446" s="29"/>
      <c r="X446" s="29"/>
    </row>
    <row r="447" spans="1:24" ht="15">
      <c r="A447" s="29"/>
      <c r="B447" s="29"/>
      <c r="C447" s="29"/>
      <c r="D447" s="33"/>
      <c r="E447" s="33"/>
      <c r="G447" s="29"/>
      <c r="H447" s="29"/>
      <c r="I447" s="29"/>
      <c r="J447" s="29"/>
      <c r="K447" s="29"/>
      <c r="L447" s="29"/>
      <c r="M447" s="29"/>
      <c r="N447" s="29"/>
      <c r="O447" s="29"/>
      <c r="P447" s="29"/>
      <c r="Q447" s="29"/>
      <c r="R447" s="29"/>
      <c r="S447" s="29"/>
      <c r="T447" s="29"/>
      <c r="U447" s="29"/>
      <c r="V447" s="29"/>
      <c r="W447" s="29"/>
      <c r="X447" s="29"/>
    </row>
    <row r="448" spans="1:24" ht="15">
      <c r="A448" s="29"/>
      <c r="B448" s="29"/>
      <c r="C448" s="29"/>
      <c r="D448" s="33"/>
      <c r="E448" s="33"/>
      <c r="G448" s="29"/>
      <c r="H448" s="29"/>
      <c r="I448" s="29"/>
      <c r="J448" s="29"/>
      <c r="K448" s="29"/>
      <c r="L448" s="29"/>
      <c r="M448" s="29"/>
      <c r="N448" s="29"/>
      <c r="O448" s="29"/>
      <c r="P448" s="29"/>
      <c r="Q448" s="29"/>
      <c r="R448" s="29"/>
      <c r="S448" s="29"/>
      <c r="T448" s="29"/>
      <c r="U448" s="29"/>
      <c r="V448" s="29"/>
      <c r="W448" s="29"/>
      <c r="X448" s="29"/>
    </row>
    <row r="449" spans="1:24" ht="15">
      <c r="A449" s="29"/>
      <c r="B449" s="29"/>
      <c r="C449" s="29"/>
      <c r="D449" s="33"/>
      <c r="E449" s="33"/>
      <c r="G449" s="29"/>
      <c r="H449" s="29"/>
      <c r="I449" s="29"/>
      <c r="J449" s="29"/>
      <c r="K449" s="29"/>
      <c r="L449" s="29"/>
      <c r="M449" s="29"/>
      <c r="N449" s="29"/>
      <c r="O449" s="29"/>
      <c r="P449" s="29"/>
      <c r="Q449" s="29"/>
      <c r="R449" s="29"/>
      <c r="S449" s="29"/>
      <c r="T449" s="29"/>
      <c r="U449" s="29"/>
      <c r="V449" s="29"/>
      <c r="W449" s="29"/>
      <c r="X449" s="29"/>
    </row>
    <row r="450" spans="1:24" ht="15">
      <c r="A450" s="29"/>
      <c r="B450" s="29"/>
      <c r="C450" s="29"/>
      <c r="D450" s="33"/>
      <c r="E450" s="33"/>
      <c r="G450" s="29"/>
      <c r="H450" s="29"/>
      <c r="I450" s="29"/>
      <c r="J450" s="29"/>
      <c r="K450" s="29"/>
      <c r="L450" s="29"/>
      <c r="M450" s="29"/>
      <c r="N450" s="29"/>
      <c r="O450" s="29"/>
      <c r="P450" s="29"/>
      <c r="Q450" s="29"/>
      <c r="R450" s="29"/>
      <c r="S450" s="29"/>
      <c r="T450" s="29"/>
      <c r="U450" s="29"/>
      <c r="V450" s="29"/>
      <c r="W450" s="29"/>
      <c r="X450" s="29"/>
    </row>
    <row r="451" spans="1:24" ht="15">
      <c r="A451" s="29"/>
      <c r="B451" s="29"/>
      <c r="C451" s="29"/>
      <c r="D451" s="33"/>
      <c r="E451" s="33"/>
      <c r="G451" s="29"/>
      <c r="H451" s="29"/>
      <c r="I451" s="29"/>
      <c r="J451" s="29"/>
      <c r="K451" s="29"/>
      <c r="L451" s="29"/>
      <c r="M451" s="29"/>
      <c r="N451" s="29"/>
      <c r="O451" s="29"/>
      <c r="P451" s="29"/>
      <c r="Q451" s="29"/>
      <c r="R451" s="29"/>
      <c r="S451" s="29"/>
      <c r="T451" s="29"/>
      <c r="U451" s="29"/>
      <c r="V451" s="29"/>
      <c r="W451" s="29"/>
      <c r="X451" s="29"/>
    </row>
    <row r="452" spans="1:24" ht="15">
      <c r="A452" s="29"/>
      <c r="B452" s="29"/>
      <c r="C452" s="29"/>
      <c r="D452" s="33"/>
      <c r="E452" s="33"/>
      <c r="G452" s="29"/>
      <c r="H452" s="29"/>
      <c r="I452" s="29"/>
      <c r="J452" s="29"/>
      <c r="K452" s="29"/>
      <c r="L452" s="29"/>
      <c r="M452" s="29"/>
      <c r="N452" s="29"/>
      <c r="O452" s="29"/>
      <c r="P452" s="29"/>
      <c r="Q452" s="29"/>
      <c r="R452" s="29"/>
      <c r="S452" s="29"/>
      <c r="T452" s="29"/>
      <c r="U452" s="29"/>
      <c r="V452" s="29"/>
      <c r="W452" s="29"/>
      <c r="X452" s="29"/>
    </row>
    <row r="453" spans="1:24" ht="15">
      <c r="A453" s="29"/>
      <c r="B453" s="29"/>
      <c r="C453" s="29"/>
      <c r="D453" s="33"/>
      <c r="E453" s="33"/>
      <c r="G453" s="29"/>
      <c r="H453" s="29"/>
      <c r="I453" s="29"/>
      <c r="J453" s="29"/>
      <c r="K453" s="29"/>
      <c r="L453" s="29"/>
      <c r="M453" s="29"/>
      <c r="N453" s="29"/>
      <c r="O453" s="29"/>
      <c r="P453" s="29"/>
      <c r="Q453" s="29"/>
      <c r="R453" s="29"/>
      <c r="S453" s="29"/>
      <c r="T453" s="29"/>
      <c r="U453" s="29"/>
      <c r="V453" s="29"/>
      <c r="W453" s="29"/>
      <c r="X453" s="29"/>
    </row>
    <row r="454" spans="1:24" ht="15">
      <c r="A454" s="29"/>
      <c r="B454" s="29"/>
      <c r="C454" s="29"/>
      <c r="D454" s="33"/>
      <c r="E454" s="33"/>
      <c r="G454" s="29"/>
      <c r="H454" s="29"/>
      <c r="I454" s="29"/>
      <c r="J454" s="29"/>
      <c r="K454" s="29"/>
      <c r="L454" s="29"/>
      <c r="M454" s="29"/>
      <c r="N454" s="29"/>
      <c r="O454" s="29"/>
      <c r="P454" s="29"/>
      <c r="Q454" s="29"/>
      <c r="R454" s="29"/>
      <c r="S454" s="29"/>
      <c r="T454" s="29"/>
      <c r="U454" s="29"/>
      <c r="V454" s="29"/>
      <c r="W454" s="29"/>
      <c r="X454" s="29"/>
    </row>
    <row r="455" spans="1:24" ht="15">
      <c r="A455" s="29"/>
      <c r="B455" s="29"/>
      <c r="C455" s="29"/>
      <c r="D455" s="33"/>
      <c r="E455" s="33"/>
      <c r="G455" s="29"/>
      <c r="H455" s="29"/>
      <c r="I455" s="29"/>
      <c r="J455" s="29"/>
      <c r="K455" s="29"/>
      <c r="L455" s="29"/>
      <c r="M455" s="29"/>
      <c r="N455" s="29"/>
      <c r="O455" s="29"/>
      <c r="P455" s="29"/>
      <c r="Q455" s="29"/>
      <c r="R455" s="29"/>
      <c r="S455" s="29"/>
      <c r="T455" s="29"/>
      <c r="U455" s="29"/>
      <c r="V455" s="29"/>
      <c r="W455" s="29"/>
      <c r="X455" s="29"/>
    </row>
    <row r="456" spans="1:24" ht="15">
      <c r="A456" s="29"/>
      <c r="B456" s="29"/>
      <c r="C456" s="29"/>
      <c r="D456" s="33"/>
      <c r="E456" s="33"/>
      <c r="G456" s="29"/>
      <c r="H456" s="29"/>
      <c r="I456" s="29"/>
      <c r="J456" s="29"/>
      <c r="K456" s="29"/>
      <c r="L456" s="29"/>
      <c r="M456" s="29"/>
      <c r="N456" s="29"/>
      <c r="O456" s="29"/>
      <c r="P456" s="29"/>
      <c r="Q456" s="29"/>
      <c r="R456" s="29"/>
      <c r="S456" s="29"/>
      <c r="T456" s="29"/>
      <c r="U456" s="29"/>
      <c r="V456" s="29"/>
      <c r="W456" s="29"/>
      <c r="X456" s="29"/>
    </row>
    <row r="457" spans="1:24" ht="15">
      <c r="A457" s="29"/>
      <c r="B457" s="29"/>
      <c r="C457" s="29"/>
      <c r="D457" s="33"/>
      <c r="E457" s="33"/>
      <c r="G457" s="29"/>
      <c r="H457" s="29"/>
      <c r="I457" s="29"/>
      <c r="J457" s="29"/>
      <c r="K457" s="29"/>
      <c r="L457" s="29"/>
      <c r="M457" s="29"/>
      <c r="N457" s="29"/>
      <c r="O457" s="29"/>
      <c r="P457" s="29"/>
      <c r="Q457" s="29"/>
      <c r="R457" s="29"/>
      <c r="S457" s="29"/>
      <c r="T457" s="29"/>
      <c r="U457" s="29"/>
      <c r="V457" s="29"/>
      <c r="W457" s="29"/>
      <c r="X457" s="29"/>
    </row>
    <row r="458" spans="1:24" ht="15">
      <c r="A458" s="29"/>
      <c r="B458" s="29"/>
      <c r="C458" s="29"/>
      <c r="D458" s="33"/>
      <c r="E458" s="33"/>
      <c r="G458" s="29"/>
      <c r="H458" s="29"/>
      <c r="I458" s="29"/>
      <c r="J458" s="29"/>
      <c r="K458" s="29"/>
      <c r="L458" s="29"/>
      <c r="M458" s="29"/>
      <c r="N458" s="29"/>
      <c r="O458" s="29"/>
      <c r="P458" s="29"/>
      <c r="Q458" s="29"/>
      <c r="R458" s="29"/>
      <c r="S458" s="29"/>
      <c r="T458" s="29"/>
      <c r="U458" s="29"/>
      <c r="V458" s="29"/>
      <c r="W458" s="29"/>
      <c r="X458" s="29"/>
    </row>
    <row r="459" spans="1:24" ht="15">
      <c r="A459" s="29"/>
      <c r="B459" s="29"/>
      <c r="C459" s="29"/>
      <c r="D459" s="33"/>
      <c r="E459" s="33"/>
      <c r="G459" s="29"/>
      <c r="H459" s="29"/>
      <c r="I459" s="29"/>
      <c r="J459" s="29"/>
      <c r="K459" s="29"/>
      <c r="L459" s="29"/>
      <c r="M459" s="29"/>
      <c r="N459" s="29"/>
      <c r="O459" s="29"/>
      <c r="P459" s="29"/>
      <c r="Q459" s="29"/>
      <c r="R459" s="29"/>
      <c r="S459" s="29"/>
      <c r="T459" s="29"/>
      <c r="U459" s="29"/>
      <c r="V459" s="29"/>
      <c r="W459" s="29"/>
      <c r="X459" s="29"/>
    </row>
    <row r="460" spans="1:24" ht="15">
      <c r="A460" s="29"/>
      <c r="B460" s="29"/>
      <c r="C460" s="29"/>
      <c r="D460" s="33"/>
      <c r="E460" s="33"/>
      <c r="G460" s="29"/>
      <c r="H460" s="29"/>
      <c r="I460" s="29"/>
      <c r="J460" s="29"/>
      <c r="K460" s="29"/>
      <c r="L460" s="29"/>
      <c r="M460" s="29"/>
      <c r="N460" s="29"/>
      <c r="O460" s="29"/>
      <c r="P460" s="29"/>
      <c r="Q460" s="29"/>
      <c r="R460" s="29"/>
      <c r="S460" s="29"/>
      <c r="T460" s="29"/>
      <c r="U460" s="29"/>
      <c r="V460" s="29"/>
      <c r="W460" s="29"/>
      <c r="X460" s="29"/>
    </row>
    <row r="461" spans="1:24" ht="15">
      <c r="A461" s="29"/>
      <c r="B461" s="29"/>
      <c r="C461" s="29"/>
      <c r="D461" s="33"/>
      <c r="E461" s="33"/>
      <c r="G461" s="29"/>
      <c r="H461" s="29"/>
      <c r="I461" s="29"/>
      <c r="J461" s="29"/>
      <c r="K461" s="29"/>
      <c r="L461" s="29"/>
      <c r="M461" s="29"/>
      <c r="N461" s="29"/>
      <c r="O461" s="29"/>
      <c r="P461" s="29"/>
      <c r="Q461" s="29"/>
      <c r="R461" s="29"/>
      <c r="S461" s="29"/>
      <c r="T461" s="29"/>
      <c r="U461" s="29"/>
      <c r="V461" s="29"/>
      <c r="W461" s="29"/>
      <c r="X461" s="29"/>
    </row>
    <row r="462" spans="1:24" ht="15">
      <c r="A462" s="29"/>
      <c r="B462" s="29"/>
      <c r="C462" s="29"/>
      <c r="D462" s="33"/>
      <c r="E462" s="33"/>
      <c r="G462" s="29"/>
      <c r="H462" s="29"/>
      <c r="I462" s="29"/>
      <c r="J462" s="29"/>
      <c r="K462" s="29"/>
      <c r="L462" s="29"/>
      <c r="M462" s="29"/>
      <c r="N462" s="29"/>
      <c r="O462" s="29"/>
      <c r="P462" s="29"/>
      <c r="Q462" s="29"/>
      <c r="R462" s="29"/>
      <c r="S462" s="29"/>
      <c r="T462" s="29"/>
      <c r="U462" s="29"/>
      <c r="V462" s="29"/>
      <c r="W462" s="29"/>
      <c r="X462" s="29"/>
    </row>
    <row r="463" spans="1:24" ht="15">
      <c r="A463" s="29"/>
      <c r="B463" s="29"/>
      <c r="C463" s="29"/>
      <c r="D463" s="33"/>
      <c r="E463" s="33"/>
      <c r="G463" s="29"/>
      <c r="H463" s="29"/>
      <c r="I463" s="29"/>
      <c r="J463" s="29"/>
      <c r="K463" s="29"/>
      <c r="L463" s="29"/>
      <c r="M463" s="29"/>
      <c r="N463" s="29"/>
      <c r="O463" s="29"/>
      <c r="P463" s="29"/>
      <c r="Q463" s="29"/>
      <c r="R463" s="29"/>
      <c r="S463" s="29"/>
      <c r="T463" s="29"/>
      <c r="U463" s="29"/>
      <c r="V463" s="29"/>
      <c r="W463" s="29"/>
      <c r="X463" s="29"/>
    </row>
    <row r="464" spans="1:24" ht="15">
      <c r="A464" s="29"/>
      <c r="B464" s="29"/>
      <c r="C464" s="29"/>
      <c r="D464" s="33"/>
      <c r="E464" s="33"/>
      <c r="G464" s="29"/>
      <c r="H464" s="29"/>
      <c r="I464" s="29"/>
      <c r="J464" s="29"/>
      <c r="K464" s="29"/>
      <c r="L464" s="29"/>
      <c r="M464" s="29"/>
      <c r="N464" s="29"/>
      <c r="O464" s="29"/>
      <c r="P464" s="29"/>
      <c r="Q464" s="29"/>
      <c r="R464" s="29"/>
      <c r="S464" s="29"/>
      <c r="T464" s="29"/>
      <c r="U464" s="29"/>
      <c r="V464" s="29"/>
      <c r="W464" s="29"/>
      <c r="X464" s="29"/>
    </row>
    <row r="465" spans="1:24" ht="15">
      <c r="A465" s="29"/>
      <c r="B465" s="29"/>
      <c r="C465" s="29"/>
      <c r="D465" s="33"/>
      <c r="E465" s="33"/>
      <c r="G465" s="29"/>
      <c r="H465" s="29"/>
      <c r="I465" s="29"/>
      <c r="J465" s="29"/>
      <c r="K465" s="29"/>
      <c r="L465" s="29"/>
      <c r="M465" s="29"/>
      <c r="N465" s="29"/>
      <c r="O465" s="29"/>
      <c r="P465" s="29"/>
      <c r="Q465" s="29"/>
      <c r="R465" s="29"/>
      <c r="S465" s="29"/>
      <c r="T465" s="29"/>
      <c r="U465" s="29"/>
      <c r="V465" s="29"/>
      <c r="W465" s="29"/>
      <c r="X465" s="29"/>
    </row>
    <row r="466" spans="1:24" ht="15">
      <c r="A466" s="29"/>
      <c r="B466" s="29"/>
      <c r="C466" s="29"/>
      <c r="D466" s="33"/>
      <c r="E466" s="33"/>
      <c r="G466" s="29"/>
      <c r="H466" s="29"/>
      <c r="I466" s="29"/>
      <c r="J466" s="29"/>
      <c r="K466" s="29"/>
      <c r="L466" s="29"/>
      <c r="M466" s="29"/>
      <c r="N466" s="29"/>
      <c r="O466" s="29"/>
      <c r="P466" s="29"/>
      <c r="Q466" s="29"/>
      <c r="R466" s="29"/>
      <c r="S466" s="29"/>
      <c r="T466" s="29"/>
      <c r="U466" s="29"/>
      <c r="V466" s="29"/>
      <c r="W466" s="29"/>
      <c r="X466" s="29"/>
    </row>
    <row r="467" spans="1:24" ht="15">
      <c r="A467" s="29"/>
      <c r="B467" s="29"/>
      <c r="C467" s="29"/>
      <c r="D467" s="33"/>
      <c r="E467" s="33"/>
      <c r="G467" s="29"/>
      <c r="H467" s="29"/>
      <c r="I467" s="29"/>
      <c r="J467" s="29"/>
      <c r="K467" s="29"/>
      <c r="L467" s="29"/>
      <c r="M467" s="29"/>
      <c r="N467" s="29"/>
      <c r="O467" s="29"/>
      <c r="P467" s="29"/>
      <c r="Q467" s="29"/>
      <c r="R467" s="29"/>
      <c r="S467" s="29"/>
      <c r="T467" s="29"/>
      <c r="U467" s="29"/>
      <c r="V467" s="29"/>
      <c r="W467" s="29"/>
      <c r="X467" s="29"/>
    </row>
    <row r="468" spans="1:24" ht="15">
      <c r="A468" s="29"/>
      <c r="B468" s="29"/>
      <c r="C468" s="29"/>
      <c r="D468" s="33"/>
      <c r="E468" s="33"/>
      <c r="G468" s="29"/>
      <c r="H468" s="29"/>
      <c r="I468" s="29"/>
      <c r="J468" s="29"/>
      <c r="K468" s="29"/>
      <c r="L468" s="29"/>
      <c r="M468" s="29"/>
      <c r="N468" s="29"/>
      <c r="O468" s="29"/>
      <c r="P468" s="29"/>
      <c r="Q468" s="29"/>
      <c r="R468" s="29"/>
      <c r="S468" s="29"/>
      <c r="T468" s="29"/>
      <c r="U468" s="29"/>
      <c r="V468" s="29"/>
      <c r="W468" s="29"/>
      <c r="X468" s="29"/>
    </row>
    <row r="469" spans="1:24" ht="15">
      <c r="A469" s="29"/>
      <c r="B469" s="29"/>
      <c r="C469" s="29"/>
      <c r="D469" s="33"/>
      <c r="E469" s="33"/>
      <c r="G469" s="29"/>
      <c r="H469" s="29"/>
      <c r="I469" s="29"/>
      <c r="J469" s="29"/>
      <c r="K469" s="29"/>
      <c r="L469" s="29"/>
      <c r="M469" s="29"/>
      <c r="N469" s="29"/>
      <c r="O469" s="29"/>
      <c r="P469" s="29"/>
      <c r="Q469" s="29"/>
      <c r="R469" s="29"/>
      <c r="S469" s="29"/>
      <c r="T469" s="29"/>
      <c r="U469" s="29"/>
      <c r="V469" s="29"/>
      <c r="W469" s="29"/>
      <c r="X469" s="29"/>
    </row>
    <row r="470" spans="1:24" ht="15">
      <c r="A470" s="29"/>
      <c r="B470" s="29"/>
      <c r="C470" s="29"/>
      <c r="D470" s="33"/>
      <c r="E470" s="33"/>
      <c r="G470" s="29"/>
      <c r="H470" s="29"/>
      <c r="I470" s="29"/>
      <c r="J470" s="29"/>
      <c r="K470" s="29"/>
      <c r="L470" s="29"/>
      <c r="M470" s="29"/>
      <c r="N470" s="29"/>
      <c r="O470" s="29"/>
      <c r="P470" s="29"/>
      <c r="Q470" s="29"/>
      <c r="R470" s="29"/>
      <c r="S470" s="29"/>
      <c r="T470" s="29"/>
      <c r="U470" s="29"/>
      <c r="V470" s="29"/>
      <c r="W470" s="29"/>
      <c r="X470" s="29"/>
    </row>
    <row r="471" spans="1:24" ht="15">
      <c r="A471" s="29"/>
      <c r="B471" s="29"/>
      <c r="C471" s="29"/>
      <c r="D471" s="33"/>
      <c r="E471" s="33"/>
      <c r="G471" s="29"/>
      <c r="H471" s="29"/>
      <c r="I471" s="29"/>
      <c r="J471" s="29"/>
      <c r="K471" s="29"/>
      <c r="L471" s="29"/>
      <c r="M471" s="29"/>
      <c r="N471" s="29"/>
      <c r="O471" s="29"/>
      <c r="P471" s="29"/>
      <c r="Q471" s="29"/>
      <c r="R471" s="29"/>
      <c r="S471" s="29"/>
      <c r="T471" s="29"/>
      <c r="U471" s="29"/>
      <c r="V471" s="29"/>
      <c r="W471" s="29"/>
      <c r="X471" s="29"/>
    </row>
    <row r="472" spans="1:24" ht="15">
      <c r="A472" s="29"/>
      <c r="B472" s="29"/>
      <c r="C472" s="29"/>
      <c r="D472" s="33"/>
      <c r="E472" s="33"/>
      <c r="G472" s="29"/>
      <c r="H472" s="29"/>
      <c r="I472" s="29"/>
      <c r="J472" s="29"/>
      <c r="K472" s="29"/>
      <c r="L472" s="29"/>
      <c r="M472" s="29"/>
      <c r="N472" s="29"/>
      <c r="O472" s="29"/>
      <c r="P472" s="29"/>
      <c r="Q472" s="29"/>
      <c r="R472" s="29"/>
      <c r="S472" s="29"/>
      <c r="T472" s="29"/>
      <c r="U472" s="29"/>
      <c r="V472" s="29"/>
      <c r="W472" s="29"/>
      <c r="X472" s="29"/>
    </row>
    <row r="473" spans="1:24" ht="15">
      <c r="A473" s="29"/>
      <c r="B473" s="29"/>
      <c r="C473" s="29"/>
      <c r="D473" s="33"/>
      <c r="E473" s="33"/>
      <c r="G473" s="29"/>
      <c r="H473" s="29"/>
      <c r="I473" s="29"/>
      <c r="J473" s="29"/>
      <c r="K473" s="29"/>
      <c r="L473" s="29"/>
      <c r="M473" s="29"/>
      <c r="N473" s="29"/>
      <c r="O473" s="29"/>
      <c r="P473" s="29"/>
      <c r="Q473" s="29"/>
      <c r="R473" s="29"/>
      <c r="S473" s="29"/>
      <c r="T473" s="29"/>
      <c r="U473" s="29"/>
      <c r="V473" s="29"/>
      <c r="W473" s="29"/>
      <c r="X473" s="29"/>
    </row>
    <row r="474" spans="1:24" ht="15">
      <c r="A474" s="29"/>
      <c r="B474" s="29"/>
      <c r="C474" s="29"/>
      <c r="D474" s="33"/>
      <c r="E474" s="33"/>
      <c r="G474" s="29"/>
      <c r="H474" s="29"/>
      <c r="I474" s="29"/>
      <c r="J474" s="29"/>
      <c r="K474" s="29"/>
      <c r="L474" s="29"/>
      <c r="M474" s="29"/>
      <c r="N474" s="29"/>
      <c r="O474" s="29"/>
      <c r="P474" s="29"/>
      <c r="Q474" s="29"/>
      <c r="R474" s="29"/>
      <c r="S474" s="29"/>
      <c r="T474" s="29"/>
      <c r="U474" s="29"/>
      <c r="V474" s="29"/>
      <c r="W474" s="29"/>
      <c r="X474" s="29"/>
    </row>
    <row r="475" spans="1:24" ht="15">
      <c r="A475" s="29"/>
      <c r="B475" s="29"/>
      <c r="C475" s="29"/>
      <c r="D475" s="33"/>
      <c r="E475" s="33"/>
      <c r="G475" s="29"/>
      <c r="H475" s="29"/>
      <c r="I475" s="29"/>
      <c r="J475" s="29"/>
      <c r="K475" s="29"/>
      <c r="L475" s="29"/>
      <c r="M475" s="29"/>
      <c r="N475" s="29"/>
      <c r="O475" s="29"/>
      <c r="P475" s="29"/>
      <c r="Q475" s="29"/>
      <c r="R475" s="29"/>
      <c r="S475" s="29"/>
      <c r="T475" s="29"/>
      <c r="U475" s="29"/>
      <c r="V475" s="29"/>
      <c r="W475" s="29"/>
      <c r="X475" s="29"/>
    </row>
    <row r="476" spans="1:24" ht="15">
      <c r="A476" s="29"/>
      <c r="B476" s="29"/>
      <c r="C476" s="29"/>
      <c r="D476" s="33"/>
      <c r="E476" s="33"/>
      <c r="G476" s="29"/>
      <c r="H476" s="29"/>
      <c r="I476" s="29"/>
      <c r="J476" s="29"/>
      <c r="K476" s="29"/>
      <c r="L476" s="29"/>
      <c r="M476" s="29"/>
      <c r="N476" s="29"/>
      <c r="O476" s="29"/>
      <c r="P476" s="29"/>
      <c r="Q476" s="29"/>
      <c r="R476" s="29"/>
      <c r="S476" s="29"/>
      <c r="T476" s="29"/>
      <c r="U476" s="29"/>
      <c r="V476" s="29"/>
      <c r="W476" s="29"/>
      <c r="X476" s="29"/>
    </row>
    <row r="477" spans="1:24" ht="15">
      <c r="A477" s="29"/>
      <c r="B477" s="29"/>
      <c r="C477" s="29"/>
      <c r="D477" s="33"/>
      <c r="E477" s="33"/>
      <c r="G477" s="29"/>
      <c r="H477" s="29"/>
      <c r="I477" s="29"/>
      <c r="J477" s="29"/>
      <c r="K477" s="29"/>
      <c r="L477" s="29"/>
      <c r="M477" s="29"/>
      <c r="N477" s="29"/>
      <c r="O477" s="29"/>
      <c r="P477" s="29"/>
      <c r="Q477" s="29"/>
      <c r="R477" s="29"/>
      <c r="S477" s="29"/>
      <c r="T477" s="29"/>
      <c r="U477" s="29"/>
      <c r="V477" s="29"/>
      <c r="W477" s="29"/>
      <c r="X477" s="29"/>
    </row>
    <row r="478" spans="1:24" ht="15">
      <c r="A478" s="29"/>
      <c r="B478" s="29"/>
      <c r="C478" s="29"/>
      <c r="D478" s="33"/>
      <c r="E478" s="33"/>
      <c r="G478" s="29"/>
      <c r="H478" s="29"/>
      <c r="I478" s="29"/>
      <c r="J478" s="29"/>
      <c r="K478" s="29"/>
      <c r="L478" s="29"/>
      <c r="M478" s="29"/>
      <c r="N478" s="29"/>
      <c r="O478" s="29"/>
      <c r="P478" s="29"/>
      <c r="Q478" s="29"/>
      <c r="R478" s="29"/>
      <c r="S478" s="29"/>
      <c r="T478" s="29"/>
      <c r="U478" s="29"/>
      <c r="V478" s="29"/>
      <c r="W478" s="29"/>
      <c r="X478" s="29"/>
    </row>
    <row r="479" spans="1:24" ht="15">
      <c r="A479" s="29"/>
      <c r="B479" s="29"/>
      <c r="C479" s="29"/>
      <c r="D479" s="33"/>
      <c r="E479" s="33"/>
      <c r="G479" s="29"/>
      <c r="H479" s="29"/>
      <c r="I479" s="29"/>
      <c r="J479" s="29"/>
      <c r="K479" s="29"/>
      <c r="L479" s="29"/>
      <c r="M479" s="29"/>
      <c r="N479" s="29"/>
      <c r="O479" s="29"/>
      <c r="P479" s="29"/>
      <c r="Q479" s="29"/>
      <c r="R479" s="29"/>
      <c r="S479" s="29"/>
      <c r="T479" s="29"/>
      <c r="U479" s="29"/>
      <c r="V479" s="29"/>
      <c r="W479" s="29"/>
      <c r="X479" s="29"/>
    </row>
    <row r="480" spans="1:24" ht="15">
      <c r="A480" s="29"/>
      <c r="B480" s="29"/>
      <c r="C480" s="29"/>
      <c r="D480" s="33"/>
      <c r="E480" s="33"/>
      <c r="G480" s="29"/>
      <c r="H480" s="29"/>
      <c r="I480" s="29"/>
      <c r="J480" s="29"/>
      <c r="K480" s="29"/>
      <c r="L480" s="29"/>
      <c r="M480" s="29"/>
      <c r="N480" s="29"/>
      <c r="O480" s="29"/>
      <c r="P480" s="29"/>
      <c r="Q480" s="29"/>
      <c r="R480" s="29"/>
      <c r="S480" s="29"/>
      <c r="T480" s="29"/>
      <c r="U480" s="29"/>
      <c r="V480" s="29"/>
      <c r="W480" s="29"/>
      <c r="X480" s="29"/>
    </row>
    <row r="481" spans="1:24" ht="15">
      <c r="A481" s="29"/>
      <c r="B481" s="29"/>
      <c r="C481" s="29"/>
      <c r="D481" s="33"/>
      <c r="E481" s="33"/>
      <c r="G481" s="29"/>
      <c r="H481" s="29"/>
      <c r="I481" s="29"/>
      <c r="J481" s="29"/>
      <c r="K481" s="29"/>
      <c r="L481" s="29"/>
      <c r="M481" s="29"/>
      <c r="N481" s="29"/>
      <c r="O481" s="29"/>
      <c r="P481" s="29"/>
      <c r="Q481" s="29"/>
      <c r="R481" s="29"/>
      <c r="S481" s="29"/>
      <c r="T481" s="29"/>
      <c r="U481" s="29"/>
      <c r="V481" s="29"/>
      <c r="W481" s="29"/>
      <c r="X481" s="29"/>
    </row>
    <row r="482" spans="1:24" ht="15">
      <c r="A482" s="29"/>
      <c r="B482" s="29"/>
      <c r="C482" s="29"/>
      <c r="D482" s="33"/>
      <c r="E482" s="33"/>
      <c r="G482" s="29"/>
      <c r="H482" s="29"/>
      <c r="I482" s="29"/>
      <c r="J482" s="29"/>
      <c r="K482" s="29"/>
      <c r="L482" s="29"/>
      <c r="M482" s="29"/>
      <c r="N482" s="29"/>
      <c r="O482" s="29"/>
      <c r="P482" s="29"/>
      <c r="Q482" s="29"/>
      <c r="R482" s="29"/>
      <c r="S482" s="29"/>
      <c r="T482" s="29"/>
      <c r="U482" s="29"/>
      <c r="V482" s="29"/>
      <c r="W482" s="29"/>
      <c r="X482" s="29"/>
    </row>
    <row r="483" spans="1:24" ht="15">
      <c r="A483" s="29"/>
      <c r="B483" s="29"/>
      <c r="C483" s="29"/>
      <c r="D483" s="33"/>
      <c r="E483" s="33"/>
      <c r="G483" s="29"/>
      <c r="H483" s="29"/>
      <c r="I483" s="29"/>
      <c r="J483" s="29"/>
      <c r="K483" s="29"/>
      <c r="L483" s="29"/>
      <c r="M483" s="29"/>
      <c r="N483" s="29"/>
      <c r="O483" s="29"/>
      <c r="P483" s="29"/>
      <c r="Q483" s="29"/>
      <c r="R483" s="29"/>
      <c r="S483" s="29"/>
      <c r="T483" s="29"/>
      <c r="U483" s="29"/>
      <c r="V483" s="29"/>
      <c r="W483" s="29"/>
      <c r="X483" s="29"/>
    </row>
    <row r="484" spans="1:24" ht="15">
      <c r="A484" s="29"/>
      <c r="B484" s="29"/>
      <c r="C484" s="29"/>
      <c r="D484" s="33"/>
      <c r="E484" s="33"/>
      <c r="G484" s="29"/>
      <c r="H484" s="29"/>
      <c r="I484" s="29"/>
      <c r="J484" s="29"/>
      <c r="K484" s="29"/>
      <c r="L484" s="29"/>
      <c r="M484" s="29"/>
      <c r="N484" s="29"/>
      <c r="O484" s="29"/>
      <c r="P484" s="29"/>
      <c r="Q484" s="29"/>
      <c r="R484" s="29"/>
      <c r="S484" s="29"/>
      <c r="T484" s="29"/>
      <c r="U484" s="29"/>
      <c r="V484" s="29"/>
      <c r="W484" s="29"/>
      <c r="X484" s="29"/>
    </row>
    <row r="485" spans="1:24" ht="15">
      <c r="A485" s="29"/>
      <c r="B485" s="29"/>
      <c r="C485" s="29"/>
      <c r="D485" s="33"/>
      <c r="E485" s="33"/>
      <c r="G485" s="29"/>
      <c r="H485" s="29"/>
      <c r="I485" s="29"/>
      <c r="J485" s="29"/>
      <c r="K485" s="29"/>
      <c r="L485" s="29"/>
      <c r="M485" s="29"/>
      <c r="N485" s="29"/>
      <c r="O485" s="29"/>
      <c r="P485" s="29"/>
      <c r="Q485" s="29"/>
      <c r="R485" s="29"/>
      <c r="S485" s="29"/>
      <c r="T485" s="29"/>
      <c r="U485" s="29"/>
      <c r="V485" s="29"/>
      <c r="W485" s="29"/>
      <c r="X485" s="29"/>
    </row>
    <row r="486" spans="1:24" ht="15">
      <c r="A486" s="29"/>
      <c r="B486" s="29"/>
      <c r="C486" s="29"/>
      <c r="D486" s="33"/>
      <c r="E486" s="33"/>
      <c r="G486" s="29"/>
      <c r="H486" s="29"/>
      <c r="I486" s="29"/>
      <c r="J486" s="29"/>
      <c r="K486" s="29"/>
      <c r="L486" s="29"/>
      <c r="M486" s="29"/>
      <c r="N486" s="29"/>
      <c r="O486" s="29"/>
      <c r="P486" s="29"/>
      <c r="Q486" s="29"/>
      <c r="R486" s="29"/>
      <c r="S486" s="29"/>
      <c r="T486" s="29"/>
      <c r="U486" s="29"/>
      <c r="V486" s="29"/>
      <c r="W486" s="29"/>
      <c r="X486" s="29"/>
    </row>
    <row r="487" spans="1:24" ht="15">
      <c r="A487" s="29"/>
      <c r="B487" s="29"/>
      <c r="C487" s="29"/>
      <c r="D487" s="33"/>
      <c r="E487" s="33"/>
      <c r="G487" s="29"/>
      <c r="H487" s="29"/>
      <c r="I487" s="29"/>
      <c r="J487" s="29"/>
      <c r="K487" s="29"/>
      <c r="L487" s="29"/>
      <c r="M487" s="29"/>
      <c r="N487" s="29"/>
      <c r="O487" s="29"/>
      <c r="P487" s="29"/>
      <c r="Q487" s="29"/>
      <c r="R487" s="29"/>
      <c r="S487" s="29"/>
      <c r="T487" s="29"/>
      <c r="U487" s="29"/>
      <c r="V487" s="29"/>
      <c r="W487" s="29"/>
      <c r="X487" s="29"/>
    </row>
    <row r="488" spans="1:24" ht="15">
      <c r="A488" s="29"/>
      <c r="B488" s="29"/>
      <c r="C488" s="29"/>
      <c r="D488" s="33"/>
      <c r="E488" s="33"/>
      <c r="G488" s="29"/>
      <c r="H488" s="29"/>
      <c r="I488" s="29"/>
      <c r="J488" s="29"/>
      <c r="K488" s="29"/>
      <c r="L488" s="29"/>
      <c r="M488" s="29"/>
      <c r="N488" s="29"/>
      <c r="O488" s="29"/>
      <c r="P488" s="29"/>
      <c r="Q488" s="29"/>
      <c r="R488" s="29"/>
      <c r="S488" s="29"/>
      <c r="T488" s="29"/>
      <c r="U488" s="29"/>
      <c r="V488" s="29"/>
      <c r="W488" s="29"/>
      <c r="X488" s="29"/>
    </row>
    <row r="489" spans="1:24" ht="15">
      <c r="A489" s="29"/>
      <c r="B489" s="29"/>
      <c r="C489" s="29"/>
      <c r="D489" s="33"/>
      <c r="E489" s="33"/>
      <c r="G489" s="29"/>
      <c r="H489" s="29"/>
      <c r="I489" s="29"/>
      <c r="J489" s="29"/>
      <c r="K489" s="29"/>
      <c r="L489" s="29"/>
      <c r="M489" s="29"/>
      <c r="N489" s="29"/>
      <c r="O489" s="29"/>
      <c r="P489" s="29"/>
      <c r="Q489" s="29"/>
      <c r="R489" s="29"/>
      <c r="S489" s="29"/>
      <c r="T489" s="29"/>
      <c r="U489" s="29"/>
      <c r="V489" s="29"/>
      <c r="W489" s="29"/>
      <c r="X489" s="29"/>
    </row>
    <row r="490" spans="1:24" ht="15">
      <c r="A490" s="29"/>
      <c r="B490" s="29"/>
      <c r="C490" s="29"/>
      <c r="D490" s="33"/>
      <c r="E490" s="33"/>
      <c r="G490" s="29"/>
      <c r="H490" s="29"/>
      <c r="I490" s="29"/>
      <c r="J490" s="29"/>
      <c r="K490" s="29"/>
      <c r="L490" s="29"/>
      <c r="M490" s="29"/>
      <c r="N490" s="29"/>
      <c r="O490" s="29"/>
      <c r="P490" s="29"/>
      <c r="Q490" s="29"/>
      <c r="R490" s="29"/>
      <c r="S490" s="29"/>
      <c r="T490" s="29"/>
      <c r="U490" s="29"/>
      <c r="V490" s="29"/>
      <c r="W490" s="29"/>
      <c r="X490" s="29"/>
    </row>
    <row r="491" spans="1:24" ht="15">
      <c r="A491" s="29"/>
      <c r="B491" s="29"/>
      <c r="C491" s="29"/>
      <c r="D491" s="33"/>
      <c r="E491" s="33"/>
      <c r="G491" s="29"/>
      <c r="H491" s="29"/>
      <c r="I491" s="29"/>
      <c r="J491" s="29"/>
      <c r="K491" s="29"/>
      <c r="L491" s="29"/>
      <c r="M491" s="29"/>
      <c r="N491" s="29"/>
      <c r="O491" s="29"/>
      <c r="P491" s="29"/>
      <c r="Q491" s="29"/>
      <c r="R491" s="29"/>
      <c r="S491" s="29"/>
      <c r="T491" s="29"/>
      <c r="U491" s="29"/>
      <c r="V491" s="29"/>
      <c r="W491" s="29"/>
      <c r="X491" s="29"/>
    </row>
    <row r="492" spans="1:24" ht="15">
      <c r="A492" s="29"/>
      <c r="B492" s="29"/>
      <c r="C492" s="29"/>
      <c r="D492" s="33"/>
      <c r="E492" s="33"/>
      <c r="G492" s="29"/>
      <c r="H492" s="29"/>
      <c r="I492" s="29"/>
      <c r="J492" s="29"/>
      <c r="K492" s="29"/>
      <c r="L492" s="29"/>
      <c r="M492" s="29"/>
      <c r="N492" s="29"/>
      <c r="O492" s="29"/>
      <c r="P492" s="29"/>
      <c r="Q492" s="29"/>
      <c r="R492" s="29"/>
      <c r="S492" s="29"/>
      <c r="T492" s="29"/>
      <c r="U492" s="29"/>
      <c r="V492" s="29"/>
      <c r="W492" s="29"/>
      <c r="X492" s="29"/>
    </row>
    <row r="493" spans="1:24" ht="15">
      <c r="A493" s="29"/>
      <c r="B493" s="29"/>
      <c r="C493" s="29"/>
      <c r="D493" s="33"/>
      <c r="E493" s="33"/>
      <c r="G493" s="29"/>
      <c r="H493" s="29"/>
      <c r="I493" s="29"/>
      <c r="J493" s="29"/>
      <c r="K493" s="29"/>
      <c r="L493" s="29"/>
      <c r="M493" s="29"/>
      <c r="N493" s="29"/>
      <c r="O493" s="29"/>
      <c r="P493" s="29"/>
      <c r="Q493" s="29"/>
      <c r="R493" s="29"/>
      <c r="S493" s="29"/>
      <c r="T493" s="29"/>
      <c r="U493" s="29"/>
      <c r="V493" s="29"/>
      <c r="W493" s="29"/>
      <c r="X493" s="29"/>
    </row>
    <row r="494" spans="1:24" ht="15">
      <c r="A494" s="29"/>
      <c r="B494" s="29"/>
      <c r="C494" s="29"/>
      <c r="D494" s="33"/>
      <c r="E494" s="33"/>
      <c r="G494" s="29"/>
      <c r="H494" s="29"/>
      <c r="I494" s="29"/>
      <c r="J494" s="29"/>
      <c r="K494" s="29"/>
      <c r="L494" s="29"/>
      <c r="M494" s="29"/>
      <c r="N494" s="29"/>
      <c r="O494" s="29"/>
      <c r="P494" s="29"/>
      <c r="Q494" s="29"/>
      <c r="R494" s="29"/>
      <c r="S494" s="29"/>
      <c r="T494" s="29"/>
      <c r="U494" s="29"/>
      <c r="V494" s="29"/>
      <c r="W494" s="29"/>
      <c r="X494" s="29"/>
    </row>
    <row r="495" spans="1:24" ht="15">
      <c r="A495" s="29"/>
      <c r="B495" s="29"/>
      <c r="C495" s="29"/>
      <c r="D495" s="33"/>
      <c r="E495" s="33"/>
      <c r="G495" s="29"/>
      <c r="H495" s="29"/>
      <c r="I495" s="29"/>
      <c r="J495" s="29"/>
      <c r="K495" s="29"/>
      <c r="L495" s="29"/>
      <c r="M495" s="29"/>
      <c r="N495" s="29"/>
      <c r="O495" s="29"/>
      <c r="P495" s="29"/>
      <c r="Q495" s="29"/>
      <c r="R495" s="29"/>
      <c r="S495" s="29"/>
      <c r="T495" s="29"/>
      <c r="U495" s="29"/>
      <c r="V495" s="29"/>
      <c r="W495" s="29"/>
      <c r="X495" s="29"/>
    </row>
    <row r="496" spans="1:24" ht="15">
      <c r="A496" s="29"/>
      <c r="B496" s="29"/>
      <c r="C496" s="29"/>
      <c r="D496" s="33"/>
      <c r="E496" s="33"/>
      <c r="G496" s="29"/>
      <c r="H496" s="29"/>
      <c r="I496" s="29"/>
      <c r="J496" s="29"/>
      <c r="K496" s="29"/>
      <c r="L496" s="29"/>
      <c r="M496" s="29"/>
      <c r="N496" s="29"/>
      <c r="O496" s="29"/>
      <c r="P496" s="29"/>
      <c r="Q496" s="29"/>
      <c r="R496" s="29"/>
      <c r="S496" s="29"/>
      <c r="T496" s="29"/>
      <c r="U496" s="29"/>
      <c r="V496" s="29"/>
      <c r="W496" s="29"/>
      <c r="X496" s="29"/>
    </row>
    <row r="497" spans="1:24" ht="15">
      <c r="A497" s="29"/>
      <c r="B497" s="29"/>
      <c r="C497" s="29"/>
      <c r="D497" s="33"/>
      <c r="E497" s="33"/>
      <c r="G497" s="29"/>
      <c r="H497" s="29"/>
      <c r="I497" s="29"/>
      <c r="J497" s="29"/>
      <c r="K497" s="29"/>
      <c r="L497" s="29"/>
      <c r="M497" s="29"/>
      <c r="N497" s="29"/>
      <c r="O497" s="29"/>
      <c r="P497" s="29"/>
      <c r="Q497" s="29"/>
      <c r="R497" s="29"/>
      <c r="S497" s="29"/>
      <c r="T497" s="29"/>
      <c r="U497" s="29"/>
      <c r="V497" s="29"/>
      <c r="W497" s="29"/>
      <c r="X497" s="29"/>
    </row>
    <row r="498" spans="1:24" ht="15">
      <c r="A498" s="29"/>
      <c r="B498" s="29"/>
      <c r="C498" s="29"/>
      <c r="D498" s="33"/>
      <c r="E498" s="33"/>
      <c r="G498" s="29"/>
      <c r="H498" s="29"/>
      <c r="I498" s="29"/>
      <c r="J498" s="29"/>
      <c r="K498" s="29"/>
      <c r="L498" s="29"/>
      <c r="M498" s="29"/>
      <c r="N498" s="29"/>
      <c r="O498" s="29"/>
      <c r="P498" s="29"/>
      <c r="Q498" s="29"/>
      <c r="R498" s="29"/>
      <c r="S498" s="29"/>
      <c r="T498" s="29"/>
      <c r="U498" s="29"/>
      <c r="V498" s="29"/>
      <c r="W498" s="29"/>
      <c r="X498" s="29"/>
    </row>
    <row r="499" spans="1:24" ht="15">
      <c r="A499" s="29"/>
      <c r="B499" s="29"/>
      <c r="C499" s="29"/>
      <c r="D499" s="33"/>
      <c r="E499" s="33"/>
      <c r="G499" s="29"/>
      <c r="H499" s="29"/>
      <c r="I499" s="29"/>
      <c r="J499" s="29"/>
      <c r="K499" s="29"/>
      <c r="L499" s="29"/>
      <c r="M499" s="29"/>
      <c r="N499" s="29"/>
      <c r="O499" s="29"/>
      <c r="P499" s="29"/>
      <c r="Q499" s="29"/>
      <c r="R499" s="29"/>
      <c r="S499" s="29"/>
      <c r="T499" s="29"/>
      <c r="U499" s="29"/>
      <c r="V499" s="29"/>
      <c r="W499" s="29"/>
      <c r="X499" s="29"/>
    </row>
    <row r="500" spans="1:24" ht="15">
      <c r="A500" s="29"/>
      <c r="B500" s="29"/>
      <c r="C500" s="29"/>
      <c r="D500" s="33"/>
      <c r="E500" s="33"/>
      <c r="G500" s="29"/>
      <c r="H500" s="29"/>
      <c r="I500" s="29"/>
      <c r="J500" s="29"/>
      <c r="K500" s="29"/>
      <c r="L500" s="29"/>
      <c r="M500" s="29"/>
      <c r="N500" s="29"/>
      <c r="O500" s="29"/>
      <c r="P500" s="29"/>
      <c r="Q500" s="29"/>
      <c r="R500" s="29"/>
      <c r="S500" s="29"/>
      <c r="T500" s="29"/>
      <c r="U500" s="29"/>
      <c r="V500" s="29"/>
      <c r="W500" s="29"/>
      <c r="X500" s="29"/>
    </row>
    <row r="501" spans="1:24" ht="15">
      <c r="A501" s="29"/>
      <c r="B501" s="29"/>
      <c r="C501" s="29"/>
      <c r="D501" s="33"/>
      <c r="E501" s="33"/>
      <c r="G501" s="29"/>
      <c r="H501" s="29"/>
      <c r="I501" s="29"/>
      <c r="J501" s="29"/>
      <c r="K501" s="29"/>
      <c r="L501" s="29"/>
      <c r="M501" s="29"/>
      <c r="N501" s="29"/>
      <c r="O501" s="29"/>
      <c r="P501" s="29"/>
      <c r="Q501" s="29"/>
      <c r="R501" s="29"/>
      <c r="S501" s="29"/>
      <c r="T501" s="29"/>
      <c r="U501" s="29"/>
      <c r="V501" s="29"/>
      <c r="W501" s="29"/>
      <c r="X501" s="29"/>
    </row>
    <row r="502" spans="1:24" ht="15">
      <c r="A502" s="29"/>
      <c r="B502" s="29"/>
      <c r="C502" s="29"/>
      <c r="D502" s="33"/>
      <c r="E502" s="33"/>
      <c r="G502" s="29"/>
      <c r="H502" s="29"/>
      <c r="I502" s="29"/>
      <c r="J502" s="29"/>
      <c r="K502" s="29"/>
      <c r="L502" s="29"/>
      <c r="M502" s="29"/>
      <c r="N502" s="29"/>
      <c r="O502" s="29"/>
      <c r="P502" s="29"/>
      <c r="Q502" s="29"/>
      <c r="R502" s="29"/>
      <c r="S502" s="29"/>
      <c r="T502" s="29"/>
      <c r="U502" s="29"/>
      <c r="V502" s="29"/>
      <c r="W502" s="29"/>
      <c r="X502" s="29"/>
    </row>
    <row r="503" spans="1:24" ht="15">
      <c r="A503" s="29"/>
      <c r="B503" s="29"/>
      <c r="C503" s="29"/>
      <c r="D503" s="33"/>
      <c r="E503" s="33"/>
      <c r="G503" s="29"/>
      <c r="H503" s="29"/>
      <c r="I503" s="29"/>
      <c r="J503" s="29"/>
      <c r="K503" s="29"/>
      <c r="L503" s="29"/>
      <c r="M503" s="29"/>
      <c r="N503" s="29"/>
      <c r="O503" s="29"/>
      <c r="P503" s="29"/>
      <c r="Q503" s="29"/>
      <c r="R503" s="29"/>
      <c r="S503" s="29"/>
      <c r="T503" s="29"/>
      <c r="U503" s="29"/>
      <c r="V503" s="29"/>
      <c r="W503" s="29"/>
      <c r="X503" s="29"/>
    </row>
    <row r="504" spans="1:24" ht="15">
      <c r="A504" s="29"/>
      <c r="B504" s="29"/>
      <c r="C504" s="29"/>
      <c r="D504" s="33"/>
      <c r="E504" s="33"/>
      <c r="G504" s="29"/>
      <c r="H504" s="29"/>
      <c r="I504" s="29"/>
      <c r="J504" s="29"/>
      <c r="K504" s="29"/>
      <c r="L504" s="29"/>
      <c r="M504" s="29"/>
      <c r="N504" s="29"/>
      <c r="O504" s="29"/>
      <c r="P504" s="29"/>
      <c r="Q504" s="29"/>
      <c r="R504" s="29"/>
      <c r="S504" s="29"/>
      <c r="T504" s="29"/>
      <c r="U504" s="29"/>
      <c r="V504" s="29"/>
      <c r="W504" s="29"/>
      <c r="X504" s="29"/>
    </row>
    <row r="505" spans="1:24" ht="15">
      <c r="A505" s="29"/>
      <c r="B505" s="29"/>
      <c r="C505" s="29"/>
      <c r="D505" s="33"/>
      <c r="E505" s="33"/>
      <c r="G505" s="29"/>
      <c r="H505" s="29"/>
      <c r="I505" s="29"/>
      <c r="J505" s="29"/>
      <c r="K505" s="29"/>
      <c r="L505" s="29"/>
      <c r="M505" s="29"/>
      <c r="N505" s="29"/>
      <c r="O505" s="29"/>
      <c r="P505" s="29"/>
      <c r="Q505" s="29"/>
      <c r="R505" s="29"/>
      <c r="S505" s="29"/>
      <c r="T505" s="29"/>
      <c r="U505" s="29"/>
      <c r="V505" s="29"/>
      <c r="W505" s="29"/>
      <c r="X505" s="29"/>
    </row>
    <row r="506" spans="1:24" ht="15">
      <c r="A506" s="29"/>
      <c r="B506" s="29"/>
      <c r="C506" s="29"/>
      <c r="D506" s="33"/>
      <c r="E506" s="33"/>
      <c r="G506" s="29"/>
      <c r="H506" s="29"/>
      <c r="I506" s="29"/>
      <c r="J506" s="29"/>
      <c r="K506" s="29"/>
      <c r="L506" s="29"/>
      <c r="M506" s="29"/>
      <c r="N506" s="29"/>
      <c r="O506" s="29"/>
      <c r="P506" s="29"/>
      <c r="Q506" s="29"/>
      <c r="R506" s="29"/>
      <c r="S506" s="29"/>
      <c r="T506" s="29"/>
      <c r="U506" s="29"/>
      <c r="V506" s="29"/>
      <c r="W506" s="29"/>
      <c r="X506" s="29"/>
    </row>
    <row r="507" spans="1:24" ht="15">
      <c r="A507" s="29"/>
      <c r="B507" s="29"/>
      <c r="C507" s="29"/>
      <c r="D507" s="33"/>
      <c r="E507" s="33"/>
      <c r="G507" s="29"/>
      <c r="H507" s="29"/>
      <c r="I507" s="29"/>
      <c r="J507" s="29"/>
      <c r="K507" s="29"/>
      <c r="L507" s="29"/>
      <c r="M507" s="29"/>
      <c r="N507" s="29"/>
      <c r="O507" s="29"/>
      <c r="P507" s="29"/>
      <c r="Q507" s="29"/>
      <c r="R507" s="29"/>
      <c r="S507" s="29"/>
      <c r="T507" s="29"/>
      <c r="U507" s="29"/>
      <c r="V507" s="29"/>
      <c r="W507" s="29"/>
      <c r="X507" s="29"/>
    </row>
    <row r="508" spans="1:24" ht="15">
      <c r="A508" s="29"/>
      <c r="B508" s="29"/>
      <c r="C508" s="29"/>
      <c r="D508" s="33"/>
      <c r="E508" s="33"/>
      <c r="G508" s="29"/>
      <c r="H508" s="29"/>
      <c r="I508" s="29"/>
      <c r="J508" s="29"/>
      <c r="K508" s="29"/>
      <c r="L508" s="29"/>
      <c r="M508" s="29"/>
      <c r="N508" s="29"/>
      <c r="O508" s="29"/>
      <c r="P508" s="29"/>
      <c r="Q508" s="29"/>
      <c r="R508" s="29"/>
      <c r="S508" s="29"/>
      <c r="T508" s="29"/>
      <c r="U508" s="29"/>
      <c r="V508" s="29"/>
      <c r="W508" s="29"/>
      <c r="X508" s="29"/>
    </row>
    <row r="509" spans="1:24" ht="15">
      <c r="A509" s="29"/>
      <c r="B509" s="29"/>
      <c r="C509" s="29"/>
      <c r="D509" s="33"/>
      <c r="E509" s="33"/>
      <c r="G509" s="29"/>
      <c r="H509" s="29"/>
      <c r="I509" s="29"/>
      <c r="J509" s="29"/>
      <c r="K509" s="29"/>
      <c r="L509" s="29"/>
      <c r="M509" s="29"/>
      <c r="N509" s="29"/>
      <c r="O509" s="29"/>
      <c r="P509" s="29"/>
      <c r="Q509" s="29"/>
      <c r="R509" s="29"/>
      <c r="S509" s="29"/>
      <c r="T509" s="29"/>
      <c r="U509" s="29"/>
      <c r="V509" s="29"/>
      <c r="W509" s="29"/>
      <c r="X509" s="29"/>
    </row>
    <row r="510" spans="1:24" ht="15">
      <c r="A510" s="29"/>
      <c r="B510" s="29"/>
      <c r="C510" s="29"/>
      <c r="D510" s="33"/>
      <c r="E510" s="33"/>
      <c r="G510" s="29"/>
      <c r="H510" s="29"/>
      <c r="I510" s="29"/>
      <c r="J510" s="29"/>
      <c r="K510" s="29"/>
      <c r="L510" s="29"/>
      <c r="M510" s="29"/>
      <c r="N510" s="29"/>
      <c r="O510" s="29"/>
      <c r="P510" s="29"/>
      <c r="Q510" s="29"/>
      <c r="R510" s="29"/>
      <c r="S510" s="29"/>
      <c r="T510" s="29"/>
      <c r="U510" s="29"/>
      <c r="V510" s="29"/>
      <c r="W510" s="29"/>
      <c r="X510" s="29"/>
    </row>
    <row r="511" spans="1:24" ht="15">
      <c r="A511" s="29"/>
      <c r="B511" s="29"/>
      <c r="C511" s="29"/>
      <c r="D511" s="33"/>
      <c r="E511" s="33"/>
      <c r="G511" s="29"/>
      <c r="H511" s="29"/>
      <c r="I511" s="29"/>
      <c r="J511" s="29"/>
      <c r="K511" s="29"/>
      <c r="L511" s="29"/>
      <c r="M511" s="29"/>
      <c r="N511" s="29"/>
      <c r="O511" s="29"/>
      <c r="P511" s="29"/>
      <c r="Q511" s="29"/>
      <c r="R511" s="29"/>
      <c r="S511" s="29"/>
      <c r="T511" s="29"/>
      <c r="U511" s="29"/>
      <c r="V511" s="29"/>
      <c r="W511" s="29"/>
      <c r="X511" s="29"/>
    </row>
    <row r="512" spans="1:24" ht="15">
      <c r="A512" s="29"/>
      <c r="B512" s="29"/>
      <c r="C512" s="29"/>
      <c r="D512" s="33"/>
      <c r="E512" s="33"/>
      <c r="G512" s="29"/>
      <c r="H512" s="29"/>
      <c r="I512" s="29"/>
      <c r="J512" s="29"/>
      <c r="K512" s="29"/>
      <c r="L512" s="29"/>
      <c r="M512" s="29"/>
      <c r="N512" s="29"/>
      <c r="O512" s="29"/>
      <c r="P512" s="29"/>
      <c r="Q512" s="29"/>
      <c r="R512" s="29"/>
      <c r="S512" s="29"/>
      <c r="T512" s="29"/>
      <c r="U512" s="29"/>
      <c r="V512" s="29"/>
      <c r="W512" s="29"/>
      <c r="X512" s="29"/>
    </row>
    <row r="513" spans="1:24" ht="15">
      <c r="A513" s="29"/>
      <c r="B513" s="29"/>
      <c r="C513" s="29"/>
      <c r="D513" s="33"/>
      <c r="E513" s="33"/>
      <c r="G513" s="29"/>
      <c r="H513" s="29"/>
      <c r="I513" s="29"/>
      <c r="J513" s="29"/>
      <c r="K513" s="29"/>
      <c r="L513" s="29"/>
      <c r="M513" s="29"/>
      <c r="N513" s="29"/>
      <c r="O513" s="29"/>
      <c r="P513" s="29"/>
      <c r="Q513" s="29"/>
      <c r="R513" s="29"/>
      <c r="S513" s="29"/>
      <c r="T513" s="29"/>
      <c r="U513" s="29"/>
      <c r="V513" s="29"/>
      <c r="W513" s="29"/>
      <c r="X513" s="29"/>
    </row>
    <row r="514" spans="1:24" ht="15">
      <c r="A514" s="29"/>
      <c r="B514" s="29"/>
      <c r="C514" s="29"/>
      <c r="D514" s="33"/>
      <c r="E514" s="33"/>
      <c r="G514" s="29"/>
      <c r="H514" s="29"/>
      <c r="I514" s="29"/>
      <c r="J514" s="29"/>
      <c r="K514" s="29"/>
      <c r="L514" s="29"/>
      <c r="M514" s="29"/>
      <c r="N514" s="29"/>
      <c r="O514" s="29"/>
      <c r="P514" s="29"/>
      <c r="Q514" s="29"/>
      <c r="R514" s="29"/>
      <c r="S514" s="29"/>
      <c r="T514" s="29"/>
      <c r="U514" s="29"/>
      <c r="V514" s="29"/>
      <c r="W514" s="29"/>
      <c r="X514" s="29"/>
    </row>
    <row r="515" spans="1:24" ht="15">
      <c r="A515" s="29"/>
      <c r="B515" s="29"/>
      <c r="C515" s="29"/>
      <c r="D515" s="33"/>
      <c r="E515" s="33"/>
      <c r="G515" s="29"/>
      <c r="H515" s="29"/>
      <c r="I515" s="29"/>
      <c r="J515" s="29"/>
      <c r="K515" s="29"/>
      <c r="L515" s="29"/>
      <c r="M515" s="29"/>
      <c r="N515" s="29"/>
      <c r="O515" s="29"/>
      <c r="P515" s="29"/>
      <c r="Q515" s="29"/>
      <c r="R515" s="29"/>
      <c r="S515" s="29"/>
      <c r="T515" s="29"/>
      <c r="U515" s="29"/>
      <c r="V515" s="29"/>
      <c r="W515" s="29"/>
      <c r="X515" s="29"/>
    </row>
    <row r="516" spans="1:24" ht="15">
      <c r="A516" s="29"/>
      <c r="B516" s="29"/>
      <c r="C516" s="29"/>
      <c r="D516" s="33"/>
      <c r="E516" s="33"/>
      <c r="G516" s="29"/>
      <c r="H516" s="29"/>
      <c r="I516" s="29"/>
      <c r="J516" s="29"/>
      <c r="K516" s="29"/>
      <c r="L516" s="29"/>
      <c r="M516" s="29"/>
      <c r="N516" s="29"/>
      <c r="O516" s="29"/>
      <c r="P516" s="29"/>
      <c r="Q516" s="29"/>
      <c r="R516" s="29"/>
      <c r="S516" s="29"/>
      <c r="T516" s="29"/>
      <c r="U516" s="29"/>
      <c r="V516" s="29"/>
      <c r="W516" s="29"/>
      <c r="X516" s="29"/>
    </row>
    <row r="517" spans="1:24" ht="15">
      <c r="A517" s="29"/>
      <c r="B517" s="29"/>
      <c r="C517" s="29"/>
      <c r="D517" s="33"/>
      <c r="E517" s="33"/>
      <c r="G517" s="29"/>
      <c r="H517" s="29"/>
      <c r="I517" s="29"/>
      <c r="J517" s="29"/>
      <c r="K517" s="29"/>
      <c r="L517" s="29"/>
      <c r="M517" s="29"/>
      <c r="N517" s="29"/>
      <c r="O517" s="29"/>
      <c r="P517" s="29"/>
      <c r="Q517" s="29"/>
      <c r="R517" s="29"/>
      <c r="S517" s="29"/>
      <c r="T517" s="29"/>
      <c r="U517" s="29"/>
      <c r="V517" s="29"/>
      <c r="W517" s="29"/>
      <c r="X517" s="29"/>
    </row>
    <row r="518" spans="1:24" ht="15">
      <c r="A518" s="29"/>
      <c r="B518" s="29"/>
      <c r="C518" s="29"/>
      <c r="D518" s="33"/>
      <c r="E518" s="33"/>
      <c r="G518" s="29"/>
      <c r="H518" s="29"/>
      <c r="I518" s="29"/>
      <c r="J518" s="29"/>
      <c r="K518" s="29"/>
      <c r="L518" s="29"/>
      <c r="M518" s="29"/>
      <c r="N518" s="29"/>
      <c r="O518" s="29"/>
      <c r="P518" s="29"/>
      <c r="Q518" s="29"/>
      <c r="R518" s="29"/>
      <c r="S518" s="29"/>
      <c r="T518" s="29"/>
      <c r="U518" s="29"/>
      <c r="V518" s="29"/>
      <c r="W518" s="29"/>
      <c r="X518" s="29"/>
    </row>
    <row r="519" spans="1:24" ht="15">
      <c r="A519" s="29"/>
      <c r="B519" s="29"/>
      <c r="C519" s="29"/>
      <c r="D519" s="33"/>
      <c r="E519" s="33"/>
      <c r="G519" s="29"/>
      <c r="H519" s="29"/>
      <c r="I519" s="29"/>
      <c r="J519" s="29"/>
      <c r="K519" s="29"/>
      <c r="L519" s="29"/>
      <c r="M519" s="29"/>
      <c r="N519" s="29"/>
      <c r="O519" s="29"/>
      <c r="P519" s="29"/>
      <c r="Q519" s="29"/>
      <c r="R519" s="29"/>
      <c r="S519" s="29"/>
      <c r="T519" s="29"/>
      <c r="U519" s="29"/>
      <c r="V519" s="29"/>
      <c r="W519" s="29"/>
      <c r="X519" s="29"/>
    </row>
    <row r="520" spans="1:24" ht="15">
      <c r="A520" s="29"/>
      <c r="B520" s="29"/>
      <c r="C520" s="29"/>
      <c r="D520" s="33"/>
      <c r="E520" s="33"/>
      <c r="G520" s="29"/>
      <c r="H520" s="29"/>
      <c r="I520" s="29"/>
      <c r="J520" s="29"/>
      <c r="K520" s="29"/>
      <c r="L520" s="29"/>
      <c r="M520" s="29"/>
      <c r="N520" s="29"/>
      <c r="O520" s="29"/>
      <c r="P520" s="29"/>
      <c r="Q520" s="29"/>
      <c r="R520" s="29"/>
      <c r="S520" s="29"/>
      <c r="T520" s="29"/>
      <c r="U520" s="29"/>
      <c r="V520" s="29"/>
      <c r="W520" s="29"/>
      <c r="X520" s="29"/>
    </row>
    <row r="521" spans="1:24" ht="15">
      <c r="A521" s="29"/>
      <c r="B521" s="29"/>
      <c r="C521" s="29"/>
      <c r="D521" s="33"/>
      <c r="E521" s="33"/>
      <c r="G521" s="29"/>
      <c r="H521" s="29"/>
      <c r="I521" s="29"/>
      <c r="J521" s="29"/>
      <c r="K521" s="29"/>
      <c r="L521" s="29"/>
      <c r="M521" s="29"/>
      <c r="N521" s="29"/>
      <c r="O521" s="29"/>
      <c r="P521" s="29"/>
      <c r="Q521" s="29"/>
      <c r="R521" s="29"/>
      <c r="S521" s="29"/>
      <c r="T521" s="29"/>
      <c r="U521" s="29"/>
      <c r="V521" s="29"/>
      <c r="W521" s="29"/>
      <c r="X521" s="29"/>
    </row>
    <row r="522" spans="1:24" ht="15">
      <c r="A522" s="29"/>
      <c r="B522" s="29"/>
      <c r="C522" s="29"/>
      <c r="D522" s="33"/>
      <c r="E522" s="33"/>
      <c r="G522" s="29"/>
      <c r="H522" s="29"/>
      <c r="I522" s="29"/>
      <c r="J522" s="29"/>
      <c r="K522" s="29"/>
      <c r="L522" s="29"/>
      <c r="M522" s="29"/>
      <c r="N522" s="29"/>
      <c r="O522" s="29"/>
      <c r="P522" s="29"/>
      <c r="Q522" s="29"/>
      <c r="R522" s="29"/>
      <c r="S522" s="29"/>
      <c r="T522" s="29"/>
      <c r="U522" s="29"/>
      <c r="V522" s="29"/>
      <c r="W522" s="29"/>
      <c r="X522" s="29"/>
    </row>
    <row r="523" spans="1:24" ht="15">
      <c r="A523" s="29"/>
      <c r="B523" s="29"/>
      <c r="C523" s="29"/>
      <c r="D523" s="33"/>
      <c r="E523" s="33"/>
      <c r="G523" s="29"/>
      <c r="H523" s="29"/>
      <c r="I523" s="29"/>
      <c r="J523" s="29"/>
      <c r="K523" s="29"/>
      <c r="L523" s="29"/>
      <c r="M523" s="29"/>
      <c r="N523" s="29"/>
      <c r="O523" s="29"/>
      <c r="P523" s="29"/>
      <c r="Q523" s="29"/>
      <c r="R523" s="29"/>
      <c r="S523" s="29"/>
      <c r="T523" s="29"/>
      <c r="U523" s="29"/>
      <c r="V523" s="29"/>
      <c r="W523" s="29"/>
      <c r="X523" s="29"/>
    </row>
    <row r="524" spans="1:24" ht="15">
      <c r="A524" s="29"/>
      <c r="B524" s="29"/>
      <c r="C524" s="29"/>
      <c r="D524" s="33"/>
      <c r="E524" s="33"/>
      <c r="G524" s="29"/>
      <c r="H524" s="29"/>
      <c r="I524" s="29"/>
      <c r="J524" s="29"/>
      <c r="K524" s="29"/>
      <c r="L524" s="29"/>
      <c r="M524" s="29"/>
      <c r="N524" s="29"/>
      <c r="O524" s="29"/>
      <c r="P524" s="29"/>
      <c r="Q524" s="29"/>
      <c r="R524" s="29"/>
      <c r="S524" s="29"/>
      <c r="T524" s="29"/>
      <c r="U524" s="29"/>
      <c r="V524" s="29"/>
      <c r="W524" s="29"/>
      <c r="X524" s="29"/>
    </row>
    <row r="525" spans="1:24" ht="15">
      <c r="A525" s="29"/>
      <c r="B525" s="29"/>
      <c r="C525" s="29"/>
      <c r="D525" s="33"/>
      <c r="E525" s="33"/>
      <c r="G525" s="29"/>
      <c r="H525" s="29"/>
      <c r="I525" s="29"/>
      <c r="J525" s="29"/>
      <c r="K525" s="29"/>
      <c r="L525" s="29"/>
      <c r="M525" s="29"/>
      <c r="N525" s="29"/>
      <c r="O525" s="29"/>
      <c r="P525" s="29"/>
      <c r="Q525" s="29"/>
      <c r="R525" s="29"/>
      <c r="S525" s="29"/>
      <c r="T525" s="29"/>
      <c r="U525" s="29"/>
      <c r="V525" s="29"/>
      <c r="W525" s="29"/>
      <c r="X525" s="29"/>
    </row>
    <row r="526" spans="1:24" ht="15">
      <c r="A526" s="29"/>
      <c r="B526" s="29"/>
      <c r="C526" s="29"/>
      <c r="D526" s="33"/>
      <c r="E526" s="33"/>
      <c r="G526" s="29"/>
      <c r="H526" s="29"/>
      <c r="I526" s="29"/>
      <c r="J526" s="29"/>
      <c r="K526" s="29"/>
      <c r="L526" s="29"/>
      <c r="M526" s="29"/>
      <c r="N526" s="29"/>
      <c r="O526" s="29"/>
      <c r="P526" s="29"/>
      <c r="Q526" s="29"/>
      <c r="R526" s="29"/>
      <c r="S526" s="29"/>
      <c r="T526" s="29"/>
      <c r="U526" s="29"/>
      <c r="V526" s="29"/>
      <c r="W526" s="29"/>
      <c r="X526" s="29"/>
    </row>
    <row r="527" spans="1:24" ht="15">
      <c r="A527" s="29"/>
      <c r="B527" s="29"/>
      <c r="C527" s="29"/>
      <c r="D527" s="33"/>
      <c r="E527" s="33"/>
      <c r="G527" s="29"/>
      <c r="H527" s="29"/>
      <c r="I527" s="29"/>
      <c r="J527" s="29"/>
      <c r="K527" s="29"/>
      <c r="L527" s="29"/>
      <c r="M527" s="29"/>
      <c r="N527" s="29"/>
      <c r="O527" s="29"/>
      <c r="P527" s="29"/>
      <c r="Q527" s="29"/>
      <c r="R527" s="29"/>
      <c r="S527" s="29"/>
      <c r="T527" s="29"/>
      <c r="U527" s="29"/>
      <c r="V527" s="29"/>
      <c r="W527" s="29"/>
      <c r="X527" s="29"/>
    </row>
    <row r="528" spans="1:24" ht="15">
      <c r="A528" s="29"/>
      <c r="B528" s="29"/>
      <c r="C528" s="29"/>
      <c r="D528" s="33"/>
      <c r="E528" s="33"/>
      <c r="G528" s="29"/>
      <c r="H528" s="29"/>
      <c r="I528" s="29"/>
      <c r="J528" s="29"/>
      <c r="K528" s="29"/>
      <c r="L528" s="29"/>
      <c r="M528" s="29"/>
      <c r="N528" s="29"/>
      <c r="O528" s="29"/>
      <c r="P528" s="29"/>
      <c r="Q528" s="29"/>
      <c r="R528" s="29"/>
      <c r="S528" s="29"/>
      <c r="T528" s="29"/>
      <c r="U528" s="29"/>
      <c r="V528" s="29"/>
      <c r="W528" s="29"/>
      <c r="X528" s="29"/>
    </row>
    <row r="529" spans="1:24" ht="15">
      <c r="A529" s="29"/>
      <c r="B529" s="29"/>
      <c r="C529" s="29"/>
      <c r="D529" s="33"/>
      <c r="E529" s="33"/>
      <c r="G529" s="29"/>
      <c r="H529" s="29"/>
      <c r="I529" s="29"/>
      <c r="J529" s="29"/>
      <c r="K529" s="29"/>
      <c r="L529" s="29"/>
      <c r="M529" s="29"/>
      <c r="N529" s="29"/>
      <c r="O529" s="29"/>
      <c r="P529" s="29"/>
      <c r="Q529" s="29"/>
      <c r="R529" s="29"/>
      <c r="S529" s="29"/>
      <c r="T529" s="29"/>
      <c r="U529" s="29"/>
      <c r="V529" s="29"/>
      <c r="W529" s="29"/>
      <c r="X529" s="29"/>
    </row>
    <row r="530" spans="1:24" ht="15">
      <c r="A530" s="29"/>
      <c r="B530" s="29"/>
      <c r="C530" s="29"/>
      <c r="D530" s="33"/>
      <c r="E530" s="33"/>
      <c r="G530" s="29"/>
      <c r="H530" s="29"/>
      <c r="I530" s="29"/>
      <c r="J530" s="29"/>
      <c r="K530" s="29"/>
      <c r="L530" s="29"/>
      <c r="M530" s="29"/>
      <c r="N530" s="29"/>
      <c r="O530" s="29"/>
      <c r="P530" s="29"/>
      <c r="Q530" s="29"/>
      <c r="R530" s="29"/>
      <c r="S530" s="29"/>
      <c r="T530" s="29"/>
      <c r="U530" s="29"/>
      <c r="V530" s="29"/>
      <c r="W530" s="29"/>
      <c r="X530" s="29"/>
    </row>
    <row r="531" spans="1:24" ht="15">
      <c r="A531" s="29"/>
      <c r="B531" s="29"/>
      <c r="C531" s="29"/>
      <c r="D531" s="33"/>
      <c r="E531" s="33"/>
      <c r="G531" s="29"/>
      <c r="H531" s="29"/>
      <c r="I531" s="29"/>
      <c r="J531" s="29"/>
      <c r="K531" s="29"/>
      <c r="L531" s="29"/>
      <c r="M531" s="29"/>
      <c r="N531" s="29"/>
      <c r="O531" s="29"/>
      <c r="P531" s="29"/>
      <c r="Q531" s="29"/>
      <c r="R531" s="29"/>
      <c r="S531" s="29"/>
      <c r="T531" s="29"/>
      <c r="U531" s="29"/>
      <c r="V531" s="29"/>
      <c r="W531" s="29"/>
      <c r="X531" s="29"/>
    </row>
    <row r="532" spans="1:24" ht="15">
      <c r="A532" s="29"/>
      <c r="B532" s="29"/>
      <c r="C532" s="29"/>
      <c r="D532" s="33"/>
      <c r="E532" s="33"/>
      <c r="G532" s="29"/>
      <c r="H532" s="29"/>
      <c r="I532" s="29"/>
      <c r="J532" s="29"/>
      <c r="K532" s="29"/>
      <c r="L532" s="29"/>
      <c r="M532" s="29"/>
      <c r="N532" s="29"/>
      <c r="O532" s="29"/>
      <c r="P532" s="29"/>
      <c r="Q532" s="29"/>
      <c r="R532" s="29"/>
      <c r="S532" s="29"/>
      <c r="T532" s="29"/>
      <c r="U532" s="29"/>
      <c r="V532" s="29"/>
      <c r="W532" s="29"/>
      <c r="X532" s="29"/>
    </row>
    <row r="533" spans="1:24" ht="15">
      <c r="A533" s="29"/>
      <c r="B533" s="29"/>
      <c r="C533" s="29"/>
      <c r="D533" s="33"/>
      <c r="E533" s="33"/>
      <c r="G533" s="29"/>
      <c r="H533" s="29"/>
      <c r="I533" s="29"/>
      <c r="J533" s="29"/>
      <c r="K533" s="29"/>
      <c r="L533" s="29"/>
      <c r="M533" s="29"/>
      <c r="N533" s="29"/>
      <c r="O533" s="29"/>
      <c r="P533" s="29"/>
      <c r="Q533" s="29"/>
      <c r="R533" s="29"/>
      <c r="S533" s="29"/>
      <c r="T533" s="29"/>
      <c r="U533" s="29"/>
      <c r="V533" s="29"/>
      <c r="W533" s="29"/>
      <c r="X533" s="29"/>
    </row>
    <row r="534" spans="1:24" ht="15">
      <c r="A534" s="29"/>
      <c r="B534" s="29"/>
      <c r="C534" s="29"/>
      <c r="D534" s="33"/>
      <c r="E534" s="33"/>
      <c r="G534" s="29"/>
      <c r="H534" s="29"/>
      <c r="I534" s="29"/>
      <c r="J534" s="29"/>
      <c r="K534" s="29"/>
      <c r="L534" s="29"/>
      <c r="M534" s="29"/>
      <c r="N534" s="29"/>
      <c r="O534" s="29"/>
      <c r="P534" s="29"/>
      <c r="Q534" s="29"/>
      <c r="R534" s="29"/>
      <c r="S534" s="29"/>
      <c r="T534" s="29"/>
      <c r="U534" s="29"/>
      <c r="V534" s="29"/>
      <c r="W534" s="29"/>
      <c r="X534" s="29"/>
    </row>
    <row r="535" spans="1:24" ht="15">
      <c r="A535" s="29"/>
      <c r="B535" s="29"/>
      <c r="C535" s="29"/>
      <c r="D535" s="33"/>
      <c r="E535" s="33"/>
      <c r="G535" s="29"/>
      <c r="H535" s="29"/>
      <c r="I535" s="29"/>
      <c r="J535" s="29"/>
      <c r="K535" s="29"/>
      <c r="L535" s="29"/>
      <c r="M535" s="29"/>
      <c r="N535" s="29"/>
      <c r="O535" s="29"/>
      <c r="P535" s="29"/>
      <c r="Q535" s="29"/>
      <c r="R535" s="29"/>
      <c r="S535" s="29"/>
      <c r="T535" s="29"/>
      <c r="U535" s="29"/>
      <c r="V535" s="29"/>
      <c r="W535" s="29"/>
      <c r="X535" s="29"/>
    </row>
    <row r="536" spans="1:24" ht="15">
      <c r="A536" s="29"/>
      <c r="B536" s="29"/>
      <c r="C536" s="29"/>
      <c r="D536" s="33"/>
      <c r="E536" s="33"/>
      <c r="G536" s="29"/>
      <c r="H536" s="29"/>
      <c r="I536" s="29"/>
      <c r="J536" s="29"/>
      <c r="K536" s="29"/>
      <c r="L536" s="29"/>
      <c r="M536" s="29"/>
      <c r="N536" s="29"/>
      <c r="O536" s="29"/>
      <c r="P536" s="29"/>
      <c r="Q536" s="29"/>
      <c r="R536" s="29"/>
      <c r="S536" s="29"/>
      <c r="T536" s="29"/>
      <c r="U536" s="29"/>
      <c r="V536" s="29"/>
      <c r="W536" s="29"/>
      <c r="X536" s="29"/>
    </row>
    <row r="537" spans="1:24" ht="15">
      <c r="A537" s="29"/>
      <c r="B537" s="29"/>
      <c r="C537" s="29"/>
      <c r="D537" s="33"/>
      <c r="E537" s="33"/>
      <c r="G537" s="29"/>
      <c r="H537" s="29"/>
      <c r="I537" s="29"/>
      <c r="J537" s="29"/>
      <c r="K537" s="29"/>
      <c r="L537" s="29"/>
      <c r="M537" s="29"/>
      <c r="N537" s="29"/>
      <c r="O537" s="29"/>
      <c r="P537" s="29"/>
      <c r="Q537" s="29"/>
      <c r="R537" s="29"/>
      <c r="S537" s="29"/>
      <c r="T537" s="29"/>
      <c r="U537" s="29"/>
      <c r="V537" s="29"/>
      <c r="W537" s="29"/>
      <c r="X537" s="29"/>
    </row>
    <row r="538" spans="1:24" ht="15">
      <c r="A538" s="29"/>
      <c r="B538" s="29"/>
      <c r="C538" s="29"/>
      <c r="D538" s="33"/>
      <c r="E538" s="33"/>
      <c r="G538" s="29"/>
      <c r="H538" s="29"/>
      <c r="I538" s="29"/>
      <c r="J538" s="29"/>
      <c r="K538" s="29"/>
      <c r="L538" s="29"/>
      <c r="M538" s="29"/>
      <c r="N538" s="29"/>
      <c r="O538" s="29"/>
      <c r="P538" s="29"/>
      <c r="Q538" s="29"/>
      <c r="R538" s="29"/>
      <c r="S538" s="29"/>
      <c r="T538" s="29"/>
      <c r="U538" s="29"/>
      <c r="V538" s="29"/>
      <c r="W538" s="29"/>
      <c r="X538" s="29"/>
    </row>
    <row r="539" spans="1:24" ht="15">
      <c r="A539" s="29"/>
      <c r="B539" s="29"/>
      <c r="C539" s="29"/>
      <c r="D539" s="33"/>
      <c r="E539" s="33"/>
      <c r="G539" s="29"/>
      <c r="H539" s="29"/>
      <c r="I539" s="29"/>
      <c r="J539" s="29"/>
      <c r="K539" s="29"/>
      <c r="L539" s="29"/>
      <c r="M539" s="29"/>
      <c r="N539" s="29"/>
      <c r="O539" s="29"/>
      <c r="P539" s="29"/>
      <c r="Q539" s="29"/>
      <c r="R539" s="29"/>
      <c r="S539" s="29"/>
      <c r="T539" s="29"/>
      <c r="U539" s="29"/>
      <c r="V539" s="29"/>
      <c r="W539" s="29"/>
      <c r="X539" s="29"/>
    </row>
    <row r="540" spans="1:24" ht="15">
      <c r="A540" s="29"/>
      <c r="B540" s="29"/>
      <c r="C540" s="29"/>
      <c r="D540" s="33"/>
      <c r="E540" s="33"/>
      <c r="G540" s="29"/>
      <c r="H540" s="29"/>
      <c r="I540" s="29"/>
      <c r="J540" s="29"/>
      <c r="K540" s="29"/>
      <c r="L540" s="29"/>
      <c r="M540" s="29"/>
      <c r="N540" s="29"/>
      <c r="O540" s="29"/>
      <c r="P540" s="29"/>
      <c r="Q540" s="29"/>
      <c r="R540" s="29"/>
      <c r="S540" s="29"/>
      <c r="T540" s="29"/>
      <c r="U540" s="29"/>
      <c r="V540" s="29"/>
      <c r="W540" s="29"/>
      <c r="X540" s="29"/>
    </row>
    <row r="541" spans="1:24" ht="15">
      <c r="A541" s="29"/>
      <c r="B541" s="29"/>
      <c r="C541" s="29"/>
      <c r="D541" s="33"/>
      <c r="E541" s="33"/>
      <c r="G541" s="29"/>
      <c r="H541" s="29"/>
      <c r="I541" s="29"/>
      <c r="J541" s="29"/>
      <c r="K541" s="29"/>
      <c r="L541" s="29"/>
      <c r="M541" s="29"/>
      <c r="N541" s="29"/>
      <c r="O541" s="29"/>
      <c r="P541" s="29"/>
      <c r="Q541" s="29"/>
      <c r="R541" s="29"/>
      <c r="S541" s="29"/>
      <c r="T541" s="29"/>
      <c r="U541" s="29"/>
      <c r="V541" s="29"/>
      <c r="W541" s="29"/>
      <c r="X541" s="29"/>
    </row>
    <row r="542" spans="1:24" ht="15">
      <c r="A542" s="29"/>
      <c r="B542" s="29"/>
      <c r="C542" s="29"/>
      <c r="D542" s="33"/>
      <c r="E542" s="33"/>
      <c r="G542" s="29"/>
      <c r="H542" s="29"/>
      <c r="I542" s="29"/>
      <c r="J542" s="29"/>
      <c r="K542" s="29"/>
      <c r="L542" s="29"/>
      <c r="M542" s="29"/>
      <c r="N542" s="29"/>
      <c r="O542" s="29"/>
      <c r="P542" s="29"/>
      <c r="Q542" s="29"/>
      <c r="R542" s="29"/>
      <c r="S542" s="29"/>
      <c r="T542" s="29"/>
      <c r="U542" s="29"/>
      <c r="V542" s="29"/>
      <c r="W542" s="29"/>
      <c r="X542" s="29"/>
    </row>
    <row r="543" spans="1:24" ht="15">
      <c r="A543" s="29"/>
      <c r="B543" s="29"/>
      <c r="C543" s="29"/>
      <c r="D543" s="33"/>
      <c r="E543" s="33"/>
      <c r="G543" s="29"/>
      <c r="H543" s="29"/>
      <c r="I543" s="29"/>
      <c r="J543" s="29"/>
      <c r="K543" s="29"/>
      <c r="L543" s="29"/>
      <c r="M543" s="29"/>
      <c r="N543" s="29"/>
      <c r="O543" s="29"/>
      <c r="P543" s="29"/>
      <c r="Q543" s="29"/>
      <c r="R543" s="29"/>
      <c r="S543" s="29"/>
      <c r="T543" s="29"/>
      <c r="U543" s="29"/>
      <c r="V543" s="29"/>
      <c r="W543" s="29"/>
      <c r="X543" s="29"/>
    </row>
    <row r="544" spans="1:24" ht="15">
      <c r="A544" s="29"/>
      <c r="B544" s="29"/>
      <c r="C544" s="29"/>
      <c r="D544" s="33"/>
      <c r="E544" s="33"/>
      <c r="G544" s="29"/>
      <c r="H544" s="29"/>
      <c r="I544" s="29"/>
      <c r="J544" s="29"/>
      <c r="K544" s="29"/>
      <c r="L544" s="29"/>
      <c r="M544" s="29"/>
      <c r="N544" s="29"/>
      <c r="O544" s="29"/>
      <c r="P544" s="29"/>
      <c r="Q544" s="29"/>
      <c r="R544" s="29"/>
      <c r="S544" s="29"/>
      <c r="T544" s="29"/>
      <c r="U544" s="29"/>
      <c r="V544" s="29"/>
      <c r="W544" s="29"/>
      <c r="X544" s="29"/>
    </row>
    <row r="545" spans="1:24" ht="15">
      <c r="A545" s="29"/>
      <c r="B545" s="29"/>
      <c r="C545" s="29"/>
      <c r="D545" s="33"/>
      <c r="E545" s="33"/>
      <c r="G545" s="29"/>
      <c r="H545" s="29"/>
      <c r="I545" s="29"/>
      <c r="J545" s="29"/>
      <c r="K545" s="29"/>
      <c r="L545" s="29"/>
      <c r="M545" s="29"/>
      <c r="N545" s="29"/>
      <c r="O545" s="29"/>
      <c r="P545" s="29"/>
      <c r="Q545" s="29"/>
      <c r="R545" s="29"/>
      <c r="S545" s="29"/>
      <c r="T545" s="29"/>
      <c r="U545" s="29"/>
      <c r="V545" s="29"/>
      <c r="W545" s="29"/>
      <c r="X545" s="29"/>
    </row>
    <row r="546" spans="1:24" ht="15">
      <c r="A546" s="29"/>
      <c r="B546" s="29"/>
      <c r="C546" s="29"/>
      <c r="D546" s="33"/>
      <c r="E546" s="33"/>
      <c r="G546" s="29"/>
      <c r="H546" s="29"/>
      <c r="I546" s="29"/>
      <c r="J546" s="29"/>
      <c r="K546" s="29"/>
      <c r="L546" s="29"/>
      <c r="M546" s="29"/>
      <c r="N546" s="29"/>
      <c r="O546" s="29"/>
      <c r="P546" s="29"/>
      <c r="Q546" s="29"/>
      <c r="R546" s="29"/>
      <c r="S546" s="29"/>
      <c r="T546" s="29"/>
      <c r="U546" s="29"/>
      <c r="V546" s="29"/>
      <c r="W546" s="29"/>
      <c r="X546" s="29"/>
    </row>
    <row r="547" spans="1:24" ht="15">
      <c r="A547" s="29"/>
      <c r="B547" s="29"/>
      <c r="C547" s="29"/>
      <c r="D547" s="33"/>
      <c r="E547" s="33"/>
      <c r="G547" s="29"/>
      <c r="H547" s="29"/>
      <c r="I547" s="29"/>
      <c r="J547" s="29"/>
      <c r="K547" s="29"/>
      <c r="L547" s="29"/>
      <c r="M547" s="29"/>
      <c r="N547" s="29"/>
      <c r="O547" s="29"/>
      <c r="P547" s="29"/>
      <c r="Q547" s="29"/>
      <c r="R547" s="29"/>
      <c r="S547" s="29"/>
      <c r="T547" s="29"/>
      <c r="U547" s="29"/>
      <c r="V547" s="29"/>
      <c r="W547" s="29"/>
      <c r="X547" s="29"/>
    </row>
    <row r="548" spans="1:24" ht="15">
      <c r="A548" s="29"/>
      <c r="B548" s="29"/>
      <c r="C548" s="29"/>
      <c r="D548" s="33"/>
      <c r="E548" s="33"/>
      <c r="G548" s="29"/>
      <c r="H548" s="29"/>
      <c r="I548" s="29"/>
      <c r="J548" s="29"/>
      <c r="K548" s="29"/>
      <c r="L548" s="29"/>
      <c r="M548" s="29"/>
      <c r="N548" s="29"/>
      <c r="O548" s="29"/>
      <c r="P548" s="29"/>
      <c r="Q548" s="29"/>
      <c r="R548" s="29"/>
      <c r="S548" s="29"/>
      <c r="T548" s="29"/>
      <c r="U548" s="29"/>
      <c r="V548" s="29"/>
      <c r="W548" s="29"/>
      <c r="X548" s="29"/>
    </row>
    <row r="549" spans="1:24" ht="15">
      <c r="A549" s="29"/>
      <c r="B549" s="29"/>
      <c r="C549" s="29"/>
      <c r="D549" s="33"/>
      <c r="E549" s="33"/>
      <c r="G549" s="29"/>
      <c r="H549" s="29"/>
      <c r="I549" s="29"/>
      <c r="J549" s="29"/>
      <c r="K549" s="29"/>
      <c r="L549" s="29"/>
      <c r="M549" s="29"/>
      <c r="N549" s="29"/>
      <c r="O549" s="29"/>
      <c r="P549" s="29"/>
      <c r="Q549" s="29"/>
      <c r="R549" s="29"/>
      <c r="S549" s="29"/>
      <c r="T549" s="29"/>
      <c r="U549" s="29"/>
      <c r="V549" s="29"/>
      <c r="W549" s="29"/>
      <c r="X549" s="29"/>
    </row>
    <row r="550" spans="1:24" ht="15">
      <c r="A550" s="29"/>
      <c r="B550" s="29"/>
      <c r="C550" s="29"/>
      <c r="D550" s="33"/>
      <c r="E550" s="33"/>
      <c r="G550" s="29"/>
      <c r="H550" s="29"/>
      <c r="I550" s="29"/>
      <c r="J550" s="29"/>
      <c r="K550" s="29"/>
      <c r="L550" s="29"/>
      <c r="M550" s="29"/>
      <c r="N550" s="29"/>
      <c r="O550" s="29"/>
      <c r="P550" s="29"/>
      <c r="Q550" s="29"/>
      <c r="R550" s="29"/>
      <c r="S550" s="29"/>
      <c r="T550" s="29"/>
      <c r="U550" s="29"/>
      <c r="V550" s="29"/>
      <c r="W550" s="29"/>
      <c r="X550" s="29"/>
    </row>
    <row r="551" spans="1:24" ht="15">
      <c r="A551" s="29"/>
      <c r="B551" s="29"/>
      <c r="C551" s="29"/>
      <c r="D551" s="33"/>
      <c r="E551" s="33"/>
      <c r="G551" s="29"/>
      <c r="H551" s="29"/>
      <c r="I551" s="29"/>
      <c r="J551" s="29"/>
      <c r="K551" s="29"/>
      <c r="L551" s="29"/>
      <c r="M551" s="29"/>
      <c r="N551" s="29"/>
      <c r="O551" s="29"/>
      <c r="P551" s="29"/>
      <c r="Q551" s="29"/>
      <c r="R551" s="29"/>
      <c r="S551" s="29"/>
      <c r="T551" s="29"/>
      <c r="U551" s="29"/>
      <c r="V551" s="29"/>
      <c r="W551" s="29"/>
      <c r="X551" s="29"/>
    </row>
    <row r="552" spans="1:24" ht="15">
      <c r="A552" s="29"/>
      <c r="B552" s="29"/>
      <c r="C552" s="29"/>
      <c r="D552" s="33"/>
      <c r="E552" s="33"/>
      <c r="G552" s="29"/>
      <c r="H552" s="29"/>
      <c r="I552" s="29"/>
      <c r="J552" s="29"/>
      <c r="K552" s="29"/>
      <c r="L552" s="29"/>
      <c r="M552" s="29"/>
      <c r="N552" s="29"/>
      <c r="O552" s="29"/>
      <c r="P552" s="29"/>
      <c r="Q552" s="29"/>
      <c r="R552" s="29"/>
      <c r="S552" s="29"/>
      <c r="T552" s="29"/>
      <c r="U552" s="29"/>
      <c r="V552" s="29"/>
      <c r="W552" s="29"/>
      <c r="X552" s="29"/>
    </row>
    <row r="553" spans="1:24" ht="15">
      <c r="A553" s="29"/>
      <c r="B553" s="29"/>
      <c r="C553" s="29"/>
      <c r="D553" s="33"/>
      <c r="E553" s="33"/>
      <c r="G553" s="29"/>
      <c r="H553" s="29"/>
      <c r="I553" s="29"/>
      <c r="J553" s="29"/>
      <c r="K553" s="29"/>
      <c r="L553" s="29"/>
      <c r="M553" s="29"/>
      <c r="N553" s="29"/>
      <c r="O553" s="29"/>
      <c r="P553" s="29"/>
      <c r="Q553" s="29"/>
      <c r="R553" s="29"/>
      <c r="S553" s="29"/>
      <c r="T553" s="29"/>
      <c r="U553" s="29"/>
      <c r="V553" s="29"/>
      <c r="W553" s="29"/>
      <c r="X553" s="29"/>
    </row>
    <row r="554" spans="1:24" ht="15">
      <c r="A554" s="29"/>
      <c r="B554" s="29"/>
      <c r="C554" s="29"/>
      <c r="D554" s="33"/>
      <c r="E554" s="33"/>
      <c r="G554" s="29"/>
      <c r="H554" s="29"/>
      <c r="I554" s="29"/>
      <c r="J554" s="29"/>
      <c r="K554" s="29"/>
      <c r="L554" s="29"/>
      <c r="M554" s="29"/>
      <c r="N554" s="29"/>
      <c r="O554" s="29"/>
      <c r="P554" s="29"/>
      <c r="Q554" s="29"/>
      <c r="R554" s="29"/>
      <c r="S554" s="29"/>
      <c r="T554" s="29"/>
      <c r="U554" s="29"/>
      <c r="V554" s="29"/>
      <c r="W554" s="29"/>
      <c r="X554" s="29"/>
    </row>
    <row r="555" spans="1:24" ht="15">
      <c r="A555" s="29"/>
      <c r="B555" s="29"/>
      <c r="C555" s="29"/>
      <c r="D555" s="33"/>
      <c r="E555" s="33"/>
      <c r="G555" s="29"/>
      <c r="H555" s="29"/>
      <c r="I555" s="29"/>
      <c r="J555" s="29"/>
      <c r="K555" s="29"/>
      <c r="L555" s="29"/>
      <c r="M555" s="29"/>
      <c r="N555" s="29"/>
      <c r="O555" s="29"/>
      <c r="P555" s="29"/>
      <c r="Q555" s="29"/>
      <c r="R555" s="29"/>
      <c r="S555" s="29"/>
      <c r="T555" s="29"/>
      <c r="U555" s="29"/>
      <c r="V555" s="29"/>
      <c r="W555" s="29"/>
      <c r="X555" s="29"/>
    </row>
    <row r="556" spans="1:24" ht="15">
      <c r="A556" s="29"/>
      <c r="B556" s="29"/>
      <c r="C556" s="29"/>
      <c r="D556" s="33"/>
      <c r="E556" s="33"/>
      <c r="G556" s="29"/>
      <c r="H556" s="29"/>
      <c r="I556" s="29"/>
      <c r="J556" s="29"/>
      <c r="K556" s="29"/>
      <c r="L556" s="29"/>
      <c r="M556" s="29"/>
      <c r="N556" s="29"/>
      <c r="O556" s="29"/>
      <c r="P556" s="29"/>
      <c r="Q556" s="29"/>
      <c r="R556" s="29"/>
      <c r="S556" s="29"/>
      <c r="T556" s="29"/>
      <c r="U556" s="29"/>
      <c r="V556" s="29"/>
      <c r="W556" s="29"/>
      <c r="X556" s="29"/>
    </row>
    <row r="557" spans="1:24" ht="15">
      <c r="A557" s="29"/>
      <c r="B557" s="29"/>
      <c r="C557" s="29"/>
      <c r="D557" s="33"/>
      <c r="E557" s="33"/>
      <c r="G557" s="29"/>
      <c r="H557" s="29"/>
      <c r="I557" s="29"/>
      <c r="J557" s="29"/>
      <c r="K557" s="29"/>
      <c r="L557" s="29"/>
      <c r="M557" s="29"/>
      <c r="N557" s="29"/>
      <c r="O557" s="29"/>
      <c r="P557" s="29"/>
      <c r="Q557" s="29"/>
      <c r="R557" s="29"/>
      <c r="S557" s="29"/>
      <c r="T557" s="29"/>
      <c r="U557" s="29"/>
      <c r="V557" s="29"/>
      <c r="W557" s="29"/>
      <c r="X557" s="29"/>
    </row>
    <row r="558" spans="1:24" ht="15">
      <c r="A558" s="29"/>
      <c r="B558" s="29"/>
      <c r="C558" s="29"/>
      <c r="D558" s="33"/>
      <c r="E558" s="33"/>
      <c r="G558" s="29"/>
      <c r="H558" s="29"/>
      <c r="I558" s="29"/>
      <c r="J558" s="29"/>
      <c r="K558" s="29"/>
      <c r="L558" s="29"/>
      <c r="M558" s="29"/>
      <c r="N558" s="29"/>
      <c r="O558" s="29"/>
      <c r="P558" s="29"/>
      <c r="Q558" s="29"/>
      <c r="R558" s="29"/>
      <c r="S558" s="29"/>
      <c r="T558" s="29"/>
      <c r="U558" s="29"/>
      <c r="V558" s="29"/>
      <c r="W558" s="29"/>
      <c r="X558" s="29"/>
    </row>
    <row r="559" spans="1:24" ht="15">
      <c r="A559" s="29"/>
      <c r="B559" s="29"/>
      <c r="C559" s="29"/>
      <c r="D559" s="33"/>
      <c r="E559" s="33"/>
      <c r="G559" s="29"/>
      <c r="H559" s="29"/>
      <c r="I559" s="29"/>
      <c r="J559" s="29"/>
      <c r="K559" s="29"/>
      <c r="L559" s="29"/>
      <c r="M559" s="29"/>
      <c r="N559" s="29"/>
      <c r="O559" s="29"/>
      <c r="P559" s="29"/>
      <c r="Q559" s="29"/>
      <c r="R559" s="29"/>
      <c r="S559" s="29"/>
      <c r="T559" s="29"/>
      <c r="U559" s="29"/>
      <c r="V559" s="29"/>
      <c r="W559" s="29"/>
      <c r="X559" s="29"/>
    </row>
    <row r="560" spans="1:24" ht="15">
      <c r="A560" s="29"/>
      <c r="B560" s="29"/>
      <c r="C560" s="29"/>
      <c r="D560" s="33"/>
      <c r="E560" s="33"/>
      <c r="G560" s="29"/>
      <c r="H560" s="29"/>
      <c r="I560" s="29"/>
      <c r="J560" s="29"/>
      <c r="K560" s="29"/>
      <c r="L560" s="29"/>
      <c r="M560" s="29"/>
      <c r="N560" s="29"/>
      <c r="O560" s="29"/>
      <c r="P560" s="29"/>
      <c r="Q560" s="29"/>
      <c r="R560" s="29"/>
      <c r="S560" s="29"/>
      <c r="T560" s="29"/>
      <c r="U560" s="29"/>
      <c r="V560" s="29"/>
      <c r="W560" s="29"/>
      <c r="X560" s="29"/>
    </row>
    <row r="561" spans="1:24" ht="15">
      <c r="A561" s="29"/>
      <c r="B561" s="29"/>
      <c r="C561" s="29"/>
      <c r="D561" s="33"/>
      <c r="E561" s="33"/>
      <c r="G561" s="29"/>
      <c r="H561" s="29"/>
      <c r="I561" s="29"/>
      <c r="J561" s="29"/>
      <c r="K561" s="29"/>
      <c r="L561" s="29"/>
      <c r="M561" s="29"/>
      <c r="N561" s="29"/>
      <c r="O561" s="29"/>
      <c r="P561" s="29"/>
      <c r="Q561" s="29"/>
      <c r="R561" s="29"/>
      <c r="S561" s="29"/>
      <c r="T561" s="29"/>
      <c r="U561" s="29"/>
      <c r="V561" s="29"/>
      <c r="W561" s="29"/>
      <c r="X561" s="29"/>
    </row>
    <row r="562" spans="1:24" ht="15">
      <c r="A562" s="29"/>
      <c r="B562" s="29"/>
      <c r="C562" s="29"/>
      <c r="D562" s="33"/>
      <c r="E562" s="33"/>
      <c r="G562" s="29"/>
      <c r="H562" s="29"/>
      <c r="I562" s="29"/>
      <c r="J562" s="29"/>
      <c r="K562" s="29"/>
      <c r="L562" s="29"/>
      <c r="M562" s="29"/>
      <c r="N562" s="29"/>
      <c r="O562" s="29"/>
      <c r="P562" s="29"/>
      <c r="Q562" s="29"/>
      <c r="R562" s="29"/>
      <c r="S562" s="29"/>
      <c r="T562" s="29"/>
      <c r="U562" s="29"/>
      <c r="V562" s="29"/>
      <c r="W562" s="29"/>
      <c r="X562" s="29"/>
    </row>
    <row r="563" spans="1:24" ht="15">
      <c r="A563" s="29"/>
      <c r="B563" s="29"/>
      <c r="C563" s="29"/>
      <c r="D563" s="33"/>
      <c r="E563" s="33"/>
      <c r="G563" s="29"/>
      <c r="H563" s="29"/>
      <c r="I563" s="29"/>
      <c r="J563" s="29"/>
      <c r="K563" s="29"/>
      <c r="L563" s="29"/>
      <c r="M563" s="29"/>
      <c r="N563" s="29"/>
      <c r="O563" s="29"/>
      <c r="P563" s="29"/>
      <c r="Q563" s="29"/>
      <c r="R563" s="29"/>
      <c r="S563" s="29"/>
      <c r="T563" s="29"/>
      <c r="U563" s="29"/>
      <c r="V563" s="29"/>
      <c r="W563" s="29"/>
      <c r="X563" s="29"/>
    </row>
    <row r="564" spans="1:24" ht="15">
      <c r="A564" s="29"/>
      <c r="B564" s="29"/>
      <c r="C564" s="29"/>
      <c r="D564" s="33"/>
      <c r="E564" s="33"/>
      <c r="G564" s="29"/>
      <c r="H564" s="29"/>
      <c r="I564" s="29"/>
      <c r="J564" s="29"/>
      <c r="K564" s="29"/>
      <c r="L564" s="29"/>
      <c r="M564" s="29"/>
      <c r="N564" s="29"/>
      <c r="O564" s="29"/>
      <c r="P564" s="29"/>
      <c r="Q564" s="29"/>
      <c r="R564" s="29"/>
      <c r="S564" s="29"/>
      <c r="T564" s="29"/>
      <c r="U564" s="29"/>
      <c r="V564" s="29"/>
      <c r="W564" s="29"/>
      <c r="X564" s="29"/>
    </row>
    <row r="565" spans="1:24" ht="15">
      <c r="A565" s="29"/>
      <c r="B565" s="29"/>
      <c r="C565" s="29"/>
      <c r="D565" s="33"/>
      <c r="E565" s="33"/>
      <c r="G565" s="29"/>
      <c r="H565" s="29"/>
      <c r="I565" s="29"/>
      <c r="J565" s="29"/>
      <c r="K565" s="29"/>
      <c r="L565" s="29"/>
      <c r="M565" s="29"/>
      <c r="N565" s="29"/>
      <c r="O565" s="29"/>
      <c r="P565" s="29"/>
      <c r="Q565" s="29"/>
      <c r="R565" s="29"/>
      <c r="S565" s="29"/>
      <c r="T565" s="29"/>
      <c r="U565" s="29"/>
      <c r="V565" s="29"/>
      <c r="W565" s="29"/>
      <c r="X565" s="29"/>
    </row>
    <row r="566" spans="1:24" ht="15">
      <c r="A566" s="29"/>
      <c r="B566" s="29"/>
      <c r="C566" s="29"/>
      <c r="D566" s="33"/>
      <c r="E566" s="33"/>
      <c r="G566" s="29"/>
      <c r="H566" s="29"/>
      <c r="I566" s="29"/>
      <c r="J566" s="29"/>
      <c r="K566" s="29"/>
      <c r="L566" s="29"/>
      <c r="M566" s="29"/>
      <c r="N566" s="29"/>
      <c r="O566" s="29"/>
      <c r="P566" s="29"/>
      <c r="Q566" s="29"/>
      <c r="R566" s="29"/>
      <c r="S566" s="29"/>
      <c r="T566" s="29"/>
      <c r="U566" s="29"/>
      <c r="V566" s="29"/>
      <c r="W566" s="29"/>
      <c r="X566" s="29"/>
    </row>
    <row r="567" spans="1:24" ht="15">
      <c r="A567" s="29"/>
      <c r="B567" s="29"/>
      <c r="C567" s="29"/>
      <c r="D567" s="33"/>
      <c r="E567" s="33"/>
      <c r="G567" s="29"/>
      <c r="H567" s="29"/>
      <c r="I567" s="29"/>
      <c r="J567" s="29"/>
      <c r="K567" s="29"/>
      <c r="L567" s="29"/>
      <c r="M567" s="29"/>
      <c r="N567" s="29"/>
      <c r="O567" s="29"/>
      <c r="P567" s="29"/>
      <c r="Q567" s="29"/>
      <c r="R567" s="29"/>
      <c r="S567" s="29"/>
      <c r="T567" s="29"/>
      <c r="U567" s="29"/>
      <c r="V567" s="29"/>
      <c r="W567" s="29"/>
      <c r="X567" s="29"/>
    </row>
    <row r="568" spans="1:24" ht="15">
      <c r="A568" s="29"/>
      <c r="B568" s="29"/>
      <c r="C568" s="29"/>
      <c r="D568" s="33"/>
      <c r="E568" s="33"/>
      <c r="G568" s="29"/>
      <c r="H568" s="29"/>
      <c r="I568" s="29"/>
      <c r="J568" s="29"/>
      <c r="K568" s="29"/>
      <c r="L568" s="29"/>
      <c r="M568" s="29"/>
      <c r="N568" s="29"/>
      <c r="O568" s="29"/>
      <c r="P568" s="29"/>
      <c r="Q568" s="29"/>
      <c r="R568" s="29"/>
      <c r="S568" s="29"/>
      <c r="T568" s="29"/>
      <c r="U568" s="29"/>
      <c r="V568" s="29"/>
      <c r="W568" s="29"/>
      <c r="X568" s="29"/>
    </row>
    <row r="569" spans="1:24" ht="15">
      <c r="A569" s="29"/>
      <c r="B569" s="29"/>
      <c r="C569" s="29"/>
      <c r="D569" s="33"/>
      <c r="E569" s="33"/>
      <c r="G569" s="29"/>
      <c r="H569" s="29"/>
      <c r="I569" s="29"/>
      <c r="J569" s="29"/>
      <c r="K569" s="29"/>
      <c r="L569" s="29"/>
      <c r="M569" s="29"/>
      <c r="N569" s="29"/>
      <c r="O569" s="29"/>
      <c r="P569" s="29"/>
      <c r="Q569" s="29"/>
      <c r="R569" s="29"/>
      <c r="S569" s="29"/>
      <c r="T569" s="29"/>
      <c r="U569" s="29"/>
      <c r="V569" s="29"/>
      <c r="W569" s="29"/>
      <c r="X569" s="29"/>
    </row>
    <row r="570" spans="1:24" ht="15">
      <c r="A570" s="29"/>
      <c r="B570" s="29"/>
      <c r="C570" s="29"/>
      <c r="D570" s="33"/>
      <c r="E570" s="33"/>
      <c r="G570" s="29"/>
      <c r="H570" s="29"/>
      <c r="I570" s="29"/>
      <c r="J570" s="29"/>
      <c r="K570" s="29"/>
      <c r="L570" s="29"/>
      <c r="M570" s="29"/>
      <c r="N570" s="29"/>
      <c r="O570" s="29"/>
      <c r="P570" s="29"/>
      <c r="Q570" s="29"/>
      <c r="R570" s="29"/>
      <c r="S570" s="29"/>
      <c r="T570" s="29"/>
      <c r="U570" s="29"/>
      <c r="V570" s="29"/>
      <c r="W570" s="29"/>
      <c r="X570" s="29"/>
    </row>
    <row r="571" spans="1:24" ht="15">
      <c r="A571" s="29"/>
      <c r="B571" s="29"/>
      <c r="C571" s="29"/>
      <c r="D571" s="33"/>
      <c r="E571" s="33"/>
      <c r="G571" s="29"/>
      <c r="H571" s="29"/>
      <c r="I571" s="29"/>
      <c r="J571" s="29"/>
      <c r="K571" s="29"/>
      <c r="L571" s="29"/>
      <c r="M571" s="29"/>
      <c r="N571" s="29"/>
      <c r="O571" s="29"/>
      <c r="P571" s="29"/>
      <c r="Q571" s="29"/>
      <c r="R571" s="29"/>
      <c r="S571" s="29"/>
      <c r="T571" s="29"/>
      <c r="U571" s="29"/>
      <c r="V571" s="29"/>
      <c r="W571" s="29"/>
      <c r="X571" s="29"/>
    </row>
    <row r="572" spans="1:24" ht="15">
      <c r="A572" s="29"/>
      <c r="B572" s="29"/>
      <c r="C572" s="29"/>
      <c r="D572" s="33"/>
      <c r="E572" s="33"/>
      <c r="G572" s="29"/>
      <c r="H572" s="29"/>
      <c r="I572" s="29"/>
      <c r="J572" s="29"/>
      <c r="K572" s="29"/>
      <c r="L572" s="29"/>
      <c r="M572" s="29"/>
      <c r="N572" s="29"/>
      <c r="O572" s="29"/>
      <c r="P572" s="29"/>
      <c r="Q572" s="29"/>
      <c r="R572" s="29"/>
      <c r="S572" s="29"/>
      <c r="T572" s="29"/>
      <c r="U572" s="29"/>
      <c r="V572" s="29"/>
      <c r="W572" s="29"/>
      <c r="X572" s="29"/>
    </row>
    <row r="573" spans="1:24" ht="15">
      <c r="A573" s="29"/>
      <c r="B573" s="29"/>
      <c r="C573" s="29"/>
      <c r="D573" s="33"/>
      <c r="E573" s="33"/>
      <c r="G573" s="29"/>
      <c r="H573" s="29"/>
      <c r="I573" s="29"/>
      <c r="J573" s="29"/>
      <c r="K573" s="29"/>
      <c r="L573" s="29"/>
      <c r="M573" s="29"/>
      <c r="N573" s="29"/>
      <c r="O573" s="29"/>
      <c r="P573" s="29"/>
      <c r="Q573" s="29"/>
      <c r="R573" s="29"/>
      <c r="S573" s="29"/>
      <c r="T573" s="29"/>
      <c r="U573" s="29"/>
      <c r="V573" s="29"/>
      <c r="W573" s="29"/>
      <c r="X573" s="29"/>
    </row>
    <row r="574" spans="1:24" ht="15">
      <c r="A574" s="29"/>
      <c r="B574" s="29"/>
      <c r="C574" s="29"/>
      <c r="D574" s="33"/>
      <c r="E574" s="33"/>
      <c r="G574" s="29"/>
      <c r="H574" s="29"/>
      <c r="I574" s="29"/>
      <c r="J574" s="29"/>
      <c r="K574" s="29"/>
      <c r="L574" s="29"/>
      <c r="M574" s="29"/>
      <c r="N574" s="29"/>
      <c r="O574" s="29"/>
      <c r="P574" s="29"/>
      <c r="Q574" s="29"/>
      <c r="R574" s="29"/>
      <c r="S574" s="29"/>
      <c r="T574" s="29"/>
      <c r="U574" s="29"/>
      <c r="V574" s="29"/>
      <c r="W574" s="29"/>
      <c r="X574" s="29"/>
    </row>
    <row r="575" spans="1:24" ht="15">
      <c r="A575" s="29"/>
      <c r="B575" s="29"/>
      <c r="C575" s="29"/>
      <c r="D575" s="33"/>
      <c r="E575" s="33"/>
      <c r="G575" s="29"/>
      <c r="H575" s="29"/>
      <c r="I575" s="29"/>
      <c r="J575" s="29"/>
      <c r="K575" s="29"/>
      <c r="L575" s="29"/>
      <c r="M575" s="29"/>
      <c r="N575" s="29"/>
      <c r="O575" s="29"/>
      <c r="P575" s="29"/>
      <c r="Q575" s="29"/>
      <c r="R575" s="29"/>
      <c r="S575" s="29"/>
      <c r="T575" s="29"/>
      <c r="U575" s="29"/>
      <c r="V575" s="29"/>
      <c r="W575" s="29"/>
      <c r="X575" s="29"/>
    </row>
    <row r="576" spans="1:24" ht="15">
      <c r="A576" s="29"/>
      <c r="B576" s="29"/>
      <c r="C576" s="29"/>
      <c r="D576" s="33"/>
      <c r="E576" s="33"/>
      <c r="G576" s="29"/>
      <c r="H576" s="29"/>
      <c r="I576" s="29"/>
      <c r="J576" s="29"/>
      <c r="K576" s="29"/>
      <c r="L576" s="29"/>
      <c r="M576" s="29"/>
      <c r="N576" s="29"/>
      <c r="O576" s="29"/>
      <c r="P576" s="29"/>
      <c r="Q576" s="29"/>
      <c r="R576" s="29"/>
      <c r="S576" s="29"/>
      <c r="T576" s="29"/>
      <c r="U576" s="29"/>
      <c r="V576" s="29"/>
      <c r="W576" s="29"/>
      <c r="X576" s="29"/>
    </row>
    <row r="577" spans="1:24" ht="15">
      <c r="A577" s="29"/>
      <c r="B577" s="29"/>
      <c r="C577" s="29"/>
      <c r="D577" s="33"/>
      <c r="E577" s="33"/>
      <c r="G577" s="29"/>
      <c r="H577" s="29"/>
      <c r="I577" s="29"/>
      <c r="J577" s="29"/>
      <c r="K577" s="29"/>
      <c r="L577" s="29"/>
      <c r="M577" s="29"/>
      <c r="N577" s="29"/>
      <c r="O577" s="29"/>
      <c r="P577" s="29"/>
      <c r="Q577" s="29"/>
      <c r="R577" s="29"/>
      <c r="S577" s="29"/>
      <c r="T577" s="29"/>
      <c r="U577" s="29"/>
      <c r="V577" s="29"/>
      <c r="W577" s="29"/>
      <c r="X577" s="29"/>
    </row>
    <row r="578" spans="1:24" ht="15">
      <c r="A578" s="29"/>
      <c r="B578" s="29"/>
      <c r="C578" s="29"/>
      <c r="D578" s="33"/>
      <c r="E578" s="33"/>
      <c r="G578" s="29"/>
      <c r="H578" s="29"/>
      <c r="I578" s="29"/>
      <c r="J578" s="29"/>
      <c r="K578" s="29"/>
      <c r="L578" s="29"/>
      <c r="M578" s="29"/>
      <c r="N578" s="29"/>
      <c r="O578" s="29"/>
      <c r="P578" s="29"/>
      <c r="Q578" s="29"/>
      <c r="R578" s="29"/>
      <c r="S578" s="29"/>
      <c r="T578" s="29"/>
      <c r="U578" s="29"/>
      <c r="V578" s="29"/>
      <c r="W578" s="29"/>
      <c r="X578" s="29"/>
    </row>
    <row r="579" spans="1:24" ht="15">
      <c r="A579" s="29"/>
      <c r="B579" s="29"/>
      <c r="C579" s="29"/>
      <c r="D579" s="33"/>
      <c r="E579" s="33"/>
      <c r="G579" s="29"/>
      <c r="H579" s="29"/>
      <c r="I579" s="29"/>
      <c r="J579" s="29"/>
      <c r="K579" s="29"/>
      <c r="L579" s="29"/>
      <c r="M579" s="29"/>
      <c r="N579" s="29"/>
      <c r="O579" s="29"/>
      <c r="P579" s="29"/>
      <c r="Q579" s="29"/>
      <c r="R579" s="29"/>
      <c r="S579" s="29"/>
      <c r="T579" s="29"/>
      <c r="U579" s="29"/>
      <c r="V579" s="29"/>
      <c r="W579" s="29"/>
      <c r="X579" s="29"/>
    </row>
    <row r="580" spans="1:24" ht="15">
      <c r="A580" s="29"/>
      <c r="B580" s="29"/>
      <c r="C580" s="29"/>
      <c r="D580" s="33"/>
      <c r="E580" s="33"/>
      <c r="G580" s="29"/>
      <c r="H580" s="29"/>
      <c r="I580" s="29"/>
      <c r="J580" s="29"/>
      <c r="K580" s="29"/>
      <c r="L580" s="29"/>
      <c r="M580" s="29"/>
      <c r="N580" s="29"/>
      <c r="O580" s="29"/>
      <c r="P580" s="29"/>
      <c r="Q580" s="29"/>
      <c r="R580" s="29"/>
      <c r="S580" s="29"/>
      <c r="T580" s="29"/>
      <c r="U580" s="29"/>
      <c r="V580" s="29"/>
      <c r="W580" s="29"/>
      <c r="X580" s="29"/>
    </row>
    <row r="581" spans="1:24" ht="15">
      <c r="A581" s="29"/>
      <c r="B581" s="29"/>
      <c r="C581" s="29"/>
      <c r="D581" s="33"/>
      <c r="E581" s="33"/>
      <c r="G581" s="29"/>
      <c r="H581" s="29"/>
      <c r="I581" s="29"/>
      <c r="J581" s="29"/>
      <c r="K581" s="29"/>
      <c r="L581" s="29"/>
      <c r="M581" s="29"/>
      <c r="N581" s="29"/>
      <c r="O581" s="29"/>
      <c r="P581" s="29"/>
      <c r="Q581" s="29"/>
      <c r="R581" s="29"/>
      <c r="S581" s="29"/>
      <c r="T581" s="29"/>
      <c r="U581" s="29"/>
      <c r="V581" s="29"/>
      <c r="W581" s="29"/>
      <c r="X581" s="29"/>
    </row>
    <row r="582" spans="1:24" ht="15">
      <c r="A582" s="29"/>
      <c r="B582" s="29"/>
      <c r="C582" s="29"/>
      <c r="D582" s="33"/>
      <c r="E582" s="33"/>
      <c r="G582" s="29"/>
      <c r="H582" s="29"/>
      <c r="I582" s="29"/>
      <c r="J582" s="29"/>
      <c r="K582" s="29"/>
      <c r="L582" s="29"/>
      <c r="M582" s="29"/>
      <c r="N582" s="29"/>
      <c r="O582" s="29"/>
      <c r="P582" s="29"/>
      <c r="Q582" s="29"/>
      <c r="R582" s="29"/>
      <c r="S582" s="29"/>
      <c r="T582" s="29"/>
      <c r="U582" s="29"/>
      <c r="V582" s="29"/>
      <c r="W582" s="29"/>
      <c r="X582" s="29"/>
    </row>
    <row r="583" spans="1:24" ht="15">
      <c r="A583" s="29"/>
      <c r="B583" s="29"/>
      <c r="C583" s="29"/>
      <c r="D583" s="33"/>
      <c r="E583" s="33"/>
      <c r="G583" s="29"/>
      <c r="H583" s="29"/>
      <c r="I583" s="29"/>
      <c r="J583" s="29"/>
      <c r="K583" s="29"/>
      <c r="L583" s="29"/>
      <c r="M583" s="29"/>
      <c r="N583" s="29"/>
      <c r="O583" s="29"/>
      <c r="P583" s="29"/>
      <c r="Q583" s="29"/>
      <c r="R583" s="29"/>
      <c r="S583" s="29"/>
      <c r="T583" s="29"/>
      <c r="U583" s="29"/>
      <c r="V583" s="29"/>
      <c r="W583" s="29"/>
      <c r="X583" s="29"/>
    </row>
    <row r="584" spans="1:24" ht="15">
      <c r="A584" s="29"/>
      <c r="B584" s="29"/>
      <c r="C584" s="29"/>
      <c r="D584" s="33"/>
      <c r="E584" s="33"/>
      <c r="G584" s="29"/>
      <c r="H584" s="29"/>
      <c r="I584" s="29"/>
      <c r="J584" s="29"/>
      <c r="K584" s="29"/>
      <c r="L584" s="29"/>
      <c r="M584" s="29"/>
      <c r="N584" s="29"/>
      <c r="O584" s="29"/>
      <c r="P584" s="29"/>
      <c r="Q584" s="29"/>
      <c r="R584" s="29"/>
      <c r="S584" s="29"/>
      <c r="T584" s="29"/>
      <c r="U584" s="29"/>
      <c r="V584" s="29"/>
      <c r="W584" s="29"/>
      <c r="X584" s="29"/>
    </row>
    <row r="585" spans="1:24" ht="15">
      <c r="A585" s="29"/>
      <c r="B585" s="29"/>
      <c r="C585" s="29"/>
      <c r="D585" s="33"/>
      <c r="E585" s="33"/>
      <c r="G585" s="29"/>
      <c r="H585" s="29"/>
      <c r="I585" s="29"/>
      <c r="J585" s="29"/>
      <c r="K585" s="29"/>
      <c r="L585" s="29"/>
      <c r="M585" s="29"/>
      <c r="N585" s="29"/>
      <c r="O585" s="29"/>
      <c r="P585" s="29"/>
      <c r="Q585" s="29"/>
      <c r="R585" s="29"/>
      <c r="S585" s="29"/>
      <c r="T585" s="29"/>
      <c r="U585" s="29"/>
      <c r="V585" s="29"/>
      <c r="W585" s="29"/>
      <c r="X585" s="29"/>
    </row>
    <row r="586" spans="1:24" ht="15">
      <c r="A586" s="29"/>
      <c r="B586" s="29"/>
      <c r="C586" s="29"/>
      <c r="D586" s="33"/>
      <c r="E586" s="33"/>
      <c r="G586" s="29"/>
      <c r="H586" s="29"/>
      <c r="I586" s="29"/>
      <c r="J586" s="29"/>
      <c r="K586" s="29"/>
      <c r="L586" s="29"/>
      <c r="M586" s="29"/>
      <c r="N586" s="29"/>
      <c r="O586" s="29"/>
      <c r="P586" s="29"/>
      <c r="Q586" s="29"/>
      <c r="R586" s="29"/>
      <c r="S586" s="29"/>
      <c r="T586" s="29"/>
      <c r="U586" s="29"/>
      <c r="V586" s="29"/>
      <c r="W586" s="29"/>
      <c r="X586" s="29"/>
    </row>
    <row r="587" spans="1:24" ht="15">
      <c r="A587" s="29"/>
      <c r="B587" s="29"/>
      <c r="C587" s="29"/>
      <c r="D587" s="33"/>
      <c r="E587" s="33"/>
      <c r="G587" s="29"/>
      <c r="H587" s="29"/>
      <c r="I587" s="29"/>
      <c r="J587" s="29"/>
      <c r="K587" s="29"/>
      <c r="L587" s="29"/>
      <c r="M587" s="29"/>
      <c r="N587" s="29"/>
      <c r="O587" s="29"/>
      <c r="P587" s="29"/>
      <c r="Q587" s="29"/>
      <c r="R587" s="29"/>
      <c r="S587" s="29"/>
      <c r="T587" s="29"/>
      <c r="U587" s="29"/>
      <c r="V587" s="29"/>
      <c r="W587" s="29"/>
      <c r="X587" s="29"/>
    </row>
    <row r="588" spans="1:24" ht="15">
      <c r="A588" s="29"/>
      <c r="B588" s="29"/>
      <c r="C588" s="29"/>
      <c r="D588" s="33"/>
      <c r="E588" s="33"/>
      <c r="G588" s="29"/>
      <c r="H588" s="29"/>
      <c r="I588" s="29"/>
      <c r="J588" s="29"/>
      <c r="K588" s="29"/>
      <c r="L588" s="29"/>
      <c r="M588" s="29"/>
      <c r="N588" s="29"/>
      <c r="O588" s="29"/>
      <c r="P588" s="29"/>
      <c r="Q588" s="29"/>
      <c r="R588" s="29"/>
      <c r="S588" s="29"/>
      <c r="T588" s="29"/>
      <c r="U588" s="29"/>
      <c r="V588" s="29"/>
      <c r="W588" s="29"/>
      <c r="X588" s="29"/>
    </row>
    <row r="589" spans="1:24" ht="15">
      <c r="A589" s="29"/>
      <c r="B589" s="29"/>
      <c r="C589" s="29"/>
      <c r="D589" s="33"/>
      <c r="E589" s="33"/>
      <c r="G589" s="29"/>
      <c r="H589" s="29"/>
      <c r="I589" s="29"/>
      <c r="J589" s="29"/>
      <c r="K589" s="29"/>
      <c r="L589" s="29"/>
      <c r="M589" s="29"/>
      <c r="N589" s="29"/>
      <c r="O589" s="29"/>
      <c r="P589" s="29"/>
      <c r="Q589" s="29"/>
      <c r="R589" s="29"/>
      <c r="S589" s="29"/>
      <c r="T589" s="29"/>
      <c r="U589" s="29"/>
      <c r="V589" s="29"/>
      <c r="W589" s="29"/>
      <c r="X589" s="29"/>
    </row>
    <row r="590" spans="1:24" ht="15">
      <c r="A590" s="29"/>
      <c r="B590" s="29"/>
      <c r="C590" s="29"/>
      <c r="D590" s="33"/>
      <c r="E590" s="33"/>
      <c r="G590" s="29"/>
      <c r="H590" s="29"/>
      <c r="I590" s="29"/>
      <c r="J590" s="29"/>
      <c r="K590" s="29"/>
      <c r="L590" s="29"/>
      <c r="M590" s="29"/>
      <c r="N590" s="29"/>
      <c r="O590" s="29"/>
      <c r="P590" s="29"/>
      <c r="Q590" s="29"/>
      <c r="R590" s="29"/>
      <c r="S590" s="29"/>
      <c r="T590" s="29"/>
      <c r="U590" s="29"/>
      <c r="V590" s="29"/>
      <c r="W590" s="29"/>
      <c r="X590" s="29"/>
    </row>
    <row r="591" spans="1:24" ht="15">
      <c r="A591" s="29"/>
      <c r="B591" s="29"/>
      <c r="C591" s="29"/>
      <c r="D591" s="33"/>
      <c r="E591" s="33"/>
      <c r="G591" s="29"/>
      <c r="H591" s="29"/>
      <c r="I591" s="29"/>
      <c r="J591" s="29"/>
      <c r="K591" s="29"/>
      <c r="L591" s="29"/>
      <c r="M591" s="29"/>
      <c r="N591" s="29"/>
      <c r="O591" s="29"/>
      <c r="P591" s="29"/>
      <c r="Q591" s="29"/>
      <c r="R591" s="29"/>
      <c r="S591" s="29"/>
      <c r="T591" s="29"/>
      <c r="U591" s="29"/>
      <c r="V591" s="29"/>
      <c r="W591" s="29"/>
      <c r="X591" s="29"/>
    </row>
    <row r="592" spans="1:24" ht="15">
      <c r="A592" s="29"/>
      <c r="B592" s="29"/>
      <c r="C592" s="29"/>
      <c r="D592" s="33"/>
      <c r="E592" s="33"/>
      <c r="G592" s="29"/>
      <c r="H592" s="29"/>
      <c r="I592" s="29"/>
      <c r="J592" s="29"/>
      <c r="K592" s="29"/>
      <c r="L592" s="29"/>
      <c r="M592" s="29"/>
      <c r="N592" s="29"/>
      <c r="O592" s="29"/>
      <c r="P592" s="29"/>
      <c r="Q592" s="29"/>
      <c r="R592" s="29"/>
      <c r="S592" s="29"/>
      <c r="T592" s="29"/>
      <c r="U592" s="29"/>
      <c r="V592" s="29"/>
      <c r="W592" s="29"/>
      <c r="X592" s="29"/>
    </row>
    <row r="593" spans="1:24" ht="15">
      <c r="A593" s="29"/>
      <c r="B593" s="29"/>
      <c r="C593" s="29"/>
      <c r="D593" s="33"/>
      <c r="E593" s="33"/>
      <c r="G593" s="29"/>
      <c r="H593" s="29"/>
      <c r="I593" s="29"/>
      <c r="J593" s="29"/>
      <c r="K593" s="29"/>
      <c r="L593" s="29"/>
      <c r="M593" s="29"/>
      <c r="N593" s="29"/>
      <c r="O593" s="29"/>
      <c r="P593" s="29"/>
      <c r="Q593" s="29"/>
      <c r="R593" s="29"/>
      <c r="S593" s="29"/>
      <c r="T593" s="29"/>
      <c r="U593" s="29"/>
      <c r="V593" s="29"/>
      <c r="W593" s="29"/>
      <c r="X593" s="29"/>
    </row>
    <row r="594" spans="1:24" ht="15">
      <c r="A594" s="29"/>
      <c r="B594" s="29"/>
      <c r="C594" s="29"/>
      <c r="D594" s="33"/>
      <c r="E594" s="33"/>
      <c r="G594" s="29"/>
      <c r="H594" s="29"/>
      <c r="I594" s="29"/>
      <c r="J594" s="29"/>
      <c r="K594" s="29"/>
      <c r="L594" s="29"/>
      <c r="M594" s="29"/>
      <c r="N594" s="29"/>
      <c r="O594" s="29"/>
      <c r="P594" s="29"/>
      <c r="Q594" s="29"/>
      <c r="R594" s="29"/>
      <c r="S594" s="29"/>
      <c r="T594" s="29"/>
      <c r="U594" s="29"/>
      <c r="V594" s="29"/>
      <c r="W594" s="29"/>
      <c r="X594" s="29"/>
    </row>
    <row r="595" spans="1:24" ht="15">
      <c r="A595" s="29"/>
      <c r="B595" s="29"/>
      <c r="C595" s="29"/>
      <c r="D595" s="33"/>
      <c r="E595" s="33"/>
      <c r="G595" s="29"/>
      <c r="H595" s="29"/>
      <c r="I595" s="29"/>
      <c r="J595" s="29"/>
      <c r="K595" s="29"/>
      <c r="L595" s="29"/>
      <c r="M595" s="29"/>
      <c r="N595" s="29"/>
      <c r="O595" s="29"/>
      <c r="P595" s="29"/>
      <c r="Q595" s="29"/>
      <c r="R595" s="29"/>
      <c r="S595" s="29"/>
      <c r="T595" s="29"/>
      <c r="U595" s="29"/>
      <c r="V595" s="29"/>
      <c r="W595" s="29"/>
      <c r="X595" s="29"/>
    </row>
    <row r="596" spans="1:24" ht="15">
      <c r="A596" s="29"/>
      <c r="B596" s="29"/>
      <c r="C596" s="29"/>
      <c r="D596" s="33"/>
      <c r="E596" s="33"/>
      <c r="G596" s="29"/>
      <c r="H596" s="29"/>
      <c r="I596" s="29"/>
      <c r="J596" s="29"/>
      <c r="K596" s="29"/>
      <c r="L596" s="29"/>
      <c r="M596" s="29"/>
      <c r="N596" s="29"/>
      <c r="O596" s="29"/>
      <c r="P596" s="29"/>
      <c r="Q596" s="29"/>
      <c r="R596" s="29"/>
      <c r="S596" s="29"/>
      <c r="T596" s="29"/>
      <c r="U596" s="29"/>
      <c r="V596" s="29"/>
      <c r="W596" s="29"/>
      <c r="X596" s="29"/>
    </row>
    <row r="597" spans="1:24" ht="15">
      <c r="A597" s="29"/>
      <c r="B597" s="29"/>
      <c r="C597" s="29"/>
      <c r="D597" s="33"/>
      <c r="E597" s="33"/>
      <c r="G597" s="29"/>
      <c r="H597" s="29"/>
      <c r="I597" s="29"/>
      <c r="J597" s="29"/>
      <c r="K597" s="29"/>
      <c r="L597" s="29"/>
      <c r="M597" s="29"/>
      <c r="N597" s="29"/>
      <c r="O597" s="29"/>
      <c r="P597" s="29"/>
      <c r="Q597" s="29"/>
      <c r="R597" s="29"/>
      <c r="S597" s="29"/>
      <c r="T597" s="29"/>
      <c r="U597" s="29"/>
      <c r="V597" s="29"/>
      <c r="W597" s="29"/>
      <c r="X597" s="29"/>
    </row>
    <row r="598" spans="1:24" ht="15">
      <c r="A598" s="29"/>
      <c r="B598" s="29"/>
      <c r="C598" s="29"/>
      <c r="D598" s="33"/>
      <c r="E598" s="33"/>
      <c r="G598" s="29"/>
      <c r="H598" s="29"/>
      <c r="I598" s="29"/>
      <c r="J598" s="29"/>
      <c r="K598" s="29"/>
      <c r="L598" s="29"/>
      <c r="M598" s="29"/>
      <c r="N598" s="29"/>
      <c r="O598" s="29"/>
      <c r="P598" s="29"/>
      <c r="Q598" s="29"/>
      <c r="R598" s="29"/>
      <c r="S598" s="29"/>
      <c r="T598" s="29"/>
      <c r="U598" s="29"/>
      <c r="V598" s="29"/>
      <c r="W598" s="29"/>
      <c r="X598" s="29"/>
    </row>
    <row r="599" spans="1:24" ht="15">
      <c r="A599" s="29"/>
      <c r="B599" s="29"/>
      <c r="C599" s="29"/>
      <c r="D599" s="33"/>
      <c r="E599" s="33"/>
      <c r="G599" s="29"/>
      <c r="H599" s="29"/>
      <c r="I599" s="29"/>
      <c r="J599" s="29"/>
      <c r="K599" s="29"/>
      <c r="L599" s="29"/>
      <c r="M599" s="29"/>
      <c r="N599" s="29"/>
      <c r="O599" s="29"/>
      <c r="P599" s="29"/>
      <c r="Q599" s="29"/>
      <c r="R599" s="29"/>
      <c r="S599" s="29"/>
      <c r="T599" s="29"/>
      <c r="U599" s="29"/>
      <c r="V599" s="29"/>
      <c r="W599" s="29"/>
      <c r="X599" s="29"/>
    </row>
  </sheetData>
  <mergeCells count="6">
    <mergeCell ref="D2:E2"/>
    <mergeCell ref="D1:E1"/>
    <mergeCell ref="E18:E20"/>
    <mergeCell ref="E32:E34"/>
    <mergeCell ref="E11:E15"/>
    <mergeCell ref="E25:E29"/>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AMJ605"/>
  <sheetViews>
    <sheetView workbookViewId="0"/>
  </sheetViews>
  <sheetFormatPr defaultRowHeight="15.75" customHeight="1"/>
  <cols>
    <col min="1" max="1" width="2.28515625" style="27"/>
    <col min="2" max="2" width="3.140625" style="27"/>
    <col min="3" max="3" width="61.42578125" style="27"/>
    <col min="4" max="4" width="13.42578125" style="28"/>
    <col min="5" max="5" width="19.85546875" style="28"/>
    <col min="6" max="6" width="13.42578125"/>
    <col min="7" max="7" width="12.7109375" style="27"/>
    <col min="8" max="8" width="13.42578125" style="27"/>
    <col min="9" max="9" width="11.42578125" style="27"/>
    <col min="10" max="10" width="7.7109375" style="27"/>
    <col min="11" max="1024" width="13.42578125" style="27"/>
    <col min="1025" max="1025" width="11.42578125"/>
  </cols>
  <sheetData>
    <row r="1" spans="1:24" ht="15" customHeight="1">
      <c r="A1" s="29"/>
      <c r="B1" s="29"/>
      <c r="C1" s="29"/>
      <c r="D1" s="515" t="s">
        <v>231</v>
      </c>
      <c r="E1" s="515"/>
      <c r="G1" s="29"/>
      <c r="H1" s="29"/>
      <c r="I1" s="29"/>
      <c r="J1" s="29"/>
      <c r="K1" s="29"/>
      <c r="L1" s="29"/>
      <c r="M1" s="29"/>
      <c r="N1" s="29"/>
      <c r="O1" s="29"/>
      <c r="P1" s="29"/>
      <c r="Q1" s="29"/>
      <c r="R1" s="29"/>
      <c r="S1" s="29"/>
      <c r="T1" s="29"/>
      <c r="U1" s="29"/>
      <c r="V1" s="29"/>
      <c r="W1" s="29"/>
      <c r="X1" s="29"/>
    </row>
    <row r="2" spans="1:24" ht="15" customHeight="1">
      <c r="A2" s="29"/>
      <c r="B2" s="31" t="s">
        <v>232</v>
      </c>
      <c r="C2" s="29"/>
      <c r="D2" s="522">
        <f>E5</f>
        <v>82.857142857142861</v>
      </c>
      <c r="E2" s="523"/>
      <c r="G2" s="29"/>
      <c r="H2" s="29"/>
      <c r="I2" s="29"/>
      <c r="J2" s="29"/>
      <c r="K2" s="29"/>
      <c r="L2" s="29"/>
      <c r="M2" s="29"/>
      <c r="N2" s="29"/>
      <c r="O2" s="29"/>
      <c r="P2" s="29"/>
      <c r="Q2" s="29"/>
      <c r="R2" s="29"/>
      <c r="S2" s="29"/>
      <c r="T2" s="29"/>
      <c r="U2" s="29"/>
      <c r="V2" s="29"/>
      <c r="W2" s="29"/>
      <c r="X2" s="29"/>
    </row>
    <row r="3" spans="1:24" ht="15">
      <c r="A3" s="29"/>
      <c r="B3" s="29"/>
      <c r="C3" s="29"/>
      <c r="D3" s="33"/>
      <c r="E3" s="33"/>
      <c r="G3" s="29"/>
      <c r="H3" s="29"/>
      <c r="I3" s="29"/>
      <c r="J3" s="29"/>
      <c r="K3" s="29"/>
      <c r="L3" s="29"/>
      <c r="M3" s="29"/>
      <c r="N3" s="29"/>
      <c r="O3" s="29"/>
      <c r="P3" s="29"/>
      <c r="Q3" s="29"/>
      <c r="R3" s="29"/>
      <c r="S3" s="29"/>
      <c r="T3" s="29"/>
      <c r="U3" s="29"/>
      <c r="V3" s="29"/>
      <c r="W3" s="29"/>
      <c r="X3" s="29"/>
    </row>
    <row r="4" spans="1:24" ht="15">
      <c r="A4" s="29"/>
      <c r="B4" s="34" t="s">
        <v>233</v>
      </c>
      <c r="C4" s="32"/>
      <c r="D4" s="35" t="s">
        <v>234</v>
      </c>
      <c r="E4" s="35" t="s">
        <v>235</v>
      </c>
      <c r="G4" s="29"/>
      <c r="H4" s="29"/>
      <c r="I4" s="29"/>
      <c r="J4" s="29"/>
      <c r="K4" s="29"/>
      <c r="L4" s="29"/>
      <c r="M4" s="29"/>
      <c r="N4" s="29"/>
      <c r="O4" s="29"/>
      <c r="P4" s="29"/>
      <c r="Q4" s="29"/>
      <c r="R4" s="29"/>
      <c r="S4" s="29"/>
      <c r="T4" s="29"/>
      <c r="U4" s="29"/>
      <c r="V4" s="29"/>
      <c r="W4" s="29"/>
      <c r="X4" s="29"/>
    </row>
    <row r="5" spans="1:24" ht="15">
      <c r="A5" s="29"/>
      <c r="B5" s="36" t="s">
        <v>236</v>
      </c>
      <c r="C5" s="36" t="s">
        <v>237</v>
      </c>
      <c r="D5" s="37">
        <v>1</v>
      </c>
      <c r="E5" s="38">
        <f>E9+E27</f>
        <v>82.857142857142861</v>
      </c>
      <c r="G5" s="29"/>
      <c r="H5" s="29"/>
      <c r="I5" s="29"/>
      <c r="J5" s="29"/>
      <c r="K5" s="29"/>
      <c r="L5" s="29"/>
      <c r="M5" s="29"/>
      <c r="N5" s="29"/>
      <c r="O5" s="29"/>
      <c r="P5" s="29"/>
      <c r="Q5" s="29"/>
      <c r="R5" s="29"/>
      <c r="S5" s="29"/>
      <c r="T5" s="29"/>
      <c r="U5" s="29"/>
      <c r="V5" s="29"/>
      <c r="W5" s="29"/>
      <c r="X5" s="29"/>
    </row>
    <row r="6" spans="1:24" ht="15">
      <c r="A6" s="29"/>
      <c r="B6" s="39"/>
      <c r="C6" s="39"/>
      <c r="D6" s="40"/>
      <c r="E6" s="40"/>
      <c r="G6" s="29"/>
      <c r="H6" s="29"/>
      <c r="I6" s="29"/>
      <c r="J6" s="29"/>
      <c r="K6" s="29"/>
      <c r="L6" s="29"/>
      <c r="M6" s="29"/>
      <c r="N6" s="29"/>
      <c r="O6" s="29"/>
      <c r="P6" s="29"/>
      <c r="Q6" s="29"/>
      <c r="R6" s="29"/>
      <c r="S6" s="29"/>
      <c r="T6" s="29"/>
      <c r="U6" s="29"/>
      <c r="V6" s="29"/>
      <c r="W6" s="29"/>
      <c r="X6" s="29"/>
    </row>
    <row r="7" spans="1:24" ht="15">
      <c r="A7" s="29"/>
      <c r="B7" s="41"/>
      <c r="C7" s="42" t="s">
        <v>238</v>
      </c>
      <c r="D7" s="43" t="s">
        <v>239</v>
      </c>
      <c r="E7" s="43" t="s">
        <v>240</v>
      </c>
      <c r="F7" t="s">
        <v>241</v>
      </c>
      <c r="G7" s="29"/>
      <c r="H7" s="29"/>
      <c r="I7" s="29"/>
      <c r="J7" s="29"/>
      <c r="K7" s="29"/>
      <c r="L7" s="29"/>
      <c r="M7" s="29"/>
      <c r="N7" s="29"/>
      <c r="O7" s="29"/>
      <c r="P7" s="29"/>
      <c r="Q7" s="29"/>
      <c r="R7" s="29"/>
      <c r="S7" s="29"/>
      <c r="T7" s="29"/>
      <c r="U7" s="29"/>
      <c r="V7" s="29"/>
      <c r="W7" s="29"/>
      <c r="X7" s="29"/>
    </row>
    <row r="8" spans="1:24" ht="15">
      <c r="A8" s="29"/>
      <c r="B8" s="44" t="s">
        <v>242</v>
      </c>
      <c r="C8" s="45" t="s">
        <v>243</v>
      </c>
      <c r="D8" s="46"/>
      <c r="E8" s="46"/>
      <c r="G8" s="29"/>
      <c r="H8" s="29"/>
      <c r="I8" s="29"/>
      <c r="J8" s="29"/>
      <c r="K8" s="29"/>
      <c r="L8" s="29"/>
      <c r="M8" s="29"/>
      <c r="N8" s="29"/>
      <c r="O8" s="29"/>
      <c r="P8" s="29"/>
      <c r="Q8" s="29"/>
      <c r="R8" s="29"/>
      <c r="S8" s="29"/>
      <c r="T8" s="29"/>
      <c r="U8" s="29"/>
      <c r="V8" s="29"/>
      <c r="W8" s="29"/>
      <c r="X8" s="29"/>
    </row>
    <row r="9" spans="1:24" ht="15">
      <c r="A9" s="29"/>
      <c r="B9" s="42" t="s">
        <v>244</v>
      </c>
      <c r="C9" s="58" t="s">
        <v>245</v>
      </c>
      <c r="D9" s="50"/>
      <c r="E9" s="51">
        <f>SUM(E10,E17,E22)*70/7</f>
        <v>70</v>
      </c>
      <c r="F9" s="61" t="s">
        <v>246</v>
      </c>
      <c r="G9" s="29"/>
      <c r="H9" s="29"/>
      <c r="I9" s="29"/>
      <c r="J9" s="29"/>
      <c r="K9" s="29"/>
      <c r="L9" s="29"/>
      <c r="M9" s="29"/>
      <c r="N9" s="29"/>
      <c r="O9" s="29"/>
      <c r="P9" s="29"/>
      <c r="Q9" s="29"/>
      <c r="R9" s="29"/>
      <c r="S9" s="29"/>
      <c r="T9" s="29"/>
      <c r="U9" s="29"/>
      <c r="V9" s="29"/>
      <c r="W9" s="29"/>
      <c r="X9" s="29"/>
    </row>
    <row r="10" spans="1:24" ht="15">
      <c r="A10" s="29"/>
      <c r="B10" s="42" t="s">
        <v>247</v>
      </c>
      <c r="C10" s="42" t="s">
        <v>248</v>
      </c>
      <c r="D10" s="53"/>
      <c r="E10" s="43">
        <f>IF(F9="Experian",IF(F10&gt;=781,4,IF(F10&gt;=721,3,IF(F10&gt;=661,2,IF(F10&gt;=601,1,0)))),IF(F9="CIBIL",IF(F10&lt;=3,4,IF(F10&lt;=6,3,IF(F10&lt;=9,2,IF(F10&gt;=9,1,0))))))</f>
        <v>4</v>
      </c>
      <c r="F10">
        <f>'NC-RTR'!E8</f>
        <v>3</v>
      </c>
      <c r="H10" s="29"/>
      <c r="I10" s="29"/>
      <c r="J10" s="29"/>
      <c r="K10" s="29"/>
      <c r="L10" s="29"/>
      <c r="M10" s="29"/>
      <c r="N10" s="29"/>
      <c r="O10" s="29"/>
      <c r="P10" s="29"/>
      <c r="Q10" s="29"/>
      <c r="R10" s="29"/>
      <c r="S10" s="29"/>
      <c r="T10" s="29"/>
      <c r="U10" s="29"/>
      <c r="V10" s="29"/>
      <c r="W10" s="29"/>
      <c r="X10" s="29"/>
    </row>
    <row r="11" spans="1:24" ht="15">
      <c r="A11" s="29"/>
      <c r="B11" s="41"/>
      <c r="C11" s="62" t="s">
        <v>249</v>
      </c>
      <c r="D11" s="53">
        <v>4</v>
      </c>
      <c r="E11" s="63"/>
      <c r="G11" s="29"/>
      <c r="H11" s="29"/>
      <c r="I11" s="29"/>
      <c r="J11" s="29"/>
      <c r="K11" s="29"/>
      <c r="L11" s="29"/>
      <c r="M11" s="29"/>
      <c r="N11" s="29"/>
      <c r="O11" s="29"/>
      <c r="P11" s="29"/>
      <c r="Q11" s="29"/>
      <c r="R11" s="29"/>
      <c r="S11" s="29"/>
      <c r="T11" s="29"/>
      <c r="U11" s="29"/>
      <c r="V11" s="29"/>
      <c r="W11" s="29"/>
      <c r="X11" s="29"/>
    </row>
    <row r="12" spans="1:24" ht="15">
      <c r="A12" s="29"/>
      <c r="B12" s="41"/>
      <c r="C12" s="62" t="s">
        <v>250</v>
      </c>
      <c r="D12" s="53">
        <v>3</v>
      </c>
      <c r="E12" s="64"/>
      <c r="G12" s="29"/>
      <c r="H12" s="29"/>
      <c r="I12" s="33"/>
      <c r="J12" s="33"/>
      <c r="K12" s="33"/>
      <c r="L12" s="29"/>
      <c r="M12" s="29"/>
      <c r="N12" s="29"/>
      <c r="O12" s="29"/>
      <c r="P12" s="29"/>
      <c r="Q12" s="29"/>
      <c r="R12" s="29"/>
      <c r="S12" s="29"/>
      <c r="T12" s="29"/>
      <c r="U12" s="29"/>
      <c r="V12" s="29"/>
      <c r="W12" s="29"/>
      <c r="X12" s="29"/>
    </row>
    <row r="13" spans="1:24" ht="15">
      <c r="A13" s="29"/>
      <c r="C13" s="62" t="s">
        <v>251</v>
      </c>
      <c r="D13" s="53">
        <v>2</v>
      </c>
      <c r="E13" s="65"/>
      <c r="G13" s="29"/>
      <c r="H13" s="29"/>
      <c r="I13" s="66"/>
      <c r="J13" s="53"/>
      <c r="K13" s="53"/>
      <c r="L13" s="29"/>
      <c r="M13" s="29"/>
      <c r="N13" s="29"/>
      <c r="O13" s="29"/>
      <c r="P13" s="29"/>
      <c r="Q13" s="29"/>
      <c r="R13" s="29"/>
      <c r="S13" s="29"/>
      <c r="T13" s="29"/>
      <c r="U13" s="29"/>
      <c r="V13" s="29"/>
      <c r="W13" s="29"/>
      <c r="X13" s="29"/>
    </row>
    <row r="14" spans="1:24" ht="15">
      <c r="A14" s="29"/>
      <c r="C14" s="62" t="s">
        <v>252</v>
      </c>
      <c r="D14" s="33">
        <v>1</v>
      </c>
      <c r="E14" s="67"/>
      <c r="G14" s="29"/>
      <c r="H14" s="29"/>
      <c r="I14" s="66"/>
      <c r="J14" s="53"/>
      <c r="K14" s="53"/>
      <c r="L14" s="29"/>
      <c r="M14" s="29"/>
      <c r="N14" s="29"/>
      <c r="O14" s="29"/>
      <c r="P14" s="29"/>
      <c r="Q14" s="29"/>
      <c r="R14" s="29"/>
      <c r="S14" s="29"/>
      <c r="T14" s="29"/>
      <c r="U14" s="29"/>
      <c r="V14" s="29"/>
      <c r="W14" s="29"/>
      <c r="X14" s="29"/>
    </row>
    <row r="15" spans="1:24" ht="15">
      <c r="A15" s="29"/>
      <c r="C15" s="62" t="s">
        <v>253</v>
      </c>
      <c r="D15" s="33">
        <v>0</v>
      </c>
      <c r="E15" s="67"/>
      <c r="G15" s="29"/>
      <c r="H15" s="29"/>
      <c r="I15" s="66"/>
      <c r="J15" s="53"/>
      <c r="K15" s="53"/>
      <c r="L15" s="29"/>
      <c r="M15" s="29"/>
      <c r="N15" s="29"/>
      <c r="O15" s="29"/>
      <c r="P15" s="29"/>
      <c r="Q15" s="29"/>
      <c r="R15" s="29"/>
      <c r="S15" s="29"/>
      <c r="T15" s="29"/>
      <c r="U15" s="29"/>
      <c r="V15" s="29"/>
      <c r="W15" s="29"/>
      <c r="X15" s="29"/>
    </row>
    <row r="16" spans="1:24" ht="15">
      <c r="A16" s="29"/>
      <c r="B16" s="41"/>
      <c r="C16" s="60"/>
      <c r="D16" s="60"/>
      <c r="E16" s="60"/>
      <c r="G16" s="29"/>
      <c r="H16" s="29"/>
      <c r="I16" s="66"/>
      <c r="J16" s="33"/>
      <c r="K16" s="33"/>
      <c r="L16" s="29"/>
      <c r="M16" s="29"/>
      <c r="N16" s="29"/>
      <c r="O16" s="29"/>
      <c r="P16" s="29"/>
      <c r="Q16" s="29"/>
      <c r="R16" s="29"/>
      <c r="S16" s="29"/>
      <c r="T16" s="29"/>
      <c r="U16" s="29"/>
      <c r="V16" s="29"/>
      <c r="W16" s="29"/>
      <c r="X16" s="29"/>
    </row>
    <row r="17" spans="1:24" ht="15">
      <c r="A17" s="29"/>
      <c r="B17" s="42" t="s">
        <v>254</v>
      </c>
      <c r="C17" s="42" t="s">
        <v>255</v>
      </c>
      <c r="D17" s="53"/>
      <c r="E17" s="43">
        <f>IF(F17=0,2,IF(F17=1,1,IF(F17&gt;1,0)))</f>
        <v>2</v>
      </c>
      <c r="F17">
        <f>SUM('NC-RTR'!E14:G15)</f>
        <v>0</v>
      </c>
      <c r="G17" s="29"/>
      <c r="H17" s="29"/>
      <c r="I17" s="66"/>
      <c r="J17" s="33"/>
      <c r="K17" s="33"/>
      <c r="L17" s="29"/>
      <c r="M17" s="29"/>
      <c r="N17" s="29"/>
      <c r="O17" s="29"/>
      <c r="P17" s="29"/>
      <c r="Q17" s="29"/>
      <c r="R17" s="29"/>
      <c r="S17" s="29"/>
      <c r="T17" s="29"/>
      <c r="U17" s="29"/>
      <c r="V17" s="29"/>
      <c r="W17" s="29"/>
      <c r="X17" s="29"/>
    </row>
    <row r="18" spans="1:24" ht="15">
      <c r="A18" s="29"/>
      <c r="C18" s="59">
        <v>0</v>
      </c>
      <c r="D18" s="53">
        <v>2</v>
      </c>
      <c r="E18" s="63"/>
      <c r="G18" s="29"/>
      <c r="H18" s="29"/>
      <c r="I18" s="29"/>
      <c r="J18" s="29"/>
      <c r="K18" s="29"/>
      <c r="L18" s="29"/>
      <c r="M18" s="29"/>
      <c r="N18" s="29"/>
      <c r="O18" s="29"/>
      <c r="P18" s="29"/>
      <c r="Q18" s="29"/>
      <c r="R18" s="29"/>
      <c r="S18" s="29"/>
      <c r="T18" s="29"/>
      <c r="U18" s="29"/>
      <c r="V18" s="29"/>
      <c r="W18" s="29"/>
      <c r="X18" s="29"/>
    </row>
    <row r="19" spans="1:24" ht="15">
      <c r="A19" s="29"/>
      <c r="B19" s="41"/>
      <c r="C19" s="59">
        <v>1</v>
      </c>
      <c r="D19" s="53">
        <v>1</v>
      </c>
      <c r="E19" s="64"/>
      <c r="G19" s="29"/>
      <c r="H19" s="29"/>
      <c r="I19" s="29"/>
      <c r="J19" s="29"/>
      <c r="K19" s="29"/>
      <c r="L19" s="29"/>
      <c r="M19" s="29"/>
      <c r="N19" s="29"/>
      <c r="O19" s="29"/>
      <c r="P19" s="29"/>
      <c r="Q19" s="29"/>
      <c r="R19" s="29"/>
      <c r="S19" s="29"/>
      <c r="T19" s="29"/>
      <c r="U19" s="29"/>
      <c r="V19" s="29"/>
      <c r="W19" s="29"/>
      <c r="X19" s="29"/>
    </row>
    <row r="20" spans="1:24" ht="15">
      <c r="A20" s="29"/>
      <c r="B20" s="41"/>
      <c r="C20" s="41" t="s">
        <v>256</v>
      </c>
      <c r="D20" s="53">
        <v>0</v>
      </c>
      <c r="E20" s="65"/>
      <c r="G20" s="29"/>
      <c r="H20" s="29"/>
      <c r="I20" s="29"/>
      <c r="J20" s="29"/>
      <c r="K20" s="29"/>
      <c r="L20" s="29"/>
      <c r="M20" s="29"/>
      <c r="N20" s="29"/>
      <c r="O20" s="29"/>
      <c r="P20" s="29"/>
      <c r="Q20" s="29"/>
      <c r="R20" s="29"/>
      <c r="S20" s="29"/>
      <c r="T20" s="29"/>
      <c r="U20" s="29"/>
      <c r="V20" s="29"/>
      <c r="W20" s="29"/>
      <c r="X20" s="29"/>
    </row>
    <row r="21" spans="1:24" ht="15">
      <c r="A21" s="29"/>
      <c r="B21" s="42"/>
      <c r="C21" s="60"/>
      <c r="D21" s="60"/>
      <c r="E21" s="60"/>
      <c r="G21" s="29"/>
      <c r="H21" s="29"/>
      <c r="I21" s="29"/>
      <c r="J21" s="29"/>
      <c r="K21" s="29"/>
      <c r="L21" s="29"/>
      <c r="M21" s="29"/>
      <c r="N21" s="29"/>
      <c r="O21" s="29"/>
      <c r="P21" s="29"/>
      <c r="Q21" s="29"/>
      <c r="R21" s="29"/>
      <c r="S21" s="29"/>
      <c r="T21" s="29"/>
      <c r="U21" s="29"/>
      <c r="V21" s="29"/>
      <c r="W21" s="29"/>
      <c r="X21" s="29"/>
    </row>
    <row r="22" spans="1:24" ht="15">
      <c r="A22" s="29"/>
      <c r="B22" s="42" t="s">
        <v>257</v>
      </c>
      <c r="C22" s="42" t="s">
        <v>258</v>
      </c>
      <c r="D22" s="53"/>
      <c r="E22" s="43">
        <f>IF(F22="No",1,IF(F22="Yes",0))</f>
        <v>1</v>
      </c>
      <c r="F22" s="68" t="s">
        <v>259</v>
      </c>
      <c r="G22" s="29"/>
      <c r="H22" s="29"/>
      <c r="I22" s="29"/>
      <c r="J22" s="29"/>
      <c r="K22" s="29"/>
      <c r="L22" s="29"/>
      <c r="M22" s="29"/>
      <c r="N22" s="29"/>
      <c r="O22" s="29"/>
      <c r="P22" s="29"/>
      <c r="Q22" s="29"/>
      <c r="R22" s="29"/>
      <c r="S22" s="29"/>
      <c r="T22" s="29"/>
      <c r="U22" s="29"/>
      <c r="V22" s="29"/>
      <c r="W22" s="29"/>
      <c r="X22" s="29"/>
    </row>
    <row r="23" spans="1:24" ht="15">
      <c r="A23" s="29"/>
      <c r="B23" s="41"/>
      <c r="C23" s="59" t="s">
        <v>260</v>
      </c>
      <c r="D23" s="53">
        <v>1</v>
      </c>
      <c r="E23" s="63"/>
      <c r="G23" s="29"/>
      <c r="H23" s="29"/>
      <c r="I23" s="29"/>
      <c r="J23" s="29"/>
      <c r="K23" s="29"/>
      <c r="L23" s="29"/>
      <c r="M23" s="29"/>
      <c r="N23" s="29"/>
      <c r="O23" s="29"/>
      <c r="P23" s="29"/>
      <c r="Q23" s="29"/>
      <c r="R23" s="29"/>
      <c r="S23" s="29"/>
      <c r="T23" s="29"/>
      <c r="U23" s="29"/>
      <c r="V23" s="29"/>
      <c r="W23" s="29"/>
      <c r="X23" s="29"/>
    </row>
    <row r="24" spans="1:24" ht="15">
      <c r="A24" s="29"/>
      <c r="B24" s="42"/>
      <c r="C24" s="59" t="s">
        <v>261</v>
      </c>
      <c r="D24" s="53">
        <v>0</v>
      </c>
      <c r="E24" s="64"/>
      <c r="G24" s="29"/>
      <c r="H24" s="29"/>
      <c r="I24" s="29"/>
      <c r="J24" s="29"/>
      <c r="K24" s="29"/>
      <c r="L24" s="29"/>
      <c r="M24" s="29"/>
      <c r="N24" s="29"/>
      <c r="O24" s="29"/>
      <c r="P24" s="29"/>
      <c r="Q24" s="29"/>
      <c r="R24" s="29"/>
      <c r="S24" s="29"/>
      <c r="T24" s="29"/>
      <c r="U24" s="29"/>
      <c r="V24" s="29"/>
      <c r="W24" s="29"/>
      <c r="X24" s="29"/>
    </row>
    <row r="25" spans="1:24" ht="15">
      <c r="A25" s="29"/>
      <c r="B25" s="42"/>
      <c r="C25" s="59"/>
      <c r="D25" s="53"/>
      <c r="E25" s="65"/>
      <c r="G25" s="29"/>
      <c r="H25" s="29"/>
      <c r="I25" s="29"/>
      <c r="J25" s="29"/>
      <c r="K25" s="29"/>
      <c r="L25" s="29"/>
      <c r="M25" s="29"/>
      <c r="N25" s="29"/>
      <c r="O25" s="29"/>
      <c r="P25" s="29"/>
      <c r="Q25" s="29"/>
      <c r="R25" s="29"/>
      <c r="S25" s="29"/>
      <c r="T25" s="29"/>
      <c r="U25" s="29"/>
      <c r="V25" s="29"/>
      <c r="W25" s="29"/>
      <c r="X25" s="29"/>
    </row>
    <row r="26" spans="1:24" ht="15">
      <c r="A26" s="29"/>
      <c r="B26" s="29"/>
      <c r="C26" s="29"/>
      <c r="D26" s="33"/>
      <c r="E26" s="33"/>
      <c r="G26" s="29"/>
      <c r="H26" s="29"/>
      <c r="I26" s="29"/>
      <c r="J26" s="29"/>
      <c r="K26" s="29"/>
      <c r="L26" s="29"/>
      <c r="M26" s="29"/>
      <c r="N26" s="29"/>
      <c r="O26" s="29"/>
      <c r="P26" s="29"/>
      <c r="Q26" s="29"/>
      <c r="R26" s="29"/>
      <c r="S26" s="29"/>
      <c r="T26" s="29"/>
      <c r="U26" s="29"/>
      <c r="V26" s="29"/>
      <c r="W26" s="29"/>
      <c r="X26" s="29"/>
    </row>
    <row r="27" spans="1:24" ht="15">
      <c r="A27" s="29"/>
      <c r="B27" s="42" t="s">
        <v>262</v>
      </c>
      <c r="C27" s="58" t="s">
        <v>263</v>
      </c>
      <c r="D27" s="50"/>
      <c r="E27" s="51">
        <f>SUM(E28,E33,E38,E43)*30/7</f>
        <v>12.857142857142858</v>
      </c>
      <c r="G27" s="29"/>
      <c r="H27" s="29"/>
      <c r="I27" s="29"/>
      <c r="J27" s="29"/>
      <c r="K27" s="29"/>
      <c r="L27" s="29"/>
      <c r="M27" s="29"/>
      <c r="N27" s="29"/>
      <c r="O27" s="29"/>
      <c r="P27" s="29"/>
      <c r="Q27" s="29"/>
      <c r="R27" s="29"/>
      <c r="S27" s="29"/>
      <c r="T27" s="29"/>
      <c r="U27" s="29"/>
      <c r="V27" s="29"/>
      <c r="W27" s="29"/>
      <c r="X27" s="29"/>
    </row>
    <row r="28" spans="1:24" ht="15">
      <c r="A28" s="29"/>
      <c r="B28" s="42" t="s">
        <v>264</v>
      </c>
      <c r="C28" s="42" t="s">
        <v>265</v>
      </c>
      <c r="D28" s="53"/>
      <c r="E28" s="43">
        <f>IF(F28&gt;=850,4,IF(F28&gt;=750,3,IF(F28&gt;=650,2,IF(F28&gt;=550,1,0))))</f>
        <v>3</v>
      </c>
      <c r="F28">
        <f>AVERAGE('NC-RTR'!H8:Z8)</f>
        <v>762.5</v>
      </c>
      <c r="G28" s="29"/>
      <c r="H28" s="29"/>
      <c r="I28" s="29"/>
      <c r="J28" s="29"/>
      <c r="K28" s="29"/>
      <c r="L28" s="29"/>
      <c r="M28" s="29"/>
      <c r="N28" s="29"/>
      <c r="O28" s="29"/>
      <c r="P28" s="29"/>
      <c r="Q28" s="29"/>
      <c r="R28" s="29"/>
      <c r="S28" s="29"/>
      <c r="T28" s="29"/>
      <c r="U28" s="29"/>
      <c r="V28" s="29"/>
      <c r="W28" s="29"/>
      <c r="X28" s="29"/>
    </row>
    <row r="29" spans="1:24" ht="15">
      <c r="A29" s="29"/>
      <c r="B29" s="41"/>
      <c r="C29" s="59" t="s">
        <v>266</v>
      </c>
      <c r="D29" s="53">
        <v>4</v>
      </c>
      <c r="E29" s="63"/>
      <c r="G29" s="29"/>
      <c r="H29" s="29"/>
      <c r="I29" s="29"/>
      <c r="J29" s="29"/>
      <c r="K29" s="29"/>
      <c r="L29" s="29"/>
      <c r="M29" s="29"/>
      <c r="N29" s="29"/>
      <c r="O29" s="29"/>
      <c r="P29" s="29"/>
      <c r="Q29" s="29"/>
      <c r="R29" s="29"/>
      <c r="S29" s="29"/>
      <c r="T29" s="29"/>
      <c r="U29" s="29"/>
      <c r="V29" s="29"/>
      <c r="W29" s="29"/>
      <c r="X29" s="29"/>
    </row>
    <row r="30" spans="1:24" ht="15">
      <c r="A30" s="29"/>
      <c r="B30" s="41"/>
      <c r="C30" s="41" t="s">
        <v>267</v>
      </c>
      <c r="D30" s="53">
        <v>3</v>
      </c>
      <c r="E30" s="64"/>
      <c r="G30" s="29"/>
      <c r="H30" s="29"/>
      <c r="I30" s="29"/>
      <c r="J30" s="29"/>
      <c r="K30" s="29"/>
      <c r="L30" s="29"/>
      <c r="M30" s="29"/>
      <c r="N30" s="29"/>
      <c r="O30" s="29"/>
      <c r="P30" s="29"/>
      <c r="Q30" s="29"/>
      <c r="R30" s="29"/>
      <c r="S30" s="29"/>
      <c r="T30" s="29"/>
      <c r="U30" s="29"/>
      <c r="V30" s="29"/>
      <c r="W30" s="29"/>
      <c r="X30" s="29"/>
    </row>
    <row r="31" spans="1:24" ht="15">
      <c r="A31" s="29"/>
      <c r="C31" s="41" t="s">
        <v>268</v>
      </c>
      <c r="D31" s="53">
        <v>2</v>
      </c>
      <c r="E31" s="65"/>
      <c r="G31" s="29"/>
      <c r="H31" s="29"/>
      <c r="I31" s="29"/>
      <c r="J31" s="29"/>
      <c r="K31" s="29"/>
      <c r="L31" s="29"/>
      <c r="M31" s="29"/>
      <c r="N31" s="29"/>
      <c r="O31" s="29"/>
      <c r="P31" s="29"/>
      <c r="Q31" s="29"/>
      <c r="R31" s="29"/>
      <c r="S31" s="29"/>
      <c r="T31" s="29"/>
      <c r="U31" s="29"/>
      <c r="V31" s="29"/>
      <c r="W31" s="29"/>
      <c r="X31" s="29"/>
    </row>
    <row r="32" spans="1:24" ht="15">
      <c r="A32" s="29"/>
      <c r="B32" s="29"/>
      <c r="C32" s="59" t="s">
        <v>269</v>
      </c>
      <c r="D32" s="33">
        <v>1</v>
      </c>
      <c r="E32" s="33"/>
      <c r="G32" s="29"/>
      <c r="H32" s="29"/>
      <c r="I32" s="29"/>
      <c r="J32" s="29"/>
      <c r="K32" s="29"/>
      <c r="L32" s="29"/>
      <c r="M32" s="29"/>
      <c r="N32" s="29"/>
      <c r="O32" s="29"/>
      <c r="P32" s="29"/>
      <c r="Q32" s="29"/>
      <c r="R32" s="29"/>
      <c r="S32" s="29"/>
      <c r="T32" s="29"/>
      <c r="U32" s="29"/>
      <c r="V32" s="29"/>
      <c r="W32" s="29"/>
      <c r="X32" s="29"/>
    </row>
    <row r="33" spans="1:24" ht="15">
      <c r="A33" s="29"/>
      <c r="B33" s="29"/>
      <c r="C33" s="59" t="s">
        <v>270</v>
      </c>
      <c r="D33" s="33">
        <v>0</v>
      </c>
      <c r="E33" s="33"/>
      <c r="G33" s="29"/>
      <c r="H33" s="29"/>
      <c r="I33" s="29"/>
      <c r="J33" s="29"/>
      <c r="K33" s="29"/>
      <c r="L33" s="29"/>
      <c r="M33" s="29"/>
      <c r="N33" s="29"/>
      <c r="O33" s="29"/>
      <c r="P33" s="29"/>
      <c r="Q33" s="29"/>
      <c r="R33" s="29"/>
      <c r="S33" s="29"/>
      <c r="T33" s="29"/>
      <c r="U33" s="29"/>
      <c r="V33" s="29"/>
      <c r="W33" s="29"/>
      <c r="X33" s="29"/>
    </row>
    <row r="34" spans="1:24" ht="15">
      <c r="A34" s="29"/>
      <c r="B34" s="29"/>
      <c r="C34" s="29"/>
      <c r="D34" s="33"/>
      <c r="E34" s="33"/>
      <c r="G34" s="29"/>
      <c r="H34" s="29"/>
      <c r="I34" s="29"/>
      <c r="J34" s="29"/>
      <c r="K34" s="29"/>
      <c r="L34" s="29"/>
      <c r="M34" s="29"/>
      <c r="N34" s="29"/>
      <c r="O34" s="29"/>
      <c r="P34" s="29"/>
      <c r="Q34" s="29"/>
      <c r="R34" s="29"/>
      <c r="S34" s="29"/>
      <c r="T34" s="29"/>
      <c r="U34" s="29"/>
      <c r="V34" s="29"/>
      <c r="W34" s="29"/>
      <c r="X34" s="29"/>
    </row>
    <row r="35" spans="1:24" ht="15">
      <c r="A35" s="29"/>
      <c r="B35" s="42" t="s">
        <v>271</v>
      </c>
      <c r="C35" s="42" t="s">
        <v>272</v>
      </c>
      <c r="D35" s="53"/>
      <c r="E35" s="43">
        <f>IF(F35=0,2,IF(F35=1,1,IF(F35&gt;1,0)))</f>
        <v>2</v>
      </c>
      <c r="F35">
        <f>AVERAGE(SUM('NC-RTR'!H14:J15),SUM('NC-RTR'!K14:N15))</f>
        <v>0</v>
      </c>
      <c r="G35" s="29"/>
      <c r="H35" s="29"/>
      <c r="I35" s="29"/>
      <c r="J35" s="29"/>
      <c r="K35" s="29"/>
      <c r="L35" s="29"/>
      <c r="M35" s="29"/>
      <c r="N35" s="29"/>
      <c r="O35" s="29"/>
      <c r="P35" s="29"/>
      <c r="Q35" s="29"/>
      <c r="R35" s="29"/>
      <c r="S35" s="29"/>
      <c r="T35" s="29"/>
      <c r="U35" s="29"/>
      <c r="V35" s="29"/>
      <c r="W35" s="29"/>
      <c r="X35" s="29"/>
    </row>
    <row r="36" spans="1:24" ht="15">
      <c r="A36" s="29"/>
      <c r="C36" s="59">
        <v>0</v>
      </c>
      <c r="D36" s="53">
        <v>2</v>
      </c>
      <c r="E36" s="63"/>
      <c r="G36" s="29"/>
      <c r="H36" s="29"/>
      <c r="I36" s="29"/>
      <c r="J36" s="29"/>
      <c r="K36" s="29"/>
      <c r="L36" s="29"/>
      <c r="M36" s="29"/>
      <c r="N36" s="29"/>
      <c r="O36" s="29"/>
      <c r="P36" s="29"/>
      <c r="Q36" s="29"/>
      <c r="R36" s="29"/>
      <c r="S36" s="29"/>
      <c r="T36" s="29"/>
      <c r="U36" s="29"/>
      <c r="V36" s="29"/>
      <c r="W36" s="29"/>
      <c r="X36" s="29"/>
    </row>
    <row r="37" spans="1:24" ht="15">
      <c r="A37" s="29"/>
      <c r="B37" s="41"/>
      <c r="C37" s="59">
        <v>1</v>
      </c>
      <c r="D37" s="53">
        <v>1</v>
      </c>
      <c r="E37" s="64"/>
      <c r="G37" s="29"/>
      <c r="H37" s="29"/>
      <c r="I37" s="29"/>
      <c r="J37" s="29"/>
      <c r="K37" s="29"/>
      <c r="L37" s="29"/>
      <c r="M37" s="29"/>
      <c r="N37" s="29"/>
      <c r="O37" s="29"/>
      <c r="P37" s="29"/>
      <c r="Q37" s="29"/>
      <c r="R37" s="29"/>
      <c r="S37" s="29"/>
      <c r="T37" s="29"/>
      <c r="U37" s="29"/>
      <c r="V37" s="29"/>
      <c r="W37" s="29"/>
      <c r="X37" s="29"/>
    </row>
    <row r="38" spans="1:24" ht="15">
      <c r="A38" s="29"/>
      <c r="B38" s="41"/>
      <c r="C38" s="41" t="s">
        <v>273</v>
      </c>
      <c r="D38" s="53">
        <v>0</v>
      </c>
      <c r="E38" s="65"/>
      <c r="G38" s="29"/>
      <c r="H38" s="29"/>
      <c r="I38" s="29"/>
      <c r="J38" s="29"/>
      <c r="K38" s="29"/>
      <c r="L38" s="29"/>
      <c r="M38" s="29"/>
      <c r="N38" s="29"/>
      <c r="O38" s="29"/>
      <c r="P38" s="29"/>
      <c r="Q38" s="29"/>
      <c r="R38" s="29"/>
      <c r="S38" s="29"/>
      <c r="T38" s="29"/>
      <c r="U38" s="29"/>
      <c r="V38" s="29"/>
      <c r="W38" s="29"/>
      <c r="X38" s="29"/>
    </row>
    <row r="39" spans="1:24" ht="15">
      <c r="A39" s="29"/>
      <c r="B39" s="29"/>
      <c r="C39" s="29"/>
      <c r="D39" s="33"/>
      <c r="E39" s="33"/>
      <c r="G39" s="29"/>
      <c r="H39" s="29"/>
      <c r="I39" s="29"/>
      <c r="J39" s="29"/>
      <c r="K39" s="29"/>
      <c r="L39" s="29"/>
      <c r="M39" s="29"/>
      <c r="N39" s="29"/>
      <c r="O39" s="29"/>
      <c r="P39" s="29"/>
      <c r="Q39" s="29"/>
      <c r="R39" s="29"/>
      <c r="S39" s="29"/>
      <c r="T39" s="29"/>
      <c r="U39" s="29"/>
      <c r="V39" s="29"/>
      <c r="W39" s="29"/>
      <c r="X39" s="29"/>
    </row>
    <row r="40" spans="1:24" ht="15">
      <c r="A40" s="29"/>
      <c r="B40" s="42" t="s">
        <v>274</v>
      </c>
      <c r="C40" s="42" t="s">
        <v>275</v>
      </c>
      <c r="D40" s="53"/>
      <c r="E40" s="43">
        <f>IF(F40="No",1,IF(F40="Yes",0))</f>
        <v>0</v>
      </c>
      <c r="F40" s="68" t="s">
        <v>276</v>
      </c>
      <c r="G40" s="29"/>
      <c r="H40" s="29"/>
      <c r="I40" s="29"/>
      <c r="J40" s="29"/>
      <c r="K40" s="29"/>
      <c r="L40" s="29"/>
      <c r="M40" s="29"/>
      <c r="N40" s="29"/>
      <c r="O40" s="29"/>
      <c r="P40" s="29"/>
      <c r="Q40" s="29"/>
      <c r="R40" s="29"/>
      <c r="S40" s="29"/>
      <c r="T40" s="29"/>
      <c r="U40" s="29"/>
      <c r="V40" s="29"/>
      <c r="W40" s="29"/>
      <c r="X40" s="29"/>
    </row>
    <row r="41" spans="1:24" ht="15">
      <c r="A41" s="29"/>
      <c r="B41" s="41"/>
      <c r="C41" s="59" t="s">
        <v>277</v>
      </c>
      <c r="D41" s="53">
        <v>1</v>
      </c>
      <c r="E41" s="63"/>
      <c r="G41" s="29"/>
      <c r="H41" s="29"/>
      <c r="I41" s="29"/>
      <c r="J41" s="29"/>
      <c r="K41" s="29"/>
      <c r="L41" s="29"/>
      <c r="M41" s="29"/>
      <c r="N41" s="29"/>
      <c r="O41" s="29"/>
      <c r="P41" s="29"/>
      <c r="Q41" s="29"/>
      <c r="R41" s="29"/>
      <c r="S41" s="29"/>
      <c r="T41" s="29"/>
      <c r="U41" s="29"/>
      <c r="V41" s="29"/>
      <c r="W41" s="29"/>
      <c r="X41" s="29"/>
    </row>
    <row r="42" spans="1:24" ht="15">
      <c r="A42" s="29"/>
      <c r="B42" s="42"/>
      <c r="C42" s="59" t="s">
        <v>278</v>
      </c>
      <c r="D42" s="53">
        <v>0</v>
      </c>
      <c r="E42" s="64"/>
      <c r="G42" s="29"/>
      <c r="H42" s="29"/>
      <c r="I42" s="29"/>
      <c r="J42" s="29"/>
      <c r="K42" s="29"/>
      <c r="L42" s="29"/>
      <c r="M42" s="29"/>
      <c r="N42" s="29"/>
      <c r="O42" s="29"/>
      <c r="P42" s="29"/>
      <c r="Q42" s="29"/>
      <c r="R42" s="29"/>
      <c r="S42" s="29"/>
      <c r="T42" s="29"/>
      <c r="U42" s="29"/>
      <c r="V42" s="29"/>
      <c r="W42" s="29"/>
      <c r="X42" s="29"/>
    </row>
    <row r="43" spans="1:24" ht="15">
      <c r="A43" s="29"/>
      <c r="B43" s="42"/>
      <c r="C43" s="59"/>
      <c r="D43" s="53"/>
      <c r="E43" s="65"/>
      <c r="G43" s="29"/>
      <c r="H43" s="29"/>
      <c r="I43" s="29"/>
      <c r="J43" s="29"/>
      <c r="K43" s="29"/>
      <c r="L43" s="29"/>
      <c r="M43" s="29"/>
      <c r="N43" s="29"/>
      <c r="O43" s="29"/>
      <c r="P43" s="29"/>
      <c r="Q43" s="29"/>
      <c r="R43" s="29"/>
      <c r="S43" s="29"/>
      <c r="T43" s="29"/>
      <c r="U43" s="29"/>
      <c r="V43" s="29"/>
      <c r="W43" s="29"/>
      <c r="X43" s="29"/>
    </row>
    <row r="44" spans="1:24" ht="15">
      <c r="A44" s="29"/>
      <c r="B44" s="29"/>
      <c r="C44" s="29"/>
      <c r="D44" s="33"/>
      <c r="E44" s="33"/>
      <c r="G44" s="29"/>
      <c r="H44" s="29"/>
      <c r="I44" s="29"/>
      <c r="J44" s="29"/>
      <c r="K44" s="29"/>
      <c r="L44" s="29"/>
      <c r="M44" s="29"/>
      <c r="N44" s="29"/>
      <c r="O44" s="29"/>
      <c r="P44" s="29"/>
      <c r="Q44" s="29"/>
      <c r="R44" s="29"/>
      <c r="S44" s="29"/>
      <c r="T44" s="29"/>
      <c r="U44" s="29"/>
      <c r="V44" s="29"/>
      <c r="W44" s="29"/>
      <c r="X44" s="29"/>
    </row>
    <row r="45" spans="1:24" ht="15">
      <c r="A45" s="29"/>
      <c r="B45" s="29"/>
      <c r="C45" s="29"/>
      <c r="D45" s="33"/>
      <c r="E45" s="33"/>
      <c r="G45" s="29"/>
      <c r="H45" s="29"/>
      <c r="I45" s="29"/>
      <c r="J45" s="29"/>
      <c r="K45" s="29"/>
      <c r="L45" s="29"/>
      <c r="M45" s="29"/>
      <c r="N45" s="29"/>
      <c r="O45" s="29"/>
      <c r="P45" s="29"/>
      <c r="Q45" s="29"/>
      <c r="R45" s="29"/>
      <c r="S45" s="29"/>
      <c r="T45" s="29"/>
      <c r="U45" s="29"/>
      <c r="V45" s="29"/>
      <c r="W45" s="29"/>
      <c r="X45" s="29"/>
    </row>
    <row r="46" spans="1:24" ht="15">
      <c r="A46" s="29"/>
      <c r="B46" s="29"/>
      <c r="C46" s="29"/>
      <c r="D46" s="33"/>
      <c r="E46" s="33"/>
      <c r="G46" s="29"/>
      <c r="H46" s="29"/>
      <c r="I46" s="29"/>
      <c r="J46" s="29"/>
      <c r="K46" s="29"/>
      <c r="L46" s="29"/>
      <c r="M46" s="29"/>
      <c r="N46" s="29"/>
      <c r="O46" s="29"/>
      <c r="P46" s="29"/>
      <c r="Q46" s="29"/>
      <c r="R46" s="29"/>
      <c r="S46" s="29"/>
      <c r="T46" s="29"/>
      <c r="U46" s="29"/>
      <c r="V46" s="29"/>
      <c r="W46" s="29"/>
      <c r="X46" s="29"/>
    </row>
    <row r="47" spans="1:24" ht="15">
      <c r="A47" s="29"/>
      <c r="B47" s="29"/>
      <c r="C47" s="29"/>
      <c r="D47" s="33"/>
      <c r="E47" s="33"/>
      <c r="G47" s="29"/>
      <c r="H47" s="29"/>
      <c r="I47" s="29"/>
      <c r="J47" s="29"/>
      <c r="K47" s="29"/>
      <c r="L47" s="29"/>
      <c r="M47" s="29"/>
      <c r="N47" s="29"/>
      <c r="O47" s="29"/>
      <c r="P47" s="29"/>
      <c r="Q47" s="29"/>
      <c r="R47" s="29"/>
      <c r="S47" s="29"/>
      <c r="T47" s="29"/>
      <c r="U47" s="29"/>
      <c r="V47" s="29"/>
      <c r="W47" s="29"/>
      <c r="X47" s="29"/>
    </row>
    <row r="48" spans="1:24" ht="15">
      <c r="A48" s="29"/>
      <c r="B48" s="29"/>
      <c r="C48" s="29"/>
      <c r="D48" s="33"/>
      <c r="E48" s="33"/>
      <c r="G48" s="29"/>
      <c r="H48" s="29"/>
      <c r="I48" s="29"/>
      <c r="J48" s="29"/>
      <c r="K48" s="29"/>
      <c r="L48" s="29"/>
      <c r="M48" s="29"/>
      <c r="N48" s="29"/>
      <c r="O48" s="29"/>
      <c r="P48" s="29"/>
      <c r="Q48" s="29"/>
      <c r="R48" s="29"/>
      <c r="S48" s="29"/>
      <c r="T48" s="29"/>
      <c r="U48" s="29"/>
      <c r="V48" s="29"/>
      <c r="W48" s="29"/>
      <c r="X48" s="29"/>
    </row>
    <row r="49" spans="1:24" ht="15">
      <c r="A49" s="29"/>
      <c r="B49" s="29"/>
      <c r="C49" s="29"/>
      <c r="D49" s="33"/>
      <c r="E49" s="33"/>
      <c r="G49" s="29"/>
      <c r="H49" s="29"/>
      <c r="I49" s="29"/>
      <c r="J49" s="29"/>
      <c r="K49" s="29"/>
      <c r="L49" s="29"/>
      <c r="M49" s="29"/>
      <c r="N49" s="29"/>
      <c r="O49" s="29"/>
      <c r="P49" s="29"/>
      <c r="Q49" s="29"/>
      <c r="R49" s="29"/>
      <c r="S49" s="29"/>
      <c r="T49" s="29"/>
      <c r="U49" s="29"/>
      <c r="V49" s="29"/>
      <c r="W49" s="29"/>
      <c r="X49" s="29"/>
    </row>
    <row r="50" spans="1:24" ht="15">
      <c r="A50" s="29"/>
      <c r="B50" s="29"/>
      <c r="C50" s="29"/>
      <c r="D50" s="33"/>
      <c r="E50" s="33"/>
      <c r="G50" s="29"/>
      <c r="H50" s="29"/>
      <c r="I50" s="29"/>
      <c r="J50" s="29"/>
      <c r="K50" s="29"/>
      <c r="L50" s="29"/>
      <c r="M50" s="29"/>
      <c r="N50" s="29"/>
      <c r="O50" s="29"/>
      <c r="P50" s="29"/>
      <c r="Q50" s="29"/>
      <c r="R50" s="29"/>
      <c r="S50" s="29"/>
      <c r="T50" s="29"/>
      <c r="U50" s="29"/>
      <c r="V50" s="29"/>
      <c r="W50" s="29"/>
      <c r="X50" s="29"/>
    </row>
    <row r="51" spans="1:24" ht="15">
      <c r="A51" s="29"/>
      <c r="B51" s="29"/>
      <c r="C51" s="29"/>
      <c r="D51" s="33"/>
      <c r="E51" s="33"/>
      <c r="G51" s="29"/>
      <c r="H51" s="29"/>
      <c r="I51" s="29"/>
      <c r="J51" s="29"/>
      <c r="K51" s="29"/>
      <c r="L51" s="29"/>
      <c r="M51" s="29"/>
      <c r="N51" s="29"/>
      <c r="O51" s="29"/>
      <c r="P51" s="29"/>
      <c r="Q51" s="29"/>
      <c r="R51" s="29"/>
      <c r="S51" s="29"/>
      <c r="T51" s="29"/>
      <c r="U51" s="29"/>
      <c r="V51" s="29"/>
      <c r="W51" s="29"/>
      <c r="X51" s="29"/>
    </row>
    <row r="52" spans="1:24" ht="15">
      <c r="A52" s="29"/>
      <c r="B52" s="29"/>
      <c r="C52" s="29"/>
      <c r="D52" s="33"/>
      <c r="E52" s="33"/>
      <c r="G52" s="29"/>
      <c r="H52" s="29"/>
      <c r="I52" s="29"/>
      <c r="J52" s="29"/>
      <c r="K52" s="29"/>
      <c r="L52" s="29"/>
      <c r="M52" s="29"/>
      <c r="N52" s="29"/>
      <c r="O52" s="29"/>
      <c r="P52" s="29"/>
      <c r="Q52" s="29"/>
      <c r="R52" s="29"/>
      <c r="S52" s="29"/>
      <c r="T52" s="29"/>
      <c r="U52" s="29"/>
      <c r="V52" s="29"/>
      <c r="W52" s="29"/>
      <c r="X52" s="29"/>
    </row>
    <row r="53" spans="1:24" ht="15">
      <c r="A53" s="29"/>
      <c r="B53" s="29"/>
      <c r="C53" s="29"/>
      <c r="D53" s="33"/>
      <c r="E53" s="33"/>
      <c r="G53" s="29"/>
      <c r="H53" s="29"/>
      <c r="I53" s="29"/>
      <c r="J53" s="29"/>
      <c r="K53" s="29"/>
      <c r="L53" s="29"/>
      <c r="M53" s="29"/>
      <c r="N53" s="29"/>
      <c r="O53" s="29"/>
      <c r="P53" s="29"/>
      <c r="Q53" s="29"/>
      <c r="R53" s="29"/>
      <c r="S53" s="29"/>
      <c r="T53" s="29"/>
      <c r="U53" s="29"/>
      <c r="V53" s="29"/>
      <c r="W53" s="29"/>
      <c r="X53" s="29"/>
    </row>
    <row r="54" spans="1:24" ht="15">
      <c r="A54" s="29"/>
      <c r="B54" s="29"/>
      <c r="C54" s="29"/>
      <c r="D54" s="33"/>
      <c r="E54" s="33"/>
      <c r="G54" s="29"/>
      <c r="H54" s="29"/>
      <c r="I54" s="29"/>
      <c r="J54" s="29"/>
      <c r="K54" s="29"/>
      <c r="L54" s="29"/>
      <c r="M54" s="29"/>
      <c r="N54" s="29"/>
      <c r="O54" s="29"/>
      <c r="P54" s="29"/>
      <c r="Q54" s="29"/>
      <c r="R54" s="29"/>
      <c r="S54" s="29"/>
      <c r="T54" s="29"/>
      <c r="U54" s="29"/>
      <c r="V54" s="29"/>
      <c r="W54" s="29"/>
      <c r="X54" s="29"/>
    </row>
    <row r="55" spans="1:24" ht="15">
      <c r="A55" s="29"/>
      <c r="B55" s="29"/>
      <c r="C55" s="29"/>
      <c r="D55" s="33"/>
      <c r="E55" s="33"/>
      <c r="G55" s="29"/>
      <c r="H55" s="29"/>
      <c r="I55" s="29"/>
      <c r="J55" s="29"/>
      <c r="K55" s="29"/>
      <c r="L55" s="29"/>
      <c r="M55" s="29"/>
      <c r="N55" s="29"/>
      <c r="O55" s="29"/>
      <c r="P55" s="29"/>
      <c r="Q55" s="29"/>
      <c r="R55" s="29"/>
      <c r="S55" s="29"/>
      <c r="T55" s="29"/>
      <c r="U55" s="29"/>
      <c r="V55" s="29"/>
      <c r="W55" s="29"/>
      <c r="X55" s="29"/>
    </row>
    <row r="56" spans="1:24" ht="15">
      <c r="A56" s="29"/>
      <c r="B56" s="29"/>
      <c r="C56" s="29"/>
      <c r="D56" s="33"/>
      <c r="E56" s="33"/>
      <c r="G56" s="29"/>
      <c r="H56" s="29"/>
      <c r="I56" s="29"/>
      <c r="J56" s="29"/>
      <c r="K56" s="29"/>
      <c r="L56" s="29"/>
      <c r="M56" s="29"/>
      <c r="N56" s="29"/>
      <c r="O56" s="29"/>
      <c r="P56" s="29"/>
      <c r="Q56" s="29"/>
      <c r="R56" s="29"/>
      <c r="S56" s="29"/>
      <c r="T56" s="29"/>
      <c r="U56" s="29"/>
      <c r="V56" s="29"/>
      <c r="W56" s="29"/>
      <c r="X56" s="29"/>
    </row>
    <row r="57" spans="1:24" ht="15">
      <c r="A57" s="29"/>
      <c r="B57" s="29"/>
      <c r="C57" s="29"/>
      <c r="D57" s="33"/>
      <c r="E57" s="33"/>
      <c r="G57" s="29"/>
      <c r="H57" s="29"/>
      <c r="I57" s="29"/>
      <c r="J57" s="29"/>
      <c r="K57" s="29"/>
      <c r="L57" s="29"/>
      <c r="M57" s="29"/>
      <c r="N57" s="29"/>
      <c r="O57" s="29"/>
      <c r="P57" s="29"/>
      <c r="Q57" s="29"/>
      <c r="R57" s="29"/>
      <c r="S57" s="29"/>
      <c r="T57" s="29"/>
      <c r="U57" s="29"/>
      <c r="V57" s="29"/>
      <c r="W57" s="29"/>
      <c r="X57" s="29"/>
    </row>
    <row r="58" spans="1:24" ht="15">
      <c r="A58" s="29"/>
      <c r="B58" s="29"/>
      <c r="C58" s="29"/>
      <c r="D58" s="33"/>
      <c r="E58" s="33"/>
      <c r="G58" s="29"/>
      <c r="H58" s="29"/>
      <c r="I58" s="29"/>
      <c r="J58" s="29"/>
      <c r="K58" s="29"/>
      <c r="L58" s="29"/>
      <c r="M58" s="29"/>
      <c r="N58" s="29"/>
      <c r="O58" s="29"/>
      <c r="P58" s="29"/>
      <c r="Q58" s="29"/>
      <c r="R58" s="29"/>
      <c r="S58" s="29"/>
      <c r="T58" s="29"/>
      <c r="U58" s="29"/>
      <c r="V58" s="29"/>
      <c r="W58" s="29"/>
      <c r="X58" s="29"/>
    </row>
    <row r="59" spans="1:24" ht="15">
      <c r="A59" s="29"/>
      <c r="B59" s="29"/>
      <c r="C59" s="29"/>
      <c r="D59" s="33"/>
      <c r="E59" s="33"/>
      <c r="G59" s="29"/>
      <c r="H59" s="29"/>
      <c r="I59" s="29"/>
      <c r="J59" s="29"/>
      <c r="K59" s="29"/>
      <c r="L59" s="29"/>
      <c r="M59" s="29"/>
      <c r="N59" s="29"/>
      <c r="O59" s="29"/>
      <c r="P59" s="29"/>
      <c r="Q59" s="29"/>
      <c r="R59" s="29"/>
      <c r="S59" s="29"/>
      <c r="T59" s="29"/>
      <c r="U59" s="29"/>
      <c r="V59" s="29"/>
      <c r="W59" s="29"/>
      <c r="X59" s="29"/>
    </row>
    <row r="60" spans="1:24" ht="15">
      <c r="A60" s="29"/>
      <c r="B60" s="29"/>
      <c r="C60" s="29"/>
      <c r="D60" s="33"/>
      <c r="E60" s="33"/>
      <c r="G60" s="29"/>
      <c r="H60" s="29"/>
      <c r="I60" s="29"/>
      <c r="J60" s="29"/>
      <c r="K60" s="29"/>
      <c r="L60" s="29"/>
      <c r="M60" s="29"/>
      <c r="N60" s="29"/>
      <c r="O60" s="29"/>
      <c r="P60" s="29"/>
      <c r="Q60" s="29"/>
      <c r="R60" s="29"/>
      <c r="S60" s="29"/>
      <c r="T60" s="29"/>
      <c r="U60" s="29"/>
      <c r="V60" s="29"/>
      <c r="W60" s="29"/>
      <c r="X60" s="29"/>
    </row>
    <row r="61" spans="1:24" ht="15">
      <c r="A61" s="29"/>
      <c r="B61" s="29"/>
      <c r="C61" s="29"/>
      <c r="D61" s="33"/>
      <c r="E61" s="33"/>
      <c r="G61" s="29"/>
      <c r="H61" s="29"/>
      <c r="I61" s="29"/>
      <c r="J61" s="29"/>
      <c r="K61" s="29"/>
      <c r="L61" s="29"/>
      <c r="M61" s="29"/>
      <c r="N61" s="29"/>
      <c r="O61" s="29"/>
      <c r="P61" s="29"/>
      <c r="Q61" s="29"/>
      <c r="R61" s="29"/>
      <c r="S61" s="29"/>
      <c r="T61" s="29"/>
      <c r="U61" s="29"/>
      <c r="V61" s="29"/>
      <c r="W61" s="29"/>
      <c r="X61" s="29"/>
    </row>
    <row r="62" spans="1:24" ht="15">
      <c r="A62" s="29"/>
      <c r="B62" s="29"/>
      <c r="C62" s="29"/>
      <c r="D62" s="33"/>
      <c r="E62" s="33"/>
      <c r="G62" s="29"/>
      <c r="H62" s="29"/>
      <c r="I62" s="29"/>
      <c r="J62" s="29"/>
      <c r="K62" s="29"/>
      <c r="L62" s="29"/>
      <c r="M62" s="29"/>
      <c r="N62" s="29"/>
      <c r="O62" s="29"/>
      <c r="P62" s="29"/>
      <c r="Q62" s="29"/>
      <c r="R62" s="29"/>
      <c r="S62" s="29"/>
      <c r="T62" s="29"/>
      <c r="U62" s="29"/>
      <c r="V62" s="29"/>
      <c r="W62" s="29"/>
      <c r="X62" s="29"/>
    </row>
    <row r="63" spans="1:24" ht="15">
      <c r="A63" s="29"/>
      <c r="B63" s="29"/>
      <c r="C63" s="29"/>
      <c r="D63" s="33"/>
      <c r="E63" s="33"/>
      <c r="G63" s="29"/>
      <c r="H63" s="29"/>
      <c r="I63" s="29"/>
      <c r="J63" s="29"/>
      <c r="K63" s="29"/>
      <c r="L63" s="29"/>
      <c r="M63" s="29"/>
      <c r="N63" s="29"/>
      <c r="O63" s="29"/>
      <c r="P63" s="29"/>
      <c r="Q63" s="29"/>
      <c r="R63" s="29"/>
      <c r="S63" s="29"/>
      <c r="T63" s="29"/>
      <c r="U63" s="29"/>
      <c r="V63" s="29"/>
      <c r="W63" s="29"/>
      <c r="X63" s="29"/>
    </row>
    <row r="64" spans="1:24" ht="15">
      <c r="A64" s="29"/>
      <c r="B64" s="29"/>
      <c r="C64" s="29"/>
      <c r="D64" s="33"/>
      <c r="E64" s="33"/>
      <c r="G64" s="29"/>
      <c r="H64" s="29"/>
      <c r="I64" s="29"/>
      <c r="J64" s="29"/>
      <c r="K64" s="29"/>
      <c r="L64" s="29"/>
      <c r="M64" s="29"/>
      <c r="N64" s="29"/>
      <c r="O64" s="29"/>
      <c r="P64" s="29"/>
      <c r="Q64" s="29"/>
      <c r="R64" s="29"/>
      <c r="S64" s="29"/>
      <c r="T64" s="29"/>
      <c r="U64" s="29"/>
      <c r="V64" s="29"/>
      <c r="W64" s="29"/>
      <c r="X64" s="29"/>
    </row>
    <row r="65" spans="1:24" ht="15">
      <c r="A65" s="29"/>
      <c r="B65" s="29"/>
      <c r="C65" s="29"/>
      <c r="D65" s="33"/>
      <c r="E65" s="33"/>
      <c r="G65" s="29"/>
      <c r="H65" s="29"/>
      <c r="I65" s="29"/>
      <c r="J65" s="29"/>
      <c r="K65" s="29"/>
      <c r="L65" s="29"/>
      <c r="M65" s="29"/>
      <c r="N65" s="29"/>
      <c r="O65" s="29"/>
      <c r="P65" s="29"/>
      <c r="Q65" s="29"/>
      <c r="R65" s="29"/>
      <c r="S65" s="29"/>
      <c r="T65" s="29"/>
      <c r="U65" s="29"/>
      <c r="V65" s="29"/>
      <c r="W65" s="29"/>
      <c r="X65" s="29"/>
    </row>
    <row r="66" spans="1:24" ht="15">
      <c r="A66" s="29"/>
      <c r="B66" s="29"/>
      <c r="C66" s="29"/>
      <c r="D66" s="33"/>
      <c r="E66" s="33"/>
      <c r="G66" s="29"/>
      <c r="H66" s="29"/>
      <c r="I66" s="29"/>
      <c r="J66" s="29"/>
      <c r="K66" s="29"/>
      <c r="L66" s="29"/>
      <c r="M66" s="29"/>
      <c r="N66" s="29"/>
      <c r="O66" s="29"/>
      <c r="P66" s="29"/>
      <c r="Q66" s="29"/>
      <c r="R66" s="29"/>
      <c r="S66" s="29"/>
      <c r="T66" s="29"/>
      <c r="U66" s="29"/>
      <c r="V66" s="29"/>
      <c r="W66" s="29"/>
      <c r="X66" s="29"/>
    </row>
    <row r="67" spans="1:24" ht="15">
      <c r="A67" s="29"/>
      <c r="B67" s="29"/>
      <c r="C67" s="29"/>
      <c r="D67" s="33"/>
      <c r="E67" s="33"/>
      <c r="G67" s="29"/>
      <c r="H67" s="29"/>
      <c r="I67" s="29"/>
      <c r="J67" s="29"/>
      <c r="K67" s="29"/>
      <c r="L67" s="29"/>
      <c r="M67" s="29"/>
      <c r="N67" s="29"/>
      <c r="O67" s="29"/>
      <c r="P67" s="29"/>
      <c r="Q67" s="29"/>
      <c r="R67" s="29"/>
      <c r="S67" s="29"/>
      <c r="T67" s="29"/>
      <c r="U67" s="29"/>
      <c r="V67" s="29"/>
      <c r="W67" s="29"/>
      <c r="X67" s="29"/>
    </row>
    <row r="68" spans="1:24" ht="15">
      <c r="A68" s="29"/>
      <c r="B68" s="29"/>
      <c r="C68" s="29"/>
      <c r="D68" s="33"/>
      <c r="E68" s="33"/>
      <c r="G68" s="29"/>
      <c r="H68" s="29"/>
      <c r="I68" s="29"/>
      <c r="J68" s="29"/>
      <c r="K68" s="29"/>
      <c r="L68" s="29"/>
      <c r="M68" s="29"/>
      <c r="N68" s="29"/>
      <c r="O68" s="29"/>
      <c r="P68" s="29"/>
      <c r="Q68" s="29"/>
      <c r="R68" s="29"/>
      <c r="S68" s="29"/>
      <c r="T68" s="29"/>
      <c r="U68" s="29"/>
      <c r="V68" s="29"/>
      <c r="W68" s="29"/>
      <c r="X68" s="29"/>
    </row>
    <row r="69" spans="1:24" ht="15">
      <c r="A69" s="29"/>
      <c r="B69" s="29"/>
      <c r="C69" s="29"/>
      <c r="D69" s="33"/>
      <c r="E69" s="33"/>
      <c r="G69" s="29"/>
      <c r="H69" s="29"/>
      <c r="I69" s="29"/>
      <c r="J69" s="29"/>
      <c r="K69" s="29"/>
      <c r="L69" s="29"/>
      <c r="M69" s="29"/>
      <c r="N69" s="29"/>
      <c r="O69" s="29"/>
      <c r="P69" s="29"/>
      <c r="Q69" s="29"/>
      <c r="R69" s="29"/>
      <c r="S69" s="29"/>
      <c r="T69" s="29"/>
      <c r="U69" s="29"/>
      <c r="V69" s="29"/>
      <c r="W69" s="29"/>
      <c r="X69" s="29"/>
    </row>
    <row r="70" spans="1:24" ht="15">
      <c r="A70" s="29"/>
      <c r="B70" s="29"/>
      <c r="C70" s="29"/>
      <c r="D70" s="33"/>
      <c r="E70" s="33"/>
      <c r="G70" s="29"/>
      <c r="H70" s="29"/>
      <c r="I70" s="29"/>
      <c r="J70" s="29"/>
      <c r="K70" s="29"/>
      <c r="L70" s="29"/>
      <c r="M70" s="29"/>
      <c r="N70" s="29"/>
      <c r="O70" s="29"/>
      <c r="P70" s="29"/>
      <c r="Q70" s="29"/>
      <c r="R70" s="29"/>
      <c r="S70" s="29"/>
      <c r="T70" s="29"/>
      <c r="U70" s="29"/>
      <c r="V70" s="29"/>
      <c r="W70" s="29"/>
      <c r="X70" s="29"/>
    </row>
    <row r="71" spans="1:24" ht="15">
      <c r="A71" s="29"/>
      <c r="B71" s="29"/>
      <c r="C71" s="29"/>
      <c r="D71" s="33"/>
      <c r="E71" s="33"/>
      <c r="G71" s="29"/>
      <c r="H71" s="29"/>
      <c r="I71" s="29"/>
      <c r="J71" s="29"/>
      <c r="K71" s="29"/>
      <c r="L71" s="29"/>
      <c r="M71" s="29"/>
      <c r="N71" s="29"/>
      <c r="O71" s="29"/>
      <c r="P71" s="29"/>
      <c r="Q71" s="29"/>
      <c r="R71" s="29"/>
      <c r="S71" s="29"/>
      <c r="T71" s="29"/>
      <c r="U71" s="29"/>
      <c r="V71" s="29"/>
      <c r="W71" s="29"/>
      <c r="X71" s="29"/>
    </row>
    <row r="72" spans="1:24" ht="15">
      <c r="A72" s="29"/>
      <c r="B72" s="29"/>
      <c r="C72" s="29"/>
      <c r="D72" s="33"/>
      <c r="E72" s="33"/>
      <c r="G72" s="29"/>
      <c r="H72" s="29"/>
      <c r="I72" s="29"/>
      <c r="J72" s="29"/>
      <c r="K72" s="29"/>
      <c r="L72" s="29"/>
      <c r="M72" s="29"/>
      <c r="N72" s="29"/>
      <c r="O72" s="29"/>
      <c r="P72" s="29"/>
      <c r="Q72" s="29"/>
      <c r="R72" s="29"/>
      <c r="S72" s="29"/>
      <c r="T72" s="29"/>
      <c r="U72" s="29"/>
      <c r="V72" s="29"/>
      <c r="W72" s="29"/>
      <c r="X72" s="29"/>
    </row>
    <row r="73" spans="1:24" ht="15">
      <c r="A73" s="29"/>
      <c r="B73" s="29"/>
      <c r="C73" s="29"/>
      <c r="D73" s="33"/>
      <c r="E73" s="33"/>
      <c r="G73" s="29"/>
      <c r="H73" s="29"/>
      <c r="I73" s="29"/>
      <c r="J73" s="29"/>
      <c r="K73" s="29"/>
      <c r="L73" s="29"/>
      <c r="M73" s="29"/>
      <c r="N73" s="29"/>
      <c r="O73" s="29"/>
      <c r="P73" s="29"/>
      <c r="Q73" s="29"/>
      <c r="R73" s="29"/>
      <c r="S73" s="29"/>
      <c r="T73" s="29"/>
      <c r="U73" s="29"/>
      <c r="V73" s="29"/>
      <c r="W73" s="29"/>
      <c r="X73" s="29"/>
    </row>
    <row r="74" spans="1:24" ht="15">
      <c r="A74" s="29"/>
      <c r="B74" s="29"/>
      <c r="C74" s="29"/>
      <c r="D74" s="33"/>
      <c r="E74" s="33"/>
      <c r="G74" s="29"/>
      <c r="H74" s="29"/>
      <c r="I74" s="29"/>
      <c r="J74" s="29"/>
      <c r="K74" s="29"/>
      <c r="L74" s="29"/>
      <c r="M74" s="29"/>
      <c r="N74" s="29"/>
      <c r="O74" s="29"/>
      <c r="P74" s="29"/>
      <c r="Q74" s="29"/>
      <c r="R74" s="29"/>
      <c r="S74" s="29"/>
      <c r="T74" s="29"/>
      <c r="U74" s="29"/>
      <c r="V74" s="29"/>
      <c r="W74" s="29"/>
      <c r="X74" s="29"/>
    </row>
    <row r="75" spans="1:24" ht="15">
      <c r="A75" s="29"/>
      <c r="B75" s="29"/>
      <c r="C75" s="29"/>
      <c r="D75" s="33"/>
      <c r="E75" s="33"/>
      <c r="G75" s="29"/>
      <c r="H75" s="29"/>
      <c r="I75" s="29"/>
      <c r="J75" s="29"/>
      <c r="K75" s="29"/>
      <c r="L75" s="29"/>
      <c r="M75" s="29"/>
      <c r="N75" s="29"/>
      <c r="O75" s="29"/>
      <c r="P75" s="29"/>
      <c r="Q75" s="29"/>
      <c r="R75" s="29"/>
      <c r="S75" s="29"/>
      <c r="T75" s="29"/>
      <c r="U75" s="29"/>
      <c r="V75" s="29"/>
      <c r="W75" s="29"/>
      <c r="X75" s="29"/>
    </row>
    <row r="76" spans="1:24" ht="15">
      <c r="A76" s="29"/>
      <c r="B76" s="29"/>
      <c r="C76" s="29"/>
      <c r="D76" s="33"/>
      <c r="E76" s="33"/>
      <c r="G76" s="29"/>
      <c r="H76" s="29"/>
      <c r="I76" s="29"/>
      <c r="J76" s="29"/>
      <c r="K76" s="29"/>
      <c r="L76" s="29"/>
      <c r="M76" s="29"/>
      <c r="N76" s="29"/>
      <c r="O76" s="29"/>
      <c r="P76" s="29"/>
      <c r="Q76" s="29"/>
      <c r="R76" s="29"/>
      <c r="S76" s="29"/>
      <c r="T76" s="29"/>
      <c r="U76" s="29"/>
      <c r="V76" s="29"/>
      <c r="W76" s="29"/>
      <c r="X76" s="29"/>
    </row>
    <row r="77" spans="1:24" ht="15">
      <c r="A77" s="29"/>
      <c r="B77" s="29"/>
      <c r="C77" s="29"/>
      <c r="D77" s="33"/>
      <c r="E77" s="33"/>
      <c r="G77" s="29"/>
      <c r="H77" s="29"/>
      <c r="I77" s="29"/>
      <c r="J77" s="29"/>
      <c r="K77" s="29"/>
      <c r="L77" s="29"/>
      <c r="M77" s="29"/>
      <c r="N77" s="29"/>
      <c r="O77" s="29"/>
      <c r="P77" s="29"/>
      <c r="Q77" s="29"/>
      <c r="R77" s="29"/>
      <c r="S77" s="29"/>
      <c r="T77" s="29"/>
      <c r="U77" s="29"/>
      <c r="V77" s="29"/>
      <c r="W77" s="29"/>
      <c r="X77" s="29"/>
    </row>
    <row r="78" spans="1:24" ht="15">
      <c r="A78" s="29"/>
      <c r="B78" s="29"/>
      <c r="C78" s="29"/>
      <c r="D78" s="33"/>
      <c r="E78" s="33"/>
      <c r="G78" s="29"/>
      <c r="H78" s="29"/>
      <c r="I78" s="29"/>
      <c r="J78" s="29"/>
      <c r="K78" s="29"/>
      <c r="L78" s="29"/>
      <c r="M78" s="29"/>
      <c r="N78" s="29"/>
      <c r="O78" s="29"/>
      <c r="P78" s="29"/>
      <c r="Q78" s="29"/>
      <c r="R78" s="29"/>
      <c r="S78" s="29"/>
      <c r="T78" s="29"/>
      <c r="U78" s="29"/>
      <c r="V78" s="29"/>
      <c r="W78" s="29"/>
      <c r="X78" s="29"/>
    </row>
    <row r="79" spans="1:24" ht="15">
      <c r="A79" s="29"/>
      <c r="B79" s="29"/>
      <c r="C79" s="29"/>
      <c r="D79" s="33"/>
      <c r="E79" s="33"/>
      <c r="G79" s="29"/>
      <c r="H79" s="29"/>
      <c r="I79" s="29"/>
      <c r="J79" s="29"/>
      <c r="K79" s="29"/>
      <c r="L79" s="29"/>
      <c r="M79" s="29"/>
      <c r="N79" s="29"/>
      <c r="O79" s="29"/>
      <c r="P79" s="29"/>
      <c r="Q79" s="29"/>
      <c r="R79" s="29"/>
      <c r="S79" s="29"/>
      <c r="T79" s="29"/>
      <c r="U79" s="29"/>
      <c r="V79" s="29"/>
      <c r="W79" s="29"/>
      <c r="X79" s="29"/>
    </row>
    <row r="80" spans="1:24" ht="15">
      <c r="A80" s="29"/>
      <c r="B80" s="29"/>
      <c r="C80" s="29"/>
      <c r="D80" s="33"/>
      <c r="E80" s="33"/>
      <c r="G80" s="29"/>
      <c r="H80" s="29"/>
      <c r="I80" s="29"/>
      <c r="J80" s="29"/>
      <c r="K80" s="29"/>
      <c r="L80" s="29"/>
      <c r="M80" s="29"/>
      <c r="N80" s="29"/>
      <c r="O80" s="29"/>
      <c r="P80" s="29"/>
      <c r="Q80" s="29"/>
      <c r="R80" s="29"/>
      <c r="S80" s="29"/>
      <c r="T80" s="29"/>
      <c r="U80" s="29"/>
      <c r="V80" s="29"/>
      <c r="W80" s="29"/>
      <c r="X80" s="29"/>
    </row>
    <row r="81" spans="1:24" ht="15">
      <c r="A81" s="29"/>
      <c r="B81" s="29"/>
      <c r="C81" s="29"/>
      <c r="D81" s="33"/>
      <c r="E81" s="33"/>
      <c r="G81" s="29"/>
      <c r="H81" s="29"/>
      <c r="I81" s="29"/>
      <c r="J81" s="29"/>
      <c r="K81" s="29"/>
      <c r="L81" s="29"/>
      <c r="M81" s="29"/>
      <c r="N81" s="29"/>
      <c r="O81" s="29"/>
      <c r="P81" s="29"/>
      <c r="Q81" s="29"/>
      <c r="R81" s="29"/>
      <c r="S81" s="29"/>
      <c r="T81" s="29"/>
      <c r="U81" s="29"/>
      <c r="V81" s="29"/>
      <c r="W81" s="29"/>
      <c r="X81" s="29"/>
    </row>
    <row r="82" spans="1:24" ht="15">
      <c r="A82" s="29"/>
      <c r="B82" s="29"/>
      <c r="C82" s="29"/>
      <c r="D82" s="33"/>
      <c r="E82" s="33"/>
      <c r="G82" s="29"/>
      <c r="H82" s="29"/>
      <c r="I82" s="29"/>
      <c r="J82" s="29"/>
      <c r="K82" s="29"/>
      <c r="L82" s="29"/>
      <c r="M82" s="29"/>
      <c r="N82" s="29"/>
      <c r="O82" s="29"/>
      <c r="P82" s="29"/>
      <c r="Q82" s="29"/>
      <c r="R82" s="29"/>
      <c r="S82" s="29"/>
      <c r="T82" s="29"/>
      <c r="U82" s="29"/>
      <c r="V82" s="29"/>
      <c r="W82" s="29"/>
      <c r="X82" s="29"/>
    </row>
    <row r="83" spans="1:24" ht="15">
      <c r="A83" s="29"/>
      <c r="B83" s="29"/>
      <c r="C83" s="29"/>
      <c r="D83" s="33"/>
      <c r="E83" s="33"/>
      <c r="G83" s="29"/>
      <c r="H83" s="29"/>
      <c r="I83" s="29"/>
      <c r="J83" s="29"/>
      <c r="K83" s="29"/>
      <c r="L83" s="29"/>
      <c r="M83" s="29"/>
      <c r="N83" s="29"/>
      <c r="O83" s="29"/>
      <c r="P83" s="29"/>
      <c r="Q83" s="29"/>
      <c r="R83" s="29"/>
      <c r="S83" s="29"/>
      <c r="T83" s="29"/>
      <c r="U83" s="29"/>
      <c r="V83" s="29"/>
      <c r="W83" s="29"/>
      <c r="X83" s="29"/>
    </row>
    <row r="84" spans="1:24" ht="15">
      <c r="A84" s="29"/>
      <c r="B84" s="29"/>
      <c r="C84" s="29"/>
      <c r="D84" s="33"/>
      <c r="E84" s="33"/>
      <c r="G84" s="29"/>
      <c r="H84" s="29"/>
      <c r="I84" s="29"/>
      <c r="J84" s="29"/>
      <c r="K84" s="29"/>
      <c r="L84" s="29"/>
      <c r="M84" s="29"/>
      <c r="N84" s="29"/>
      <c r="O84" s="29"/>
      <c r="P84" s="29"/>
      <c r="Q84" s="29"/>
      <c r="R84" s="29"/>
      <c r="S84" s="29"/>
      <c r="T84" s="29"/>
      <c r="U84" s="29"/>
      <c r="V84" s="29"/>
      <c r="W84" s="29"/>
      <c r="X84" s="29"/>
    </row>
    <row r="85" spans="1:24" ht="15">
      <c r="A85" s="29"/>
      <c r="B85" s="29"/>
      <c r="C85" s="29"/>
      <c r="D85" s="33"/>
      <c r="E85" s="33"/>
      <c r="G85" s="29"/>
      <c r="H85" s="29"/>
      <c r="I85" s="29"/>
      <c r="J85" s="29"/>
      <c r="K85" s="29"/>
      <c r="L85" s="29"/>
      <c r="M85" s="29"/>
      <c r="N85" s="29"/>
      <c r="O85" s="29"/>
      <c r="P85" s="29"/>
      <c r="Q85" s="29"/>
      <c r="R85" s="29"/>
      <c r="S85" s="29"/>
      <c r="T85" s="29"/>
      <c r="U85" s="29"/>
      <c r="V85" s="29"/>
      <c r="W85" s="29"/>
      <c r="X85" s="29"/>
    </row>
    <row r="86" spans="1:24" ht="15">
      <c r="A86" s="29"/>
      <c r="B86" s="29"/>
      <c r="C86" s="29"/>
      <c r="D86" s="33"/>
      <c r="E86" s="33"/>
      <c r="G86" s="29"/>
      <c r="H86" s="29"/>
      <c r="I86" s="29"/>
      <c r="J86" s="29"/>
      <c r="K86" s="29"/>
      <c r="L86" s="29"/>
      <c r="M86" s="29"/>
      <c r="N86" s="29"/>
      <c r="O86" s="29"/>
      <c r="P86" s="29"/>
      <c r="Q86" s="29"/>
      <c r="R86" s="29"/>
      <c r="S86" s="29"/>
      <c r="T86" s="29"/>
      <c r="U86" s="29"/>
      <c r="V86" s="29"/>
      <c r="W86" s="29"/>
      <c r="X86" s="29"/>
    </row>
    <row r="87" spans="1:24" ht="15">
      <c r="A87" s="29"/>
      <c r="B87" s="29"/>
      <c r="C87" s="29"/>
      <c r="D87" s="33"/>
      <c r="E87" s="33"/>
      <c r="G87" s="29"/>
      <c r="H87" s="29"/>
      <c r="I87" s="29"/>
      <c r="J87" s="29"/>
      <c r="K87" s="29"/>
      <c r="L87" s="29"/>
      <c r="M87" s="29"/>
      <c r="N87" s="29"/>
      <c r="O87" s="29"/>
      <c r="P87" s="29"/>
      <c r="Q87" s="29"/>
      <c r="R87" s="29"/>
      <c r="S87" s="29"/>
      <c r="T87" s="29"/>
      <c r="U87" s="29"/>
      <c r="V87" s="29"/>
      <c r="W87" s="29"/>
      <c r="X87" s="29"/>
    </row>
    <row r="88" spans="1:24" ht="15">
      <c r="A88" s="29"/>
      <c r="B88" s="29"/>
      <c r="C88" s="29"/>
      <c r="D88" s="33"/>
      <c r="E88" s="33"/>
      <c r="G88" s="29"/>
      <c r="H88" s="29"/>
      <c r="I88" s="29"/>
      <c r="J88" s="29"/>
      <c r="K88" s="29"/>
      <c r="L88" s="29"/>
      <c r="M88" s="29"/>
      <c r="N88" s="29"/>
      <c r="O88" s="29"/>
      <c r="P88" s="29"/>
      <c r="Q88" s="29"/>
      <c r="R88" s="29"/>
      <c r="S88" s="29"/>
      <c r="T88" s="29"/>
      <c r="U88" s="29"/>
      <c r="V88" s="29"/>
      <c r="W88" s="29"/>
      <c r="X88" s="29"/>
    </row>
    <row r="89" spans="1:24" ht="15">
      <c r="A89" s="29"/>
      <c r="B89" s="29"/>
      <c r="C89" s="29"/>
      <c r="D89" s="33"/>
      <c r="E89" s="33"/>
      <c r="G89" s="29"/>
      <c r="H89" s="29"/>
      <c r="I89" s="29"/>
      <c r="J89" s="29"/>
      <c r="K89" s="29"/>
      <c r="L89" s="29"/>
      <c r="M89" s="29"/>
      <c r="N89" s="29"/>
      <c r="O89" s="29"/>
      <c r="P89" s="29"/>
      <c r="Q89" s="29"/>
      <c r="R89" s="29"/>
      <c r="S89" s="29"/>
      <c r="T89" s="29"/>
      <c r="U89" s="29"/>
      <c r="V89" s="29"/>
      <c r="W89" s="29"/>
      <c r="X89" s="29"/>
    </row>
    <row r="90" spans="1:24" ht="15">
      <c r="A90" s="29"/>
      <c r="B90" s="29"/>
      <c r="C90" s="29"/>
      <c r="D90" s="33"/>
      <c r="E90" s="33"/>
      <c r="G90" s="29"/>
      <c r="H90" s="29"/>
      <c r="I90" s="29"/>
      <c r="J90" s="29"/>
      <c r="K90" s="29"/>
      <c r="L90" s="29"/>
      <c r="M90" s="29"/>
      <c r="N90" s="29"/>
      <c r="O90" s="29"/>
      <c r="P90" s="29"/>
      <c r="Q90" s="29"/>
      <c r="R90" s="29"/>
      <c r="S90" s="29"/>
      <c r="T90" s="29"/>
      <c r="U90" s="29"/>
      <c r="V90" s="29"/>
      <c r="W90" s="29"/>
      <c r="X90" s="29"/>
    </row>
    <row r="91" spans="1:24" ht="15">
      <c r="A91" s="29"/>
      <c r="B91" s="29"/>
      <c r="C91" s="29"/>
      <c r="D91" s="33"/>
      <c r="E91" s="33"/>
      <c r="G91" s="29"/>
      <c r="H91" s="29"/>
      <c r="I91" s="29"/>
      <c r="J91" s="29"/>
      <c r="K91" s="29"/>
      <c r="L91" s="29"/>
      <c r="M91" s="29"/>
      <c r="N91" s="29"/>
      <c r="O91" s="29"/>
      <c r="P91" s="29"/>
      <c r="Q91" s="29"/>
      <c r="R91" s="29"/>
      <c r="S91" s="29"/>
      <c r="T91" s="29"/>
      <c r="U91" s="29"/>
      <c r="V91" s="29"/>
      <c r="W91" s="29"/>
      <c r="X91" s="29"/>
    </row>
    <row r="92" spans="1:24" ht="15">
      <c r="A92" s="29"/>
      <c r="B92" s="29"/>
      <c r="C92" s="29"/>
      <c r="D92" s="33"/>
      <c r="E92" s="33"/>
      <c r="G92" s="29"/>
      <c r="H92" s="29"/>
      <c r="I92" s="29"/>
      <c r="J92" s="29"/>
      <c r="K92" s="29"/>
      <c r="L92" s="29"/>
      <c r="M92" s="29"/>
      <c r="N92" s="29"/>
      <c r="O92" s="29"/>
      <c r="P92" s="29"/>
      <c r="Q92" s="29"/>
      <c r="R92" s="29"/>
      <c r="S92" s="29"/>
      <c r="T92" s="29"/>
      <c r="U92" s="29"/>
      <c r="V92" s="29"/>
      <c r="W92" s="29"/>
      <c r="X92" s="29"/>
    </row>
    <row r="93" spans="1:24" ht="15">
      <c r="A93" s="29"/>
      <c r="B93" s="29"/>
      <c r="C93" s="29"/>
      <c r="D93" s="33"/>
      <c r="E93" s="33"/>
      <c r="G93" s="29"/>
      <c r="H93" s="29"/>
      <c r="I93" s="29"/>
      <c r="J93" s="29"/>
      <c r="K93" s="29"/>
      <c r="L93" s="29"/>
      <c r="M93" s="29"/>
      <c r="N93" s="29"/>
      <c r="O93" s="29"/>
      <c r="P93" s="29"/>
      <c r="Q93" s="29"/>
      <c r="R93" s="29"/>
      <c r="S93" s="29"/>
      <c r="T93" s="29"/>
      <c r="U93" s="29"/>
      <c r="V93" s="29"/>
      <c r="W93" s="29"/>
      <c r="X93" s="29"/>
    </row>
    <row r="94" spans="1:24" ht="15">
      <c r="A94" s="29"/>
      <c r="B94" s="29"/>
      <c r="C94" s="29"/>
      <c r="D94" s="33"/>
      <c r="E94" s="33"/>
      <c r="G94" s="29"/>
      <c r="H94" s="29"/>
      <c r="I94" s="29"/>
      <c r="J94" s="29"/>
      <c r="K94" s="29"/>
      <c r="L94" s="29"/>
      <c r="M94" s="29"/>
      <c r="N94" s="29"/>
      <c r="O94" s="29"/>
      <c r="P94" s="29"/>
      <c r="Q94" s="29"/>
      <c r="R94" s="29"/>
      <c r="S94" s="29"/>
      <c r="T94" s="29"/>
      <c r="U94" s="29"/>
      <c r="V94" s="29"/>
      <c r="W94" s="29"/>
      <c r="X94" s="29"/>
    </row>
    <row r="95" spans="1:24" ht="15">
      <c r="A95" s="29"/>
      <c r="B95" s="29"/>
      <c r="C95" s="29"/>
      <c r="D95" s="33"/>
      <c r="E95" s="33"/>
      <c r="G95" s="29"/>
      <c r="H95" s="29"/>
      <c r="I95" s="29"/>
      <c r="J95" s="29"/>
      <c r="K95" s="29"/>
      <c r="L95" s="29"/>
      <c r="M95" s="29"/>
      <c r="N95" s="29"/>
      <c r="O95" s="29"/>
      <c r="P95" s="29"/>
      <c r="Q95" s="29"/>
      <c r="R95" s="29"/>
      <c r="S95" s="29"/>
      <c r="T95" s="29"/>
      <c r="U95" s="29"/>
      <c r="V95" s="29"/>
      <c r="W95" s="29"/>
      <c r="X95" s="29"/>
    </row>
    <row r="96" spans="1:24" ht="15">
      <c r="A96" s="29"/>
      <c r="B96" s="29"/>
      <c r="C96" s="29"/>
      <c r="D96" s="33"/>
      <c r="E96" s="33"/>
      <c r="G96" s="29"/>
      <c r="H96" s="29"/>
      <c r="I96" s="29"/>
      <c r="J96" s="29"/>
      <c r="K96" s="29"/>
      <c r="L96" s="29"/>
      <c r="M96" s="29"/>
      <c r="N96" s="29"/>
      <c r="O96" s="29"/>
      <c r="P96" s="29"/>
      <c r="Q96" s="29"/>
      <c r="R96" s="29"/>
      <c r="S96" s="29"/>
      <c r="T96" s="29"/>
      <c r="U96" s="29"/>
      <c r="V96" s="29"/>
      <c r="W96" s="29"/>
      <c r="X96" s="29"/>
    </row>
    <row r="97" spans="1:24" ht="15">
      <c r="A97" s="29"/>
      <c r="B97" s="29"/>
      <c r="C97" s="29"/>
      <c r="D97" s="33"/>
      <c r="E97" s="33"/>
      <c r="G97" s="29"/>
      <c r="H97" s="29"/>
      <c r="I97" s="29"/>
      <c r="J97" s="29"/>
      <c r="K97" s="29"/>
      <c r="L97" s="29"/>
      <c r="M97" s="29"/>
      <c r="N97" s="29"/>
      <c r="O97" s="29"/>
      <c r="P97" s="29"/>
      <c r="Q97" s="29"/>
      <c r="R97" s="29"/>
      <c r="S97" s="29"/>
      <c r="T97" s="29"/>
      <c r="U97" s="29"/>
      <c r="V97" s="29"/>
      <c r="W97" s="29"/>
      <c r="X97" s="29"/>
    </row>
    <row r="98" spans="1:24" ht="15">
      <c r="A98" s="29"/>
      <c r="B98" s="29"/>
      <c r="C98" s="29"/>
      <c r="D98" s="33"/>
      <c r="E98" s="33"/>
      <c r="G98" s="29"/>
      <c r="H98" s="29"/>
      <c r="I98" s="29"/>
      <c r="J98" s="29"/>
      <c r="K98" s="29"/>
      <c r="L98" s="29"/>
      <c r="M98" s="29"/>
      <c r="N98" s="29"/>
      <c r="O98" s="29"/>
      <c r="P98" s="29"/>
      <c r="Q98" s="29"/>
      <c r="R98" s="29"/>
      <c r="S98" s="29"/>
      <c r="T98" s="29"/>
      <c r="U98" s="29"/>
      <c r="V98" s="29"/>
      <c r="W98" s="29"/>
      <c r="X98" s="29"/>
    </row>
    <row r="99" spans="1:24" ht="15">
      <c r="A99" s="29"/>
      <c r="B99" s="29"/>
      <c r="C99" s="29"/>
      <c r="D99" s="33"/>
      <c r="E99" s="33"/>
      <c r="G99" s="29"/>
      <c r="H99" s="29"/>
      <c r="I99" s="29"/>
      <c r="J99" s="29"/>
      <c r="K99" s="29"/>
      <c r="L99" s="29"/>
      <c r="M99" s="29"/>
      <c r="N99" s="29"/>
      <c r="O99" s="29"/>
      <c r="P99" s="29"/>
      <c r="Q99" s="29"/>
      <c r="R99" s="29"/>
      <c r="S99" s="29"/>
      <c r="T99" s="29"/>
      <c r="U99" s="29"/>
      <c r="V99" s="29"/>
      <c r="W99" s="29"/>
      <c r="X99" s="29"/>
    </row>
    <row r="100" spans="1:24" ht="15">
      <c r="A100" s="29"/>
      <c r="B100" s="29"/>
      <c r="C100" s="29"/>
      <c r="D100" s="33"/>
      <c r="E100" s="33"/>
      <c r="G100" s="29"/>
      <c r="H100" s="29"/>
      <c r="I100" s="29"/>
      <c r="J100" s="29"/>
      <c r="K100" s="29"/>
      <c r="L100" s="29"/>
      <c r="M100" s="29"/>
      <c r="N100" s="29"/>
      <c r="O100" s="29"/>
      <c r="P100" s="29"/>
      <c r="Q100" s="29"/>
      <c r="R100" s="29"/>
      <c r="S100" s="29"/>
      <c r="T100" s="29"/>
      <c r="U100" s="29"/>
      <c r="V100" s="29"/>
      <c r="W100" s="29"/>
      <c r="X100" s="29"/>
    </row>
    <row r="101" spans="1:24" ht="15">
      <c r="A101" s="29"/>
      <c r="B101" s="29"/>
      <c r="C101" s="29"/>
      <c r="D101" s="33"/>
      <c r="E101" s="33"/>
      <c r="G101" s="29"/>
      <c r="H101" s="29"/>
      <c r="I101" s="29"/>
      <c r="J101" s="29"/>
      <c r="K101" s="29"/>
      <c r="L101" s="29"/>
      <c r="M101" s="29"/>
      <c r="N101" s="29"/>
      <c r="O101" s="29"/>
      <c r="P101" s="29"/>
      <c r="Q101" s="29"/>
      <c r="R101" s="29"/>
      <c r="S101" s="29"/>
      <c r="T101" s="29"/>
      <c r="U101" s="29"/>
      <c r="V101" s="29"/>
      <c r="W101" s="29"/>
      <c r="X101" s="29"/>
    </row>
    <row r="102" spans="1:24" ht="15">
      <c r="A102" s="29"/>
      <c r="B102" s="29"/>
      <c r="C102" s="29"/>
      <c r="D102" s="33"/>
      <c r="E102" s="33"/>
      <c r="G102" s="29"/>
      <c r="H102" s="29"/>
      <c r="I102" s="29"/>
      <c r="J102" s="29"/>
      <c r="K102" s="29"/>
      <c r="L102" s="29"/>
      <c r="M102" s="29"/>
      <c r="N102" s="29"/>
      <c r="O102" s="29"/>
      <c r="P102" s="29"/>
      <c r="Q102" s="29"/>
      <c r="R102" s="29"/>
      <c r="S102" s="29"/>
      <c r="T102" s="29"/>
      <c r="U102" s="29"/>
      <c r="V102" s="29"/>
      <c r="W102" s="29"/>
      <c r="X102" s="29"/>
    </row>
    <row r="103" spans="1:24" ht="15">
      <c r="A103" s="29"/>
      <c r="B103" s="29"/>
      <c r="C103" s="29"/>
      <c r="D103" s="33"/>
      <c r="E103" s="33"/>
      <c r="G103" s="29"/>
      <c r="H103" s="29"/>
      <c r="I103" s="29"/>
      <c r="J103" s="29"/>
      <c r="K103" s="29"/>
      <c r="L103" s="29"/>
      <c r="M103" s="29"/>
      <c r="N103" s="29"/>
      <c r="O103" s="29"/>
      <c r="P103" s="29"/>
      <c r="Q103" s="29"/>
      <c r="R103" s="29"/>
      <c r="S103" s="29"/>
      <c r="T103" s="29"/>
      <c r="U103" s="29"/>
      <c r="V103" s="29"/>
      <c r="W103" s="29"/>
      <c r="X103" s="29"/>
    </row>
    <row r="104" spans="1:24" ht="15">
      <c r="A104" s="29"/>
      <c r="B104" s="29"/>
      <c r="C104" s="29"/>
      <c r="D104" s="33"/>
      <c r="E104" s="33"/>
      <c r="G104" s="29"/>
      <c r="H104" s="29"/>
      <c r="I104" s="29"/>
      <c r="J104" s="29"/>
      <c r="K104" s="29"/>
      <c r="L104" s="29"/>
      <c r="M104" s="29"/>
      <c r="N104" s="29"/>
      <c r="O104" s="29"/>
      <c r="P104" s="29"/>
      <c r="Q104" s="29"/>
      <c r="R104" s="29"/>
      <c r="S104" s="29"/>
      <c r="T104" s="29"/>
      <c r="U104" s="29"/>
      <c r="V104" s="29"/>
      <c r="W104" s="29"/>
      <c r="X104" s="29"/>
    </row>
    <row r="105" spans="1:24" ht="15">
      <c r="A105" s="29"/>
      <c r="B105" s="29"/>
      <c r="C105" s="29"/>
      <c r="D105" s="33"/>
      <c r="E105" s="33"/>
      <c r="G105" s="29"/>
      <c r="H105" s="29"/>
      <c r="I105" s="29"/>
      <c r="J105" s="29"/>
      <c r="K105" s="29"/>
      <c r="L105" s="29"/>
      <c r="M105" s="29"/>
      <c r="N105" s="29"/>
      <c r="O105" s="29"/>
      <c r="P105" s="29"/>
      <c r="Q105" s="29"/>
      <c r="R105" s="29"/>
      <c r="S105" s="29"/>
      <c r="T105" s="29"/>
      <c r="U105" s="29"/>
      <c r="V105" s="29"/>
      <c r="W105" s="29"/>
      <c r="X105" s="29"/>
    </row>
    <row r="106" spans="1:24" ht="15">
      <c r="A106" s="29"/>
      <c r="B106" s="29"/>
      <c r="C106" s="29"/>
      <c r="D106" s="33"/>
      <c r="E106" s="33"/>
      <c r="G106" s="29"/>
      <c r="H106" s="29"/>
      <c r="I106" s="29"/>
      <c r="J106" s="29"/>
      <c r="K106" s="29"/>
      <c r="L106" s="29"/>
      <c r="M106" s="29"/>
      <c r="N106" s="29"/>
      <c r="O106" s="29"/>
      <c r="P106" s="29"/>
      <c r="Q106" s="29"/>
      <c r="R106" s="29"/>
      <c r="S106" s="29"/>
      <c r="T106" s="29"/>
      <c r="U106" s="29"/>
      <c r="V106" s="29"/>
      <c r="W106" s="29"/>
      <c r="X106" s="29"/>
    </row>
    <row r="107" spans="1:24" ht="15">
      <c r="A107" s="29"/>
      <c r="B107" s="29"/>
      <c r="C107" s="29"/>
      <c r="D107" s="33"/>
      <c r="E107" s="33"/>
      <c r="G107" s="29"/>
      <c r="H107" s="29"/>
      <c r="I107" s="29"/>
      <c r="J107" s="29"/>
      <c r="K107" s="29"/>
      <c r="L107" s="29"/>
      <c r="M107" s="29"/>
      <c r="N107" s="29"/>
      <c r="O107" s="29"/>
      <c r="P107" s="29"/>
      <c r="Q107" s="29"/>
      <c r="R107" s="29"/>
      <c r="S107" s="29"/>
      <c r="T107" s="29"/>
      <c r="U107" s="29"/>
      <c r="V107" s="29"/>
      <c r="W107" s="29"/>
      <c r="X107" s="29"/>
    </row>
    <row r="108" spans="1:24" ht="15">
      <c r="A108" s="29"/>
      <c r="B108" s="29"/>
      <c r="C108" s="29"/>
      <c r="D108" s="33"/>
      <c r="E108" s="33"/>
      <c r="G108" s="29"/>
      <c r="H108" s="29"/>
      <c r="I108" s="29"/>
      <c r="J108" s="29"/>
      <c r="K108" s="29"/>
      <c r="L108" s="29"/>
      <c r="M108" s="29"/>
      <c r="N108" s="29"/>
      <c r="O108" s="29"/>
      <c r="P108" s="29"/>
      <c r="Q108" s="29"/>
      <c r="R108" s="29"/>
      <c r="S108" s="29"/>
      <c r="T108" s="29"/>
      <c r="U108" s="29"/>
      <c r="V108" s="29"/>
      <c r="W108" s="29"/>
      <c r="X108" s="29"/>
    </row>
    <row r="109" spans="1:24" ht="15">
      <c r="A109" s="29"/>
      <c r="B109" s="29"/>
      <c r="C109" s="29"/>
      <c r="D109" s="33"/>
      <c r="E109" s="33"/>
      <c r="G109" s="29"/>
      <c r="H109" s="29"/>
      <c r="I109" s="29"/>
      <c r="J109" s="29"/>
      <c r="K109" s="29"/>
      <c r="L109" s="29"/>
      <c r="M109" s="29"/>
      <c r="N109" s="29"/>
      <c r="O109" s="29"/>
      <c r="P109" s="29"/>
      <c r="Q109" s="29"/>
      <c r="R109" s="29"/>
      <c r="S109" s="29"/>
      <c r="T109" s="29"/>
      <c r="U109" s="29"/>
      <c r="V109" s="29"/>
      <c r="W109" s="29"/>
      <c r="X109" s="29"/>
    </row>
    <row r="110" spans="1:24" ht="15">
      <c r="A110" s="29"/>
      <c r="B110" s="29"/>
      <c r="C110" s="29"/>
      <c r="D110" s="33"/>
      <c r="E110" s="33"/>
      <c r="G110" s="29"/>
      <c r="H110" s="29"/>
      <c r="I110" s="29"/>
      <c r="J110" s="29"/>
      <c r="K110" s="29"/>
      <c r="L110" s="29"/>
      <c r="M110" s="29"/>
      <c r="N110" s="29"/>
      <c r="O110" s="29"/>
      <c r="P110" s="29"/>
      <c r="Q110" s="29"/>
      <c r="R110" s="29"/>
      <c r="S110" s="29"/>
      <c r="T110" s="29"/>
      <c r="U110" s="29"/>
      <c r="V110" s="29"/>
      <c r="W110" s="29"/>
      <c r="X110" s="29"/>
    </row>
    <row r="111" spans="1:24" ht="15">
      <c r="A111" s="29"/>
      <c r="B111" s="29"/>
      <c r="C111" s="29"/>
      <c r="D111" s="33"/>
      <c r="E111" s="33"/>
      <c r="G111" s="29"/>
      <c r="H111" s="29"/>
      <c r="I111" s="29"/>
      <c r="J111" s="29"/>
      <c r="K111" s="29"/>
      <c r="L111" s="29"/>
      <c r="M111" s="29"/>
      <c r="N111" s="29"/>
      <c r="O111" s="29"/>
      <c r="P111" s="29"/>
      <c r="Q111" s="29"/>
      <c r="R111" s="29"/>
      <c r="S111" s="29"/>
      <c r="T111" s="29"/>
      <c r="U111" s="29"/>
      <c r="V111" s="29"/>
      <c r="W111" s="29"/>
      <c r="X111" s="29"/>
    </row>
    <row r="112" spans="1:24" ht="15">
      <c r="A112" s="29"/>
      <c r="B112" s="29"/>
      <c r="C112" s="29"/>
      <c r="D112" s="33"/>
      <c r="E112" s="33"/>
      <c r="G112" s="29"/>
      <c r="H112" s="29"/>
      <c r="I112" s="29"/>
      <c r="J112" s="29"/>
      <c r="K112" s="29"/>
      <c r="L112" s="29"/>
      <c r="M112" s="29"/>
      <c r="N112" s="29"/>
      <c r="O112" s="29"/>
      <c r="P112" s="29"/>
      <c r="Q112" s="29"/>
      <c r="R112" s="29"/>
      <c r="S112" s="29"/>
      <c r="T112" s="29"/>
      <c r="U112" s="29"/>
      <c r="V112" s="29"/>
      <c r="W112" s="29"/>
      <c r="X112" s="29"/>
    </row>
    <row r="113" spans="1:24" ht="15">
      <c r="A113" s="29"/>
      <c r="B113" s="29"/>
      <c r="C113" s="29"/>
      <c r="D113" s="33"/>
      <c r="E113" s="33"/>
      <c r="G113" s="29"/>
      <c r="H113" s="29"/>
      <c r="I113" s="29"/>
      <c r="J113" s="29"/>
      <c r="K113" s="29"/>
      <c r="L113" s="29"/>
      <c r="M113" s="29"/>
      <c r="N113" s="29"/>
      <c r="O113" s="29"/>
      <c r="P113" s="29"/>
      <c r="Q113" s="29"/>
      <c r="R113" s="29"/>
      <c r="S113" s="29"/>
      <c r="T113" s="29"/>
      <c r="U113" s="29"/>
      <c r="V113" s="29"/>
      <c r="W113" s="29"/>
      <c r="X113" s="29"/>
    </row>
    <row r="114" spans="1:24" ht="15">
      <c r="A114" s="29"/>
      <c r="B114" s="29"/>
      <c r="C114" s="29"/>
      <c r="D114" s="33"/>
      <c r="E114" s="33"/>
      <c r="G114" s="29"/>
      <c r="H114" s="29"/>
      <c r="I114" s="29"/>
      <c r="J114" s="29"/>
      <c r="K114" s="29"/>
      <c r="L114" s="29"/>
      <c r="M114" s="29"/>
      <c r="N114" s="29"/>
      <c r="O114" s="29"/>
      <c r="P114" s="29"/>
      <c r="Q114" s="29"/>
      <c r="R114" s="29"/>
      <c r="S114" s="29"/>
      <c r="T114" s="29"/>
      <c r="U114" s="29"/>
      <c r="V114" s="29"/>
      <c r="W114" s="29"/>
      <c r="X114" s="29"/>
    </row>
    <row r="115" spans="1:24" ht="15">
      <c r="A115" s="29"/>
      <c r="B115" s="29"/>
      <c r="C115" s="29"/>
      <c r="D115" s="33"/>
      <c r="E115" s="33"/>
      <c r="G115" s="29"/>
      <c r="H115" s="29"/>
      <c r="I115" s="29"/>
      <c r="J115" s="29"/>
      <c r="K115" s="29"/>
      <c r="L115" s="29"/>
      <c r="M115" s="29"/>
      <c r="N115" s="29"/>
      <c r="O115" s="29"/>
      <c r="P115" s="29"/>
      <c r="Q115" s="29"/>
      <c r="R115" s="29"/>
      <c r="S115" s="29"/>
      <c r="T115" s="29"/>
      <c r="U115" s="29"/>
      <c r="V115" s="29"/>
      <c r="W115" s="29"/>
      <c r="X115" s="29"/>
    </row>
    <row r="116" spans="1:24" ht="15">
      <c r="A116" s="29"/>
      <c r="B116" s="29"/>
      <c r="C116" s="29"/>
      <c r="D116" s="33"/>
      <c r="E116" s="33"/>
      <c r="G116" s="29"/>
      <c r="H116" s="29"/>
      <c r="I116" s="29"/>
      <c r="J116" s="29"/>
      <c r="K116" s="29"/>
      <c r="L116" s="29"/>
      <c r="M116" s="29"/>
      <c r="N116" s="29"/>
      <c r="O116" s="29"/>
      <c r="P116" s="29"/>
      <c r="Q116" s="29"/>
      <c r="R116" s="29"/>
      <c r="S116" s="29"/>
      <c r="T116" s="29"/>
      <c r="U116" s="29"/>
      <c r="V116" s="29"/>
      <c r="W116" s="29"/>
      <c r="X116" s="29"/>
    </row>
    <row r="117" spans="1:24" ht="15">
      <c r="A117" s="29"/>
      <c r="B117" s="29"/>
      <c r="C117" s="29"/>
      <c r="D117" s="33"/>
      <c r="E117" s="33"/>
      <c r="G117" s="29"/>
      <c r="H117" s="29"/>
      <c r="I117" s="29"/>
      <c r="J117" s="29"/>
      <c r="K117" s="29"/>
      <c r="L117" s="29"/>
      <c r="M117" s="29"/>
      <c r="N117" s="29"/>
      <c r="O117" s="29"/>
      <c r="P117" s="29"/>
      <c r="Q117" s="29"/>
      <c r="R117" s="29"/>
      <c r="S117" s="29"/>
      <c r="T117" s="29"/>
      <c r="U117" s="29"/>
      <c r="V117" s="29"/>
      <c r="W117" s="29"/>
      <c r="X117" s="29"/>
    </row>
    <row r="118" spans="1:24" ht="15">
      <c r="A118" s="29"/>
      <c r="B118" s="29"/>
      <c r="C118" s="29"/>
      <c r="D118" s="33"/>
      <c r="E118" s="33"/>
      <c r="G118" s="29"/>
      <c r="H118" s="29"/>
      <c r="I118" s="29"/>
      <c r="J118" s="29"/>
      <c r="K118" s="29"/>
      <c r="L118" s="29"/>
      <c r="M118" s="29"/>
      <c r="N118" s="29"/>
      <c r="O118" s="29"/>
      <c r="P118" s="29"/>
      <c r="Q118" s="29"/>
      <c r="R118" s="29"/>
      <c r="S118" s="29"/>
      <c r="T118" s="29"/>
      <c r="U118" s="29"/>
      <c r="V118" s="29"/>
      <c r="W118" s="29"/>
      <c r="X118" s="29"/>
    </row>
    <row r="119" spans="1:24" ht="15">
      <c r="A119" s="29"/>
      <c r="B119" s="29"/>
      <c r="C119" s="29"/>
      <c r="D119" s="33"/>
      <c r="E119" s="33"/>
      <c r="G119" s="29"/>
      <c r="H119" s="29"/>
      <c r="I119" s="29"/>
      <c r="J119" s="29"/>
      <c r="K119" s="29"/>
      <c r="L119" s="29"/>
      <c r="M119" s="29"/>
      <c r="N119" s="29"/>
      <c r="O119" s="29"/>
      <c r="P119" s="29"/>
      <c r="Q119" s="29"/>
      <c r="R119" s="29"/>
      <c r="S119" s="29"/>
      <c r="T119" s="29"/>
      <c r="U119" s="29"/>
      <c r="V119" s="29"/>
      <c r="W119" s="29"/>
      <c r="X119" s="29"/>
    </row>
    <row r="120" spans="1:24" ht="15">
      <c r="A120" s="29"/>
      <c r="B120" s="29"/>
      <c r="C120" s="29"/>
      <c r="D120" s="33"/>
      <c r="E120" s="33"/>
      <c r="G120" s="29"/>
      <c r="H120" s="29"/>
      <c r="I120" s="29"/>
      <c r="J120" s="29"/>
      <c r="K120" s="29"/>
      <c r="L120" s="29"/>
      <c r="M120" s="29"/>
      <c r="N120" s="29"/>
      <c r="O120" s="29"/>
      <c r="P120" s="29"/>
      <c r="Q120" s="29"/>
      <c r="R120" s="29"/>
      <c r="S120" s="29"/>
      <c r="T120" s="29"/>
      <c r="U120" s="29"/>
      <c r="V120" s="29"/>
      <c r="W120" s="29"/>
      <c r="X120" s="29"/>
    </row>
    <row r="121" spans="1:24" ht="15">
      <c r="A121" s="29"/>
      <c r="B121" s="29"/>
      <c r="C121" s="29"/>
      <c r="D121" s="33"/>
      <c r="E121" s="33"/>
      <c r="G121" s="29"/>
      <c r="H121" s="29"/>
      <c r="I121" s="29"/>
      <c r="J121" s="29"/>
      <c r="K121" s="29"/>
      <c r="L121" s="29"/>
      <c r="M121" s="29"/>
      <c r="N121" s="29"/>
      <c r="O121" s="29"/>
      <c r="P121" s="29"/>
      <c r="Q121" s="29"/>
      <c r="R121" s="29"/>
      <c r="S121" s="29"/>
      <c r="T121" s="29"/>
      <c r="U121" s="29"/>
      <c r="V121" s="29"/>
      <c r="W121" s="29"/>
      <c r="X121" s="29"/>
    </row>
    <row r="122" spans="1:24" ht="15">
      <c r="A122" s="29"/>
      <c r="B122" s="29"/>
      <c r="C122" s="29"/>
      <c r="D122" s="33"/>
      <c r="E122" s="33"/>
      <c r="G122" s="29"/>
      <c r="H122" s="29"/>
      <c r="I122" s="29"/>
      <c r="J122" s="29"/>
      <c r="K122" s="29"/>
      <c r="L122" s="29"/>
      <c r="M122" s="29"/>
      <c r="N122" s="29"/>
      <c r="O122" s="29"/>
      <c r="P122" s="29"/>
      <c r="Q122" s="29"/>
      <c r="R122" s="29"/>
      <c r="S122" s="29"/>
      <c r="T122" s="29"/>
      <c r="U122" s="29"/>
      <c r="V122" s="29"/>
      <c r="W122" s="29"/>
      <c r="X122" s="29"/>
    </row>
    <row r="123" spans="1:24" ht="15">
      <c r="A123" s="29"/>
      <c r="B123" s="29"/>
      <c r="C123" s="29"/>
      <c r="D123" s="33"/>
      <c r="E123" s="33"/>
      <c r="G123" s="29"/>
      <c r="H123" s="29"/>
      <c r="I123" s="29"/>
      <c r="J123" s="29"/>
      <c r="K123" s="29"/>
      <c r="L123" s="29"/>
      <c r="M123" s="29"/>
      <c r="N123" s="29"/>
      <c r="O123" s="29"/>
      <c r="P123" s="29"/>
      <c r="Q123" s="29"/>
      <c r="R123" s="29"/>
      <c r="S123" s="29"/>
      <c r="T123" s="29"/>
      <c r="U123" s="29"/>
      <c r="V123" s="29"/>
      <c r="W123" s="29"/>
      <c r="X123" s="29"/>
    </row>
    <row r="124" spans="1:24" ht="15">
      <c r="A124" s="29"/>
      <c r="B124" s="29"/>
      <c r="C124" s="29"/>
      <c r="D124" s="33"/>
      <c r="E124" s="33"/>
      <c r="G124" s="29"/>
      <c r="H124" s="29"/>
      <c r="I124" s="29"/>
      <c r="J124" s="29"/>
      <c r="K124" s="29"/>
      <c r="L124" s="29"/>
      <c r="M124" s="29"/>
      <c r="N124" s="29"/>
      <c r="O124" s="29"/>
      <c r="P124" s="29"/>
      <c r="Q124" s="29"/>
      <c r="R124" s="29"/>
      <c r="S124" s="29"/>
      <c r="T124" s="29"/>
      <c r="U124" s="29"/>
      <c r="V124" s="29"/>
      <c r="W124" s="29"/>
      <c r="X124" s="29"/>
    </row>
    <row r="125" spans="1:24" ht="15">
      <c r="A125" s="29"/>
      <c r="B125" s="29"/>
      <c r="C125" s="29"/>
      <c r="D125" s="33"/>
      <c r="E125" s="33"/>
      <c r="G125" s="29"/>
      <c r="H125" s="29"/>
      <c r="I125" s="29"/>
      <c r="J125" s="29"/>
      <c r="K125" s="29"/>
      <c r="L125" s="29"/>
      <c r="M125" s="29"/>
      <c r="N125" s="29"/>
      <c r="O125" s="29"/>
      <c r="P125" s="29"/>
      <c r="Q125" s="29"/>
      <c r="R125" s="29"/>
      <c r="S125" s="29"/>
      <c r="T125" s="29"/>
      <c r="U125" s="29"/>
      <c r="V125" s="29"/>
      <c r="W125" s="29"/>
      <c r="X125" s="29"/>
    </row>
    <row r="126" spans="1:24" ht="15">
      <c r="A126" s="29"/>
      <c r="B126" s="29"/>
      <c r="C126" s="29"/>
      <c r="D126" s="33"/>
      <c r="E126" s="33"/>
      <c r="G126" s="29"/>
      <c r="H126" s="29"/>
      <c r="I126" s="29"/>
      <c r="J126" s="29"/>
      <c r="K126" s="29"/>
      <c r="L126" s="29"/>
      <c r="M126" s="29"/>
      <c r="N126" s="29"/>
      <c r="O126" s="29"/>
      <c r="P126" s="29"/>
      <c r="Q126" s="29"/>
      <c r="R126" s="29"/>
      <c r="S126" s="29"/>
      <c r="T126" s="29"/>
      <c r="U126" s="29"/>
      <c r="V126" s="29"/>
      <c r="W126" s="29"/>
      <c r="X126" s="29"/>
    </row>
    <row r="127" spans="1:24" ht="15">
      <c r="A127" s="29"/>
      <c r="B127" s="29"/>
      <c r="C127" s="29"/>
      <c r="D127" s="33"/>
      <c r="E127" s="33"/>
      <c r="G127" s="29"/>
      <c r="H127" s="29"/>
      <c r="I127" s="29"/>
      <c r="J127" s="29"/>
      <c r="K127" s="29"/>
      <c r="L127" s="29"/>
      <c r="M127" s="29"/>
      <c r="N127" s="29"/>
      <c r="O127" s="29"/>
      <c r="P127" s="29"/>
      <c r="Q127" s="29"/>
      <c r="R127" s="29"/>
      <c r="S127" s="29"/>
      <c r="T127" s="29"/>
      <c r="U127" s="29"/>
      <c r="V127" s="29"/>
      <c r="W127" s="29"/>
      <c r="X127" s="29"/>
    </row>
    <row r="128" spans="1:24" ht="15">
      <c r="A128" s="29"/>
      <c r="B128" s="29"/>
      <c r="C128" s="29"/>
      <c r="D128" s="33"/>
      <c r="E128" s="33"/>
      <c r="G128" s="29"/>
      <c r="H128" s="29"/>
      <c r="I128" s="29"/>
      <c r="J128" s="29"/>
      <c r="K128" s="29"/>
      <c r="L128" s="29"/>
      <c r="M128" s="29"/>
      <c r="N128" s="29"/>
      <c r="O128" s="29"/>
      <c r="P128" s="29"/>
      <c r="Q128" s="29"/>
      <c r="R128" s="29"/>
      <c r="S128" s="29"/>
      <c r="T128" s="29"/>
      <c r="U128" s="29"/>
      <c r="V128" s="29"/>
      <c r="W128" s="29"/>
      <c r="X128" s="29"/>
    </row>
    <row r="129" spans="1:24" ht="15">
      <c r="A129" s="29"/>
      <c r="B129" s="29"/>
      <c r="C129" s="29"/>
      <c r="D129" s="33"/>
      <c r="E129" s="33"/>
      <c r="G129" s="29"/>
      <c r="H129" s="29"/>
      <c r="I129" s="29"/>
      <c r="J129" s="29"/>
      <c r="K129" s="29"/>
      <c r="L129" s="29"/>
      <c r="M129" s="29"/>
      <c r="N129" s="29"/>
      <c r="O129" s="29"/>
      <c r="P129" s="29"/>
      <c r="Q129" s="29"/>
      <c r="R129" s="29"/>
      <c r="S129" s="29"/>
      <c r="T129" s="29"/>
      <c r="U129" s="29"/>
      <c r="V129" s="29"/>
      <c r="W129" s="29"/>
      <c r="X129" s="29"/>
    </row>
    <row r="130" spans="1:24" ht="15">
      <c r="A130" s="29"/>
      <c r="B130" s="29"/>
      <c r="C130" s="29"/>
      <c r="D130" s="33"/>
      <c r="E130" s="33"/>
      <c r="G130" s="29"/>
      <c r="H130" s="29"/>
      <c r="I130" s="29"/>
      <c r="J130" s="29"/>
      <c r="K130" s="29"/>
      <c r="L130" s="29"/>
      <c r="M130" s="29"/>
      <c r="N130" s="29"/>
      <c r="O130" s="29"/>
      <c r="P130" s="29"/>
      <c r="Q130" s="29"/>
      <c r="R130" s="29"/>
      <c r="S130" s="29"/>
      <c r="T130" s="29"/>
      <c r="U130" s="29"/>
      <c r="V130" s="29"/>
      <c r="W130" s="29"/>
      <c r="X130" s="29"/>
    </row>
    <row r="131" spans="1:24" ht="15">
      <c r="A131" s="29"/>
      <c r="B131" s="29"/>
      <c r="C131" s="29"/>
      <c r="D131" s="33"/>
      <c r="E131" s="33"/>
      <c r="G131" s="29"/>
      <c r="H131" s="29"/>
      <c r="I131" s="29"/>
      <c r="J131" s="29"/>
      <c r="K131" s="29"/>
      <c r="L131" s="29"/>
      <c r="M131" s="29"/>
      <c r="N131" s="29"/>
      <c r="O131" s="29"/>
      <c r="P131" s="29"/>
      <c r="Q131" s="29"/>
      <c r="R131" s="29"/>
      <c r="S131" s="29"/>
      <c r="T131" s="29"/>
      <c r="U131" s="29"/>
      <c r="V131" s="29"/>
      <c r="W131" s="29"/>
      <c r="X131" s="29"/>
    </row>
    <row r="132" spans="1:24" ht="15">
      <c r="A132" s="29"/>
      <c r="B132" s="29"/>
      <c r="C132" s="29"/>
      <c r="D132" s="33"/>
      <c r="E132" s="33"/>
      <c r="G132" s="29"/>
      <c r="H132" s="29"/>
      <c r="I132" s="29"/>
      <c r="J132" s="29"/>
      <c r="K132" s="29"/>
      <c r="L132" s="29"/>
      <c r="M132" s="29"/>
      <c r="N132" s="29"/>
      <c r="O132" s="29"/>
      <c r="P132" s="29"/>
      <c r="Q132" s="29"/>
      <c r="R132" s="29"/>
      <c r="S132" s="29"/>
      <c r="T132" s="29"/>
      <c r="U132" s="29"/>
      <c r="V132" s="29"/>
      <c r="W132" s="29"/>
      <c r="X132" s="29"/>
    </row>
    <row r="133" spans="1:24" ht="15">
      <c r="A133" s="29"/>
      <c r="B133" s="29"/>
      <c r="C133" s="29"/>
      <c r="D133" s="33"/>
      <c r="E133" s="33"/>
      <c r="G133" s="29"/>
      <c r="H133" s="29"/>
      <c r="I133" s="29"/>
      <c r="J133" s="29"/>
      <c r="K133" s="29"/>
      <c r="L133" s="29"/>
      <c r="M133" s="29"/>
      <c r="N133" s="29"/>
      <c r="O133" s="29"/>
      <c r="P133" s="29"/>
      <c r="Q133" s="29"/>
      <c r="R133" s="29"/>
      <c r="S133" s="29"/>
      <c r="T133" s="29"/>
      <c r="U133" s="29"/>
      <c r="V133" s="29"/>
      <c r="W133" s="29"/>
      <c r="X133" s="29"/>
    </row>
    <row r="134" spans="1:24" ht="15">
      <c r="A134" s="29"/>
      <c r="B134" s="29"/>
      <c r="C134" s="29"/>
      <c r="D134" s="33"/>
      <c r="E134" s="33"/>
      <c r="G134" s="29"/>
      <c r="H134" s="29"/>
      <c r="I134" s="29"/>
      <c r="J134" s="29"/>
      <c r="K134" s="29"/>
      <c r="L134" s="29"/>
      <c r="M134" s="29"/>
      <c r="N134" s="29"/>
      <c r="O134" s="29"/>
      <c r="P134" s="29"/>
      <c r="Q134" s="29"/>
      <c r="R134" s="29"/>
      <c r="S134" s="29"/>
      <c r="T134" s="29"/>
      <c r="U134" s="29"/>
      <c r="V134" s="29"/>
      <c r="W134" s="29"/>
      <c r="X134" s="29"/>
    </row>
    <row r="135" spans="1:24" ht="15">
      <c r="A135" s="29"/>
      <c r="B135" s="29"/>
      <c r="C135" s="29"/>
      <c r="D135" s="33"/>
      <c r="E135" s="33"/>
      <c r="G135" s="29"/>
      <c r="H135" s="29"/>
      <c r="I135" s="29"/>
      <c r="J135" s="29"/>
      <c r="K135" s="29"/>
      <c r="L135" s="29"/>
      <c r="M135" s="29"/>
      <c r="N135" s="29"/>
      <c r="O135" s="29"/>
      <c r="P135" s="29"/>
      <c r="Q135" s="29"/>
      <c r="R135" s="29"/>
      <c r="S135" s="29"/>
      <c r="T135" s="29"/>
      <c r="U135" s="29"/>
      <c r="V135" s="29"/>
      <c r="W135" s="29"/>
      <c r="X135" s="29"/>
    </row>
    <row r="136" spans="1:24" ht="15">
      <c r="A136" s="29"/>
      <c r="B136" s="29"/>
      <c r="C136" s="29"/>
      <c r="D136" s="33"/>
      <c r="E136" s="33"/>
      <c r="G136" s="29"/>
      <c r="H136" s="29"/>
      <c r="I136" s="29"/>
      <c r="J136" s="29"/>
      <c r="K136" s="29"/>
      <c r="L136" s="29"/>
      <c r="M136" s="29"/>
      <c r="N136" s="29"/>
      <c r="O136" s="29"/>
      <c r="P136" s="29"/>
      <c r="Q136" s="29"/>
      <c r="R136" s="29"/>
      <c r="S136" s="29"/>
      <c r="T136" s="29"/>
      <c r="U136" s="29"/>
      <c r="V136" s="29"/>
      <c r="W136" s="29"/>
      <c r="X136" s="29"/>
    </row>
    <row r="137" spans="1:24" ht="15">
      <c r="A137" s="29"/>
      <c r="B137" s="29"/>
      <c r="C137" s="29"/>
      <c r="D137" s="33"/>
      <c r="E137" s="33"/>
      <c r="G137" s="29"/>
      <c r="H137" s="29"/>
      <c r="I137" s="29"/>
      <c r="J137" s="29"/>
      <c r="K137" s="29"/>
      <c r="L137" s="29"/>
      <c r="M137" s="29"/>
      <c r="N137" s="29"/>
      <c r="O137" s="29"/>
      <c r="P137" s="29"/>
      <c r="Q137" s="29"/>
      <c r="R137" s="29"/>
      <c r="S137" s="29"/>
      <c r="T137" s="29"/>
      <c r="U137" s="29"/>
      <c r="V137" s="29"/>
      <c r="W137" s="29"/>
      <c r="X137" s="29"/>
    </row>
    <row r="138" spans="1:24" ht="15">
      <c r="A138" s="29"/>
      <c r="B138" s="29"/>
      <c r="C138" s="29"/>
      <c r="D138" s="33"/>
      <c r="E138" s="33"/>
      <c r="G138" s="29"/>
      <c r="H138" s="29"/>
      <c r="I138" s="29"/>
      <c r="J138" s="29"/>
      <c r="K138" s="29"/>
      <c r="L138" s="29"/>
      <c r="M138" s="29"/>
      <c r="N138" s="29"/>
      <c r="O138" s="29"/>
      <c r="P138" s="29"/>
      <c r="Q138" s="29"/>
      <c r="R138" s="29"/>
      <c r="S138" s="29"/>
      <c r="T138" s="29"/>
      <c r="U138" s="29"/>
      <c r="V138" s="29"/>
      <c r="W138" s="29"/>
      <c r="X138" s="29"/>
    </row>
    <row r="139" spans="1:24" ht="15">
      <c r="A139" s="29"/>
      <c r="B139" s="29"/>
      <c r="C139" s="29"/>
      <c r="D139" s="33"/>
      <c r="E139" s="33"/>
      <c r="G139" s="29"/>
      <c r="H139" s="29"/>
      <c r="I139" s="29"/>
      <c r="J139" s="29"/>
      <c r="K139" s="29"/>
      <c r="L139" s="29"/>
      <c r="M139" s="29"/>
      <c r="N139" s="29"/>
      <c r="O139" s="29"/>
      <c r="P139" s="29"/>
      <c r="Q139" s="29"/>
      <c r="R139" s="29"/>
      <c r="S139" s="29"/>
      <c r="T139" s="29"/>
      <c r="U139" s="29"/>
      <c r="V139" s="29"/>
      <c r="W139" s="29"/>
      <c r="X139" s="29"/>
    </row>
    <row r="140" spans="1:24" ht="15">
      <c r="A140" s="29"/>
      <c r="B140" s="29"/>
      <c r="C140" s="29"/>
      <c r="D140" s="33"/>
      <c r="E140" s="33"/>
      <c r="G140" s="29"/>
      <c r="H140" s="29"/>
      <c r="I140" s="29"/>
      <c r="J140" s="29"/>
      <c r="K140" s="29"/>
      <c r="L140" s="29"/>
      <c r="M140" s="29"/>
      <c r="N140" s="29"/>
      <c r="O140" s="29"/>
      <c r="P140" s="29"/>
      <c r="Q140" s="29"/>
      <c r="R140" s="29"/>
      <c r="S140" s="29"/>
      <c r="T140" s="29"/>
      <c r="U140" s="29"/>
      <c r="V140" s="29"/>
      <c r="W140" s="29"/>
      <c r="X140" s="29"/>
    </row>
    <row r="141" spans="1:24" ht="15">
      <c r="A141" s="29"/>
      <c r="B141" s="29"/>
      <c r="C141" s="29"/>
      <c r="D141" s="33"/>
      <c r="E141" s="33"/>
      <c r="G141" s="29"/>
      <c r="H141" s="29"/>
      <c r="I141" s="29"/>
      <c r="J141" s="29"/>
      <c r="K141" s="29"/>
      <c r="L141" s="29"/>
      <c r="M141" s="29"/>
      <c r="N141" s="29"/>
      <c r="O141" s="29"/>
      <c r="P141" s="29"/>
      <c r="Q141" s="29"/>
      <c r="R141" s="29"/>
      <c r="S141" s="29"/>
      <c r="T141" s="29"/>
      <c r="U141" s="29"/>
      <c r="V141" s="29"/>
      <c r="W141" s="29"/>
      <c r="X141" s="29"/>
    </row>
    <row r="142" spans="1:24" ht="15">
      <c r="A142" s="29"/>
      <c r="B142" s="29"/>
      <c r="C142" s="29"/>
      <c r="D142" s="33"/>
      <c r="E142" s="33"/>
      <c r="G142" s="29"/>
      <c r="H142" s="29"/>
      <c r="I142" s="29"/>
      <c r="J142" s="29"/>
      <c r="K142" s="29"/>
      <c r="L142" s="29"/>
      <c r="M142" s="29"/>
      <c r="N142" s="29"/>
      <c r="O142" s="29"/>
      <c r="P142" s="29"/>
      <c r="Q142" s="29"/>
      <c r="R142" s="29"/>
      <c r="S142" s="29"/>
      <c r="T142" s="29"/>
      <c r="U142" s="29"/>
      <c r="V142" s="29"/>
      <c r="W142" s="29"/>
      <c r="X142" s="29"/>
    </row>
    <row r="143" spans="1:24" ht="15">
      <c r="A143" s="29"/>
      <c r="B143" s="29"/>
      <c r="C143" s="29"/>
      <c r="D143" s="33"/>
      <c r="E143" s="33"/>
      <c r="G143" s="29"/>
      <c r="H143" s="29"/>
      <c r="I143" s="29"/>
      <c r="J143" s="29"/>
      <c r="K143" s="29"/>
      <c r="L143" s="29"/>
      <c r="M143" s="29"/>
      <c r="N143" s="29"/>
      <c r="O143" s="29"/>
      <c r="P143" s="29"/>
      <c r="Q143" s="29"/>
      <c r="R143" s="29"/>
      <c r="S143" s="29"/>
      <c r="T143" s="29"/>
      <c r="U143" s="29"/>
      <c r="V143" s="29"/>
      <c r="W143" s="29"/>
      <c r="X143" s="29"/>
    </row>
    <row r="144" spans="1:24" ht="15">
      <c r="A144" s="29"/>
      <c r="B144" s="29"/>
      <c r="C144" s="29"/>
      <c r="D144" s="33"/>
      <c r="E144" s="33"/>
      <c r="G144" s="29"/>
      <c r="H144" s="29"/>
      <c r="I144" s="29"/>
      <c r="J144" s="29"/>
      <c r="K144" s="29"/>
      <c r="L144" s="29"/>
      <c r="M144" s="29"/>
      <c r="N144" s="29"/>
      <c r="O144" s="29"/>
      <c r="P144" s="29"/>
      <c r="Q144" s="29"/>
      <c r="R144" s="29"/>
      <c r="S144" s="29"/>
      <c r="T144" s="29"/>
      <c r="U144" s="29"/>
      <c r="V144" s="29"/>
      <c r="W144" s="29"/>
      <c r="X144" s="29"/>
    </row>
    <row r="145" spans="1:24" ht="15">
      <c r="A145" s="29"/>
      <c r="B145" s="29"/>
      <c r="C145" s="29"/>
      <c r="D145" s="33"/>
      <c r="E145" s="33"/>
      <c r="G145" s="29"/>
      <c r="H145" s="29"/>
      <c r="I145" s="29"/>
      <c r="J145" s="29"/>
      <c r="K145" s="29"/>
      <c r="L145" s="29"/>
      <c r="M145" s="29"/>
      <c r="N145" s="29"/>
      <c r="O145" s="29"/>
      <c r="P145" s="29"/>
      <c r="Q145" s="29"/>
      <c r="R145" s="29"/>
      <c r="S145" s="29"/>
      <c r="T145" s="29"/>
      <c r="U145" s="29"/>
      <c r="V145" s="29"/>
      <c r="W145" s="29"/>
      <c r="X145" s="29"/>
    </row>
    <row r="146" spans="1:24" ht="15">
      <c r="A146" s="29"/>
      <c r="B146" s="29"/>
      <c r="C146" s="29"/>
      <c r="D146" s="33"/>
      <c r="E146" s="33"/>
      <c r="G146" s="29"/>
      <c r="H146" s="29"/>
      <c r="I146" s="29"/>
      <c r="J146" s="29"/>
      <c r="K146" s="29"/>
      <c r="L146" s="29"/>
      <c r="M146" s="29"/>
      <c r="N146" s="29"/>
      <c r="O146" s="29"/>
      <c r="P146" s="29"/>
      <c r="Q146" s="29"/>
      <c r="R146" s="29"/>
      <c r="S146" s="29"/>
      <c r="T146" s="29"/>
      <c r="U146" s="29"/>
      <c r="V146" s="29"/>
      <c r="W146" s="29"/>
      <c r="X146" s="29"/>
    </row>
    <row r="147" spans="1:24" ht="15">
      <c r="A147" s="29"/>
      <c r="B147" s="29"/>
      <c r="C147" s="29"/>
      <c r="D147" s="33"/>
      <c r="E147" s="33"/>
      <c r="G147" s="29"/>
      <c r="H147" s="29"/>
      <c r="I147" s="29"/>
      <c r="J147" s="29"/>
      <c r="K147" s="29"/>
      <c r="L147" s="29"/>
      <c r="M147" s="29"/>
      <c r="N147" s="29"/>
      <c r="O147" s="29"/>
      <c r="P147" s="29"/>
      <c r="Q147" s="29"/>
      <c r="R147" s="29"/>
      <c r="S147" s="29"/>
      <c r="T147" s="29"/>
      <c r="U147" s="29"/>
      <c r="V147" s="29"/>
      <c r="W147" s="29"/>
      <c r="X147" s="29"/>
    </row>
    <row r="148" spans="1:24" ht="15">
      <c r="A148" s="29"/>
      <c r="B148" s="29"/>
      <c r="C148" s="29"/>
      <c r="D148" s="33"/>
      <c r="E148" s="33"/>
      <c r="G148" s="29"/>
      <c r="H148" s="29"/>
      <c r="I148" s="29"/>
      <c r="J148" s="29"/>
      <c r="K148" s="29"/>
      <c r="L148" s="29"/>
      <c r="M148" s="29"/>
      <c r="N148" s="29"/>
      <c r="O148" s="29"/>
      <c r="P148" s="29"/>
      <c r="Q148" s="29"/>
      <c r="R148" s="29"/>
      <c r="S148" s="29"/>
      <c r="T148" s="29"/>
      <c r="U148" s="29"/>
      <c r="V148" s="29"/>
      <c r="W148" s="29"/>
      <c r="X148" s="29"/>
    </row>
    <row r="149" spans="1:24" ht="15">
      <c r="A149" s="29"/>
      <c r="B149" s="29"/>
      <c r="C149" s="29"/>
      <c r="D149" s="33"/>
      <c r="E149" s="33"/>
      <c r="G149" s="29"/>
      <c r="H149" s="29"/>
      <c r="I149" s="29"/>
      <c r="J149" s="29"/>
      <c r="K149" s="29"/>
      <c r="L149" s="29"/>
      <c r="M149" s="29"/>
      <c r="N149" s="29"/>
      <c r="O149" s="29"/>
      <c r="P149" s="29"/>
      <c r="Q149" s="29"/>
      <c r="R149" s="29"/>
      <c r="S149" s="29"/>
      <c r="T149" s="29"/>
      <c r="U149" s="29"/>
      <c r="V149" s="29"/>
      <c r="W149" s="29"/>
      <c r="X149" s="29"/>
    </row>
    <row r="150" spans="1:24" ht="15">
      <c r="A150" s="29"/>
      <c r="B150" s="29"/>
      <c r="C150" s="29"/>
      <c r="D150" s="33"/>
      <c r="E150" s="33"/>
      <c r="G150" s="29"/>
      <c r="H150" s="29"/>
      <c r="I150" s="29"/>
      <c r="J150" s="29"/>
      <c r="K150" s="29"/>
      <c r="L150" s="29"/>
      <c r="M150" s="29"/>
      <c r="N150" s="29"/>
      <c r="O150" s="29"/>
      <c r="P150" s="29"/>
      <c r="Q150" s="29"/>
      <c r="R150" s="29"/>
      <c r="S150" s="29"/>
      <c r="T150" s="29"/>
      <c r="U150" s="29"/>
      <c r="V150" s="29"/>
      <c r="W150" s="29"/>
      <c r="X150" s="29"/>
    </row>
    <row r="151" spans="1:24" ht="15">
      <c r="A151" s="29"/>
      <c r="B151" s="29"/>
      <c r="C151" s="29"/>
      <c r="D151" s="33"/>
      <c r="E151" s="33"/>
      <c r="G151" s="29"/>
      <c r="H151" s="29"/>
      <c r="I151" s="29"/>
      <c r="J151" s="29"/>
      <c r="K151" s="29"/>
      <c r="L151" s="29"/>
      <c r="M151" s="29"/>
      <c r="N151" s="29"/>
      <c r="O151" s="29"/>
      <c r="P151" s="29"/>
      <c r="Q151" s="29"/>
      <c r="R151" s="29"/>
      <c r="S151" s="29"/>
      <c r="T151" s="29"/>
      <c r="U151" s="29"/>
      <c r="V151" s="29"/>
      <c r="W151" s="29"/>
      <c r="X151" s="29"/>
    </row>
    <row r="152" spans="1:24" ht="15">
      <c r="A152" s="29"/>
      <c r="B152" s="29"/>
      <c r="C152" s="29"/>
      <c r="D152" s="33"/>
      <c r="E152" s="33"/>
      <c r="G152" s="29"/>
      <c r="H152" s="29"/>
      <c r="I152" s="29"/>
      <c r="J152" s="29"/>
      <c r="K152" s="29"/>
      <c r="L152" s="29"/>
      <c r="M152" s="29"/>
      <c r="N152" s="29"/>
      <c r="O152" s="29"/>
      <c r="P152" s="29"/>
      <c r="Q152" s="29"/>
      <c r="R152" s="29"/>
      <c r="S152" s="29"/>
      <c r="T152" s="29"/>
      <c r="U152" s="29"/>
      <c r="V152" s="29"/>
      <c r="W152" s="29"/>
      <c r="X152" s="29"/>
    </row>
    <row r="153" spans="1:24" ht="15">
      <c r="A153" s="29"/>
      <c r="B153" s="29"/>
      <c r="C153" s="29"/>
      <c r="D153" s="33"/>
      <c r="E153" s="33"/>
      <c r="G153" s="29"/>
      <c r="H153" s="29"/>
      <c r="I153" s="29"/>
      <c r="J153" s="29"/>
      <c r="K153" s="29"/>
      <c r="L153" s="29"/>
      <c r="M153" s="29"/>
      <c r="N153" s="29"/>
      <c r="O153" s="29"/>
      <c r="P153" s="29"/>
      <c r="Q153" s="29"/>
      <c r="R153" s="29"/>
      <c r="S153" s="29"/>
      <c r="T153" s="29"/>
      <c r="U153" s="29"/>
      <c r="V153" s="29"/>
      <c r="W153" s="29"/>
      <c r="X153" s="29"/>
    </row>
    <row r="154" spans="1:24" ht="15">
      <c r="A154" s="29"/>
      <c r="B154" s="29"/>
      <c r="C154" s="29"/>
      <c r="D154" s="33"/>
      <c r="E154" s="33"/>
      <c r="G154" s="29"/>
      <c r="H154" s="29"/>
      <c r="I154" s="29"/>
      <c r="J154" s="29"/>
      <c r="K154" s="29"/>
      <c r="L154" s="29"/>
      <c r="M154" s="29"/>
      <c r="N154" s="29"/>
      <c r="O154" s="29"/>
      <c r="P154" s="29"/>
      <c r="Q154" s="29"/>
      <c r="R154" s="29"/>
      <c r="S154" s="29"/>
      <c r="T154" s="29"/>
      <c r="U154" s="29"/>
      <c r="V154" s="29"/>
      <c r="W154" s="29"/>
      <c r="X154" s="29"/>
    </row>
    <row r="155" spans="1:24" ht="15">
      <c r="A155" s="29"/>
      <c r="B155" s="29"/>
      <c r="C155" s="29"/>
      <c r="D155" s="33"/>
      <c r="E155" s="33"/>
      <c r="G155" s="29"/>
      <c r="H155" s="29"/>
      <c r="I155" s="29"/>
      <c r="J155" s="29"/>
      <c r="K155" s="29"/>
      <c r="L155" s="29"/>
      <c r="M155" s="29"/>
      <c r="N155" s="29"/>
      <c r="O155" s="29"/>
      <c r="P155" s="29"/>
      <c r="Q155" s="29"/>
      <c r="R155" s="29"/>
      <c r="S155" s="29"/>
      <c r="T155" s="29"/>
      <c r="U155" s="29"/>
      <c r="V155" s="29"/>
      <c r="W155" s="29"/>
      <c r="X155" s="29"/>
    </row>
    <row r="156" spans="1:24" ht="15">
      <c r="A156" s="29"/>
      <c r="B156" s="29"/>
      <c r="C156" s="29"/>
      <c r="D156" s="33"/>
      <c r="E156" s="33"/>
      <c r="G156" s="29"/>
      <c r="H156" s="29"/>
      <c r="I156" s="29"/>
      <c r="J156" s="29"/>
      <c r="K156" s="29"/>
      <c r="L156" s="29"/>
      <c r="M156" s="29"/>
      <c r="N156" s="29"/>
      <c r="O156" s="29"/>
      <c r="P156" s="29"/>
      <c r="Q156" s="29"/>
      <c r="R156" s="29"/>
      <c r="S156" s="29"/>
      <c r="T156" s="29"/>
      <c r="U156" s="29"/>
      <c r="V156" s="29"/>
      <c r="W156" s="29"/>
      <c r="X156" s="29"/>
    </row>
    <row r="157" spans="1:24" ht="15">
      <c r="A157" s="29"/>
      <c r="B157" s="29"/>
      <c r="C157" s="29"/>
      <c r="D157" s="33"/>
      <c r="E157" s="33"/>
      <c r="G157" s="29"/>
      <c r="H157" s="29"/>
      <c r="I157" s="29"/>
      <c r="J157" s="29"/>
      <c r="K157" s="29"/>
      <c r="L157" s="29"/>
      <c r="M157" s="29"/>
      <c r="N157" s="29"/>
      <c r="O157" s="29"/>
      <c r="P157" s="29"/>
      <c r="Q157" s="29"/>
      <c r="R157" s="29"/>
      <c r="S157" s="29"/>
      <c r="T157" s="29"/>
      <c r="U157" s="29"/>
      <c r="V157" s="29"/>
      <c r="W157" s="29"/>
      <c r="X157" s="29"/>
    </row>
    <row r="158" spans="1:24" ht="15">
      <c r="A158" s="29"/>
      <c r="B158" s="29"/>
      <c r="C158" s="29"/>
      <c r="D158" s="33"/>
      <c r="E158" s="33"/>
      <c r="G158" s="29"/>
      <c r="H158" s="29"/>
      <c r="I158" s="29"/>
      <c r="J158" s="29"/>
      <c r="K158" s="29"/>
      <c r="L158" s="29"/>
      <c r="M158" s="29"/>
      <c r="N158" s="29"/>
      <c r="O158" s="29"/>
      <c r="P158" s="29"/>
      <c r="Q158" s="29"/>
      <c r="R158" s="29"/>
      <c r="S158" s="29"/>
      <c r="T158" s="29"/>
      <c r="U158" s="29"/>
      <c r="V158" s="29"/>
      <c r="W158" s="29"/>
      <c r="X158" s="29"/>
    </row>
    <row r="159" spans="1:24" ht="15">
      <c r="A159" s="29"/>
      <c r="B159" s="29"/>
      <c r="C159" s="29"/>
      <c r="D159" s="33"/>
      <c r="E159" s="33"/>
      <c r="G159" s="29"/>
      <c r="H159" s="29"/>
      <c r="I159" s="29"/>
      <c r="J159" s="29"/>
      <c r="K159" s="29"/>
      <c r="L159" s="29"/>
      <c r="M159" s="29"/>
      <c r="N159" s="29"/>
      <c r="O159" s="29"/>
      <c r="P159" s="29"/>
      <c r="Q159" s="29"/>
      <c r="R159" s="29"/>
      <c r="S159" s="29"/>
      <c r="T159" s="29"/>
      <c r="U159" s="29"/>
      <c r="V159" s="29"/>
      <c r="W159" s="29"/>
      <c r="X159" s="29"/>
    </row>
    <row r="160" spans="1:24" ht="15">
      <c r="A160" s="29"/>
      <c r="B160" s="29"/>
      <c r="C160" s="29"/>
      <c r="D160" s="33"/>
      <c r="E160" s="33"/>
      <c r="G160" s="29"/>
      <c r="H160" s="29"/>
      <c r="I160" s="29"/>
      <c r="J160" s="29"/>
      <c r="K160" s="29"/>
      <c r="L160" s="29"/>
      <c r="M160" s="29"/>
      <c r="N160" s="29"/>
      <c r="O160" s="29"/>
      <c r="P160" s="29"/>
      <c r="Q160" s="29"/>
      <c r="R160" s="29"/>
      <c r="S160" s="29"/>
      <c r="T160" s="29"/>
      <c r="U160" s="29"/>
      <c r="V160" s="29"/>
      <c r="W160" s="29"/>
      <c r="X160" s="29"/>
    </row>
    <row r="161" spans="1:24" ht="15">
      <c r="A161" s="29"/>
      <c r="B161" s="29"/>
      <c r="C161" s="29"/>
      <c r="D161" s="33"/>
      <c r="E161" s="33"/>
      <c r="G161" s="29"/>
      <c r="H161" s="29"/>
      <c r="I161" s="29"/>
      <c r="J161" s="29"/>
      <c r="K161" s="29"/>
      <c r="L161" s="29"/>
      <c r="M161" s="29"/>
      <c r="N161" s="29"/>
      <c r="O161" s="29"/>
      <c r="P161" s="29"/>
      <c r="Q161" s="29"/>
      <c r="R161" s="29"/>
      <c r="S161" s="29"/>
      <c r="T161" s="29"/>
      <c r="U161" s="29"/>
      <c r="V161" s="29"/>
      <c r="W161" s="29"/>
      <c r="X161" s="29"/>
    </row>
    <row r="162" spans="1:24" ht="15">
      <c r="A162" s="29"/>
      <c r="B162" s="29"/>
      <c r="C162" s="29"/>
      <c r="D162" s="33"/>
      <c r="E162" s="33"/>
      <c r="G162" s="29"/>
      <c r="H162" s="29"/>
      <c r="I162" s="29"/>
      <c r="J162" s="29"/>
      <c r="K162" s="29"/>
      <c r="L162" s="29"/>
      <c r="M162" s="29"/>
      <c r="N162" s="29"/>
      <c r="O162" s="29"/>
      <c r="P162" s="29"/>
      <c r="Q162" s="29"/>
      <c r="R162" s="29"/>
      <c r="S162" s="29"/>
      <c r="T162" s="29"/>
      <c r="U162" s="29"/>
      <c r="V162" s="29"/>
      <c r="W162" s="29"/>
      <c r="X162" s="29"/>
    </row>
    <row r="163" spans="1:24" ht="15">
      <c r="A163" s="29"/>
      <c r="B163" s="29"/>
      <c r="C163" s="29"/>
      <c r="D163" s="33"/>
      <c r="E163" s="33"/>
      <c r="G163" s="29"/>
      <c r="H163" s="29"/>
      <c r="I163" s="29"/>
      <c r="J163" s="29"/>
      <c r="K163" s="29"/>
      <c r="L163" s="29"/>
      <c r="M163" s="29"/>
      <c r="N163" s="29"/>
      <c r="O163" s="29"/>
      <c r="P163" s="29"/>
      <c r="Q163" s="29"/>
      <c r="R163" s="29"/>
      <c r="S163" s="29"/>
      <c r="T163" s="29"/>
      <c r="U163" s="29"/>
      <c r="V163" s="29"/>
      <c r="W163" s="29"/>
      <c r="X163" s="29"/>
    </row>
    <row r="164" spans="1:24" ht="15">
      <c r="A164" s="29"/>
      <c r="B164" s="29"/>
      <c r="C164" s="29"/>
      <c r="D164" s="33"/>
      <c r="E164" s="33"/>
      <c r="G164" s="29"/>
      <c r="H164" s="29"/>
      <c r="I164" s="29"/>
      <c r="J164" s="29"/>
      <c r="K164" s="29"/>
      <c r="L164" s="29"/>
      <c r="M164" s="29"/>
      <c r="N164" s="29"/>
      <c r="O164" s="29"/>
      <c r="P164" s="29"/>
      <c r="Q164" s="29"/>
      <c r="R164" s="29"/>
      <c r="S164" s="29"/>
      <c r="T164" s="29"/>
      <c r="U164" s="29"/>
      <c r="V164" s="29"/>
      <c r="W164" s="29"/>
      <c r="X164" s="29"/>
    </row>
    <row r="165" spans="1:24" ht="15">
      <c r="A165" s="29"/>
      <c r="B165" s="29"/>
      <c r="C165" s="29"/>
      <c r="D165" s="33"/>
      <c r="E165" s="33"/>
      <c r="G165" s="29"/>
      <c r="H165" s="29"/>
      <c r="I165" s="29"/>
      <c r="J165" s="29"/>
      <c r="K165" s="29"/>
      <c r="L165" s="29"/>
      <c r="M165" s="29"/>
      <c r="N165" s="29"/>
      <c r="O165" s="29"/>
      <c r="P165" s="29"/>
      <c r="Q165" s="29"/>
      <c r="R165" s="29"/>
      <c r="S165" s="29"/>
      <c r="T165" s="29"/>
      <c r="U165" s="29"/>
      <c r="V165" s="29"/>
      <c r="W165" s="29"/>
      <c r="X165" s="29"/>
    </row>
    <row r="166" spans="1:24" ht="15">
      <c r="A166" s="29"/>
      <c r="B166" s="29"/>
      <c r="C166" s="29"/>
      <c r="D166" s="33"/>
      <c r="E166" s="33"/>
      <c r="G166" s="29"/>
      <c r="H166" s="29"/>
      <c r="I166" s="29"/>
      <c r="J166" s="29"/>
      <c r="K166" s="29"/>
      <c r="L166" s="29"/>
      <c r="M166" s="29"/>
      <c r="N166" s="29"/>
      <c r="O166" s="29"/>
      <c r="P166" s="29"/>
      <c r="Q166" s="29"/>
      <c r="R166" s="29"/>
      <c r="S166" s="29"/>
      <c r="T166" s="29"/>
      <c r="U166" s="29"/>
      <c r="V166" s="29"/>
      <c r="W166" s="29"/>
      <c r="X166" s="29"/>
    </row>
    <row r="167" spans="1:24" ht="15">
      <c r="A167" s="29"/>
      <c r="B167" s="29"/>
      <c r="C167" s="29"/>
      <c r="D167" s="33"/>
      <c r="E167" s="33"/>
      <c r="G167" s="29"/>
      <c r="H167" s="29"/>
      <c r="I167" s="29"/>
      <c r="J167" s="29"/>
      <c r="K167" s="29"/>
      <c r="L167" s="29"/>
      <c r="M167" s="29"/>
      <c r="N167" s="29"/>
      <c r="O167" s="29"/>
      <c r="P167" s="29"/>
      <c r="Q167" s="29"/>
      <c r="R167" s="29"/>
      <c r="S167" s="29"/>
      <c r="T167" s="29"/>
      <c r="U167" s="29"/>
      <c r="V167" s="29"/>
      <c r="W167" s="29"/>
      <c r="X167" s="29"/>
    </row>
    <row r="168" spans="1:24" ht="15">
      <c r="A168" s="29"/>
      <c r="B168" s="29"/>
      <c r="C168" s="29"/>
      <c r="D168" s="33"/>
      <c r="E168" s="33"/>
      <c r="G168" s="29"/>
      <c r="H168" s="29"/>
      <c r="I168" s="29"/>
      <c r="J168" s="29"/>
      <c r="K168" s="29"/>
      <c r="L168" s="29"/>
      <c r="M168" s="29"/>
      <c r="N168" s="29"/>
      <c r="O168" s="29"/>
      <c r="P168" s="29"/>
      <c r="Q168" s="29"/>
      <c r="R168" s="29"/>
      <c r="S168" s="29"/>
      <c r="T168" s="29"/>
      <c r="U168" s="29"/>
      <c r="V168" s="29"/>
      <c r="W168" s="29"/>
      <c r="X168" s="29"/>
    </row>
    <row r="169" spans="1:24" ht="15">
      <c r="A169" s="29"/>
      <c r="B169" s="29"/>
      <c r="C169" s="29"/>
      <c r="D169" s="33"/>
      <c r="E169" s="33"/>
      <c r="G169" s="29"/>
      <c r="H169" s="29"/>
      <c r="I169" s="29"/>
      <c r="J169" s="29"/>
      <c r="K169" s="29"/>
      <c r="L169" s="29"/>
      <c r="M169" s="29"/>
      <c r="N169" s="29"/>
      <c r="O169" s="29"/>
      <c r="P169" s="29"/>
      <c r="Q169" s="29"/>
      <c r="R169" s="29"/>
      <c r="S169" s="29"/>
      <c r="T169" s="29"/>
      <c r="U169" s="29"/>
      <c r="V169" s="29"/>
      <c r="W169" s="29"/>
      <c r="X169" s="29"/>
    </row>
    <row r="170" spans="1:24" ht="15">
      <c r="A170" s="29"/>
      <c r="B170" s="29"/>
      <c r="C170" s="29"/>
      <c r="D170" s="33"/>
      <c r="E170" s="33"/>
      <c r="G170" s="29"/>
      <c r="H170" s="29"/>
      <c r="I170" s="29"/>
      <c r="J170" s="29"/>
      <c r="K170" s="29"/>
      <c r="L170" s="29"/>
      <c r="M170" s="29"/>
      <c r="N170" s="29"/>
      <c r="O170" s="29"/>
      <c r="P170" s="29"/>
      <c r="Q170" s="29"/>
      <c r="R170" s="29"/>
      <c r="S170" s="29"/>
      <c r="T170" s="29"/>
      <c r="U170" s="29"/>
      <c r="V170" s="29"/>
      <c r="W170" s="29"/>
      <c r="X170" s="29"/>
    </row>
    <row r="171" spans="1:24" ht="15">
      <c r="A171" s="29"/>
      <c r="B171" s="29"/>
      <c r="C171" s="29"/>
      <c r="D171" s="33"/>
      <c r="E171" s="33"/>
      <c r="G171" s="29"/>
      <c r="H171" s="29"/>
      <c r="I171" s="29"/>
      <c r="J171" s="29"/>
      <c r="K171" s="29"/>
      <c r="L171" s="29"/>
      <c r="M171" s="29"/>
      <c r="N171" s="29"/>
      <c r="O171" s="29"/>
      <c r="P171" s="29"/>
      <c r="Q171" s="29"/>
      <c r="R171" s="29"/>
      <c r="S171" s="29"/>
      <c r="T171" s="29"/>
      <c r="U171" s="29"/>
      <c r="V171" s="29"/>
      <c r="W171" s="29"/>
      <c r="X171" s="29"/>
    </row>
    <row r="172" spans="1:24" ht="15">
      <c r="A172" s="29"/>
      <c r="B172" s="29"/>
      <c r="C172" s="29"/>
      <c r="D172" s="33"/>
      <c r="E172" s="33"/>
      <c r="G172" s="29"/>
      <c r="H172" s="29"/>
      <c r="I172" s="29"/>
      <c r="J172" s="29"/>
      <c r="K172" s="29"/>
      <c r="L172" s="29"/>
      <c r="M172" s="29"/>
      <c r="N172" s="29"/>
      <c r="O172" s="29"/>
      <c r="P172" s="29"/>
      <c r="Q172" s="29"/>
      <c r="R172" s="29"/>
      <c r="S172" s="29"/>
      <c r="T172" s="29"/>
      <c r="U172" s="29"/>
      <c r="V172" s="29"/>
      <c r="W172" s="29"/>
      <c r="X172" s="29"/>
    </row>
    <row r="173" spans="1:24" ht="15">
      <c r="A173" s="29"/>
      <c r="B173" s="29"/>
      <c r="C173" s="29"/>
      <c r="D173" s="33"/>
      <c r="E173" s="33"/>
      <c r="G173" s="29"/>
      <c r="H173" s="29"/>
      <c r="I173" s="29"/>
      <c r="J173" s="29"/>
      <c r="K173" s="29"/>
      <c r="L173" s="29"/>
      <c r="M173" s="29"/>
      <c r="N173" s="29"/>
      <c r="O173" s="29"/>
      <c r="P173" s="29"/>
      <c r="Q173" s="29"/>
      <c r="R173" s="29"/>
      <c r="S173" s="29"/>
      <c r="T173" s="29"/>
      <c r="U173" s="29"/>
      <c r="V173" s="29"/>
      <c r="W173" s="29"/>
      <c r="X173" s="29"/>
    </row>
    <row r="174" spans="1:24" ht="15">
      <c r="A174" s="29"/>
      <c r="B174" s="29"/>
      <c r="C174" s="29"/>
      <c r="D174" s="33"/>
      <c r="E174" s="33"/>
      <c r="G174" s="29"/>
      <c r="H174" s="29"/>
      <c r="I174" s="29"/>
      <c r="J174" s="29"/>
      <c r="K174" s="29"/>
      <c r="L174" s="29"/>
      <c r="M174" s="29"/>
      <c r="N174" s="29"/>
      <c r="O174" s="29"/>
      <c r="P174" s="29"/>
      <c r="Q174" s="29"/>
      <c r="R174" s="29"/>
      <c r="S174" s="29"/>
      <c r="T174" s="29"/>
      <c r="U174" s="29"/>
      <c r="V174" s="29"/>
      <c r="W174" s="29"/>
      <c r="X174" s="29"/>
    </row>
    <row r="175" spans="1:24" ht="15">
      <c r="A175" s="29"/>
      <c r="B175" s="29"/>
      <c r="C175" s="29"/>
      <c r="D175" s="33"/>
      <c r="E175" s="33"/>
      <c r="G175" s="29"/>
      <c r="H175" s="29"/>
      <c r="I175" s="29"/>
      <c r="J175" s="29"/>
      <c r="K175" s="29"/>
      <c r="L175" s="29"/>
      <c r="M175" s="29"/>
      <c r="N175" s="29"/>
      <c r="O175" s="29"/>
      <c r="P175" s="29"/>
      <c r="Q175" s="29"/>
      <c r="R175" s="29"/>
      <c r="S175" s="29"/>
      <c r="T175" s="29"/>
      <c r="U175" s="29"/>
      <c r="V175" s="29"/>
      <c r="W175" s="29"/>
      <c r="X175" s="29"/>
    </row>
    <row r="176" spans="1:24" ht="15">
      <c r="A176" s="29"/>
      <c r="B176" s="29"/>
      <c r="C176" s="29"/>
      <c r="D176" s="33"/>
      <c r="E176" s="33"/>
      <c r="G176" s="29"/>
      <c r="H176" s="29"/>
      <c r="I176" s="29"/>
      <c r="J176" s="29"/>
      <c r="K176" s="29"/>
      <c r="L176" s="29"/>
      <c r="M176" s="29"/>
      <c r="N176" s="29"/>
      <c r="O176" s="29"/>
      <c r="P176" s="29"/>
      <c r="Q176" s="29"/>
      <c r="R176" s="29"/>
      <c r="S176" s="29"/>
      <c r="T176" s="29"/>
      <c r="U176" s="29"/>
      <c r="V176" s="29"/>
      <c r="W176" s="29"/>
      <c r="X176" s="29"/>
    </row>
    <row r="177" spans="1:24" ht="15">
      <c r="A177" s="29"/>
      <c r="B177" s="29"/>
      <c r="C177" s="29"/>
      <c r="D177" s="33"/>
      <c r="E177" s="33"/>
      <c r="G177" s="29"/>
      <c r="H177" s="29"/>
      <c r="I177" s="29"/>
      <c r="J177" s="29"/>
      <c r="K177" s="29"/>
      <c r="L177" s="29"/>
      <c r="M177" s="29"/>
      <c r="N177" s="29"/>
      <c r="O177" s="29"/>
      <c r="P177" s="29"/>
      <c r="Q177" s="29"/>
      <c r="R177" s="29"/>
      <c r="S177" s="29"/>
      <c r="T177" s="29"/>
      <c r="U177" s="29"/>
      <c r="V177" s="29"/>
      <c r="W177" s="29"/>
      <c r="X177" s="29"/>
    </row>
    <row r="178" spans="1:24" ht="15">
      <c r="A178" s="29"/>
      <c r="B178" s="29"/>
      <c r="C178" s="29"/>
      <c r="D178" s="33"/>
      <c r="E178" s="33"/>
      <c r="G178" s="29"/>
      <c r="H178" s="29"/>
      <c r="I178" s="29"/>
      <c r="J178" s="29"/>
      <c r="K178" s="29"/>
      <c r="L178" s="29"/>
      <c r="M178" s="29"/>
      <c r="N178" s="29"/>
      <c r="O178" s="29"/>
      <c r="P178" s="29"/>
      <c r="Q178" s="29"/>
      <c r="R178" s="29"/>
      <c r="S178" s="29"/>
      <c r="T178" s="29"/>
      <c r="U178" s="29"/>
      <c r="V178" s="29"/>
      <c r="W178" s="29"/>
      <c r="X178" s="29"/>
    </row>
    <row r="179" spans="1:24" ht="15">
      <c r="A179" s="29"/>
      <c r="B179" s="29"/>
      <c r="C179" s="29"/>
      <c r="D179" s="33"/>
      <c r="E179" s="33"/>
      <c r="G179" s="29"/>
      <c r="H179" s="29"/>
      <c r="I179" s="29"/>
      <c r="J179" s="29"/>
      <c r="K179" s="29"/>
      <c r="L179" s="29"/>
      <c r="M179" s="29"/>
      <c r="N179" s="29"/>
      <c r="O179" s="29"/>
      <c r="P179" s="29"/>
      <c r="Q179" s="29"/>
      <c r="R179" s="29"/>
      <c r="S179" s="29"/>
      <c r="T179" s="29"/>
      <c r="U179" s="29"/>
      <c r="V179" s="29"/>
      <c r="W179" s="29"/>
      <c r="X179" s="29"/>
    </row>
    <row r="180" spans="1:24" ht="15">
      <c r="A180" s="29"/>
      <c r="B180" s="29"/>
      <c r="C180" s="29"/>
      <c r="D180" s="33"/>
      <c r="E180" s="33"/>
      <c r="G180" s="29"/>
      <c r="H180" s="29"/>
      <c r="I180" s="29"/>
      <c r="J180" s="29"/>
      <c r="K180" s="29"/>
      <c r="L180" s="29"/>
      <c r="M180" s="29"/>
      <c r="N180" s="29"/>
      <c r="O180" s="29"/>
      <c r="P180" s="29"/>
      <c r="Q180" s="29"/>
      <c r="R180" s="29"/>
      <c r="S180" s="29"/>
      <c r="T180" s="29"/>
      <c r="U180" s="29"/>
      <c r="V180" s="29"/>
      <c r="W180" s="29"/>
      <c r="X180" s="29"/>
    </row>
    <row r="181" spans="1:24" ht="15">
      <c r="A181" s="29"/>
      <c r="B181" s="29"/>
      <c r="C181" s="29"/>
      <c r="D181" s="33"/>
      <c r="E181" s="33"/>
      <c r="G181" s="29"/>
      <c r="H181" s="29"/>
      <c r="I181" s="29"/>
      <c r="J181" s="29"/>
      <c r="K181" s="29"/>
      <c r="L181" s="29"/>
      <c r="M181" s="29"/>
      <c r="N181" s="29"/>
      <c r="O181" s="29"/>
      <c r="P181" s="29"/>
      <c r="Q181" s="29"/>
      <c r="R181" s="29"/>
      <c r="S181" s="29"/>
      <c r="T181" s="29"/>
      <c r="U181" s="29"/>
      <c r="V181" s="29"/>
      <c r="W181" s="29"/>
      <c r="X181" s="29"/>
    </row>
    <row r="182" spans="1:24" ht="15">
      <c r="A182" s="29"/>
      <c r="B182" s="29"/>
      <c r="C182" s="29"/>
      <c r="D182" s="33"/>
      <c r="E182" s="33"/>
      <c r="G182" s="29"/>
      <c r="H182" s="29"/>
      <c r="I182" s="29"/>
      <c r="J182" s="29"/>
      <c r="K182" s="29"/>
      <c r="L182" s="29"/>
      <c r="M182" s="29"/>
      <c r="N182" s="29"/>
      <c r="O182" s="29"/>
      <c r="P182" s="29"/>
      <c r="Q182" s="29"/>
      <c r="R182" s="29"/>
      <c r="S182" s="29"/>
      <c r="T182" s="29"/>
      <c r="U182" s="29"/>
      <c r="V182" s="29"/>
      <c r="W182" s="29"/>
      <c r="X182" s="29"/>
    </row>
    <row r="183" spans="1:24" ht="15">
      <c r="A183" s="29"/>
      <c r="B183" s="29"/>
      <c r="C183" s="29"/>
      <c r="D183" s="33"/>
      <c r="E183" s="33"/>
      <c r="G183" s="29"/>
      <c r="H183" s="29"/>
      <c r="I183" s="29"/>
      <c r="J183" s="29"/>
      <c r="K183" s="29"/>
      <c r="L183" s="29"/>
      <c r="M183" s="29"/>
      <c r="N183" s="29"/>
      <c r="O183" s="29"/>
      <c r="P183" s="29"/>
      <c r="Q183" s="29"/>
      <c r="R183" s="29"/>
      <c r="S183" s="29"/>
      <c r="T183" s="29"/>
      <c r="U183" s="29"/>
      <c r="V183" s="29"/>
      <c r="W183" s="29"/>
      <c r="X183" s="29"/>
    </row>
    <row r="184" spans="1:24" ht="15">
      <c r="A184" s="29"/>
      <c r="B184" s="29"/>
      <c r="C184" s="29"/>
      <c r="D184" s="33"/>
      <c r="E184" s="33"/>
      <c r="G184" s="29"/>
      <c r="H184" s="29"/>
      <c r="I184" s="29"/>
      <c r="J184" s="29"/>
      <c r="K184" s="29"/>
      <c r="L184" s="29"/>
      <c r="M184" s="29"/>
      <c r="N184" s="29"/>
      <c r="O184" s="29"/>
      <c r="P184" s="29"/>
      <c r="Q184" s="29"/>
      <c r="R184" s="29"/>
      <c r="S184" s="29"/>
      <c r="T184" s="29"/>
      <c r="U184" s="29"/>
      <c r="V184" s="29"/>
      <c r="W184" s="29"/>
      <c r="X184" s="29"/>
    </row>
    <row r="185" spans="1:24" ht="15">
      <c r="A185" s="29"/>
      <c r="B185" s="29"/>
      <c r="C185" s="29"/>
      <c r="D185" s="33"/>
      <c r="E185" s="33"/>
      <c r="G185" s="29"/>
      <c r="H185" s="29"/>
      <c r="I185" s="29"/>
      <c r="J185" s="29"/>
      <c r="K185" s="29"/>
      <c r="L185" s="29"/>
      <c r="M185" s="29"/>
      <c r="N185" s="29"/>
      <c r="O185" s="29"/>
      <c r="P185" s="29"/>
      <c r="Q185" s="29"/>
      <c r="R185" s="29"/>
      <c r="S185" s="29"/>
      <c r="T185" s="29"/>
      <c r="U185" s="29"/>
      <c r="V185" s="29"/>
      <c r="W185" s="29"/>
      <c r="X185" s="29"/>
    </row>
    <row r="186" spans="1:24" ht="15">
      <c r="A186" s="29"/>
      <c r="B186" s="29"/>
      <c r="C186" s="29"/>
      <c r="D186" s="33"/>
      <c r="E186" s="33"/>
      <c r="G186" s="29"/>
      <c r="H186" s="29"/>
      <c r="I186" s="29"/>
      <c r="J186" s="29"/>
      <c r="K186" s="29"/>
      <c r="L186" s="29"/>
      <c r="M186" s="29"/>
      <c r="N186" s="29"/>
      <c r="O186" s="29"/>
      <c r="P186" s="29"/>
      <c r="Q186" s="29"/>
      <c r="R186" s="29"/>
      <c r="S186" s="29"/>
      <c r="T186" s="29"/>
      <c r="U186" s="29"/>
      <c r="V186" s="29"/>
      <c r="W186" s="29"/>
      <c r="X186" s="29"/>
    </row>
    <row r="187" spans="1:24" ht="15">
      <c r="A187" s="29"/>
      <c r="B187" s="29"/>
      <c r="C187" s="29"/>
      <c r="D187" s="33"/>
      <c r="E187" s="33"/>
      <c r="G187" s="29"/>
      <c r="H187" s="29"/>
      <c r="I187" s="29"/>
      <c r="J187" s="29"/>
      <c r="K187" s="29"/>
      <c r="L187" s="29"/>
      <c r="M187" s="29"/>
      <c r="N187" s="29"/>
      <c r="O187" s="29"/>
      <c r="P187" s="29"/>
      <c r="Q187" s="29"/>
      <c r="R187" s="29"/>
      <c r="S187" s="29"/>
      <c r="T187" s="29"/>
      <c r="U187" s="29"/>
      <c r="V187" s="29"/>
      <c r="W187" s="29"/>
      <c r="X187" s="29"/>
    </row>
    <row r="188" spans="1:24" ht="15">
      <c r="A188" s="29"/>
      <c r="B188" s="29"/>
      <c r="C188" s="29"/>
      <c r="D188" s="33"/>
      <c r="E188" s="33"/>
      <c r="G188" s="29"/>
      <c r="H188" s="29"/>
      <c r="I188" s="29"/>
      <c r="J188" s="29"/>
      <c r="K188" s="29"/>
      <c r="L188" s="29"/>
      <c r="M188" s="29"/>
      <c r="N188" s="29"/>
      <c r="O188" s="29"/>
      <c r="P188" s="29"/>
      <c r="Q188" s="29"/>
      <c r="R188" s="29"/>
      <c r="S188" s="29"/>
      <c r="T188" s="29"/>
      <c r="U188" s="29"/>
      <c r="V188" s="29"/>
      <c r="W188" s="29"/>
      <c r="X188" s="29"/>
    </row>
    <row r="189" spans="1:24" ht="15">
      <c r="A189" s="29"/>
      <c r="B189" s="29"/>
      <c r="C189" s="29"/>
      <c r="D189" s="33"/>
      <c r="E189" s="33"/>
      <c r="G189" s="29"/>
      <c r="H189" s="29"/>
      <c r="I189" s="29"/>
      <c r="J189" s="29"/>
      <c r="K189" s="29"/>
      <c r="L189" s="29"/>
      <c r="M189" s="29"/>
      <c r="N189" s="29"/>
      <c r="O189" s="29"/>
      <c r="P189" s="29"/>
      <c r="Q189" s="29"/>
      <c r="R189" s="29"/>
      <c r="S189" s="29"/>
      <c r="T189" s="29"/>
      <c r="U189" s="29"/>
      <c r="V189" s="29"/>
      <c r="W189" s="29"/>
      <c r="X189" s="29"/>
    </row>
    <row r="190" spans="1:24" ht="15">
      <c r="A190" s="29"/>
      <c r="B190" s="29"/>
      <c r="C190" s="29"/>
      <c r="D190" s="33"/>
      <c r="E190" s="33"/>
      <c r="G190" s="29"/>
      <c r="H190" s="29"/>
      <c r="I190" s="29"/>
      <c r="J190" s="29"/>
      <c r="K190" s="29"/>
      <c r="L190" s="29"/>
      <c r="M190" s="29"/>
      <c r="N190" s="29"/>
      <c r="O190" s="29"/>
      <c r="P190" s="29"/>
      <c r="Q190" s="29"/>
      <c r="R190" s="29"/>
      <c r="S190" s="29"/>
      <c r="T190" s="29"/>
      <c r="U190" s="29"/>
      <c r="V190" s="29"/>
      <c r="W190" s="29"/>
      <c r="X190" s="29"/>
    </row>
    <row r="191" spans="1:24" ht="15">
      <c r="A191" s="29"/>
      <c r="B191" s="29"/>
      <c r="C191" s="29"/>
      <c r="D191" s="33"/>
      <c r="E191" s="33"/>
      <c r="G191" s="29"/>
      <c r="H191" s="29"/>
      <c r="I191" s="29"/>
      <c r="J191" s="29"/>
      <c r="K191" s="29"/>
      <c r="L191" s="29"/>
      <c r="M191" s="29"/>
      <c r="N191" s="29"/>
      <c r="O191" s="29"/>
      <c r="P191" s="29"/>
      <c r="Q191" s="29"/>
      <c r="R191" s="29"/>
      <c r="S191" s="29"/>
      <c r="T191" s="29"/>
      <c r="U191" s="29"/>
      <c r="V191" s="29"/>
      <c r="W191" s="29"/>
      <c r="X191" s="29"/>
    </row>
    <row r="192" spans="1:24" ht="15">
      <c r="A192" s="29"/>
      <c r="B192" s="29"/>
      <c r="C192" s="29"/>
      <c r="D192" s="33"/>
      <c r="E192" s="33"/>
      <c r="G192" s="29"/>
      <c r="H192" s="29"/>
      <c r="I192" s="29"/>
      <c r="J192" s="29"/>
      <c r="K192" s="29"/>
      <c r="L192" s="29"/>
      <c r="M192" s="29"/>
      <c r="N192" s="29"/>
      <c r="O192" s="29"/>
      <c r="P192" s="29"/>
      <c r="Q192" s="29"/>
      <c r="R192" s="29"/>
      <c r="S192" s="29"/>
      <c r="T192" s="29"/>
      <c r="U192" s="29"/>
      <c r="V192" s="29"/>
      <c r="W192" s="29"/>
      <c r="X192" s="29"/>
    </row>
    <row r="193" spans="1:24" ht="15">
      <c r="A193" s="29"/>
      <c r="B193" s="29"/>
      <c r="C193" s="29"/>
      <c r="D193" s="33"/>
      <c r="E193" s="33"/>
      <c r="G193" s="29"/>
      <c r="H193" s="29"/>
      <c r="I193" s="29"/>
      <c r="J193" s="29"/>
      <c r="K193" s="29"/>
      <c r="L193" s="29"/>
      <c r="M193" s="29"/>
      <c r="N193" s="29"/>
      <c r="O193" s="29"/>
      <c r="P193" s="29"/>
      <c r="Q193" s="29"/>
      <c r="R193" s="29"/>
      <c r="S193" s="29"/>
      <c r="T193" s="29"/>
      <c r="U193" s="29"/>
      <c r="V193" s="29"/>
      <c r="W193" s="29"/>
      <c r="X193" s="29"/>
    </row>
    <row r="194" spans="1:24" ht="15">
      <c r="A194" s="29"/>
      <c r="B194" s="29"/>
      <c r="C194" s="29"/>
      <c r="D194" s="33"/>
      <c r="E194" s="33"/>
      <c r="G194" s="29"/>
      <c r="H194" s="29"/>
      <c r="I194" s="29"/>
      <c r="J194" s="29"/>
      <c r="K194" s="29"/>
      <c r="L194" s="29"/>
      <c r="M194" s="29"/>
      <c r="N194" s="29"/>
      <c r="O194" s="29"/>
      <c r="P194" s="29"/>
      <c r="Q194" s="29"/>
      <c r="R194" s="29"/>
      <c r="S194" s="29"/>
      <c r="T194" s="29"/>
      <c r="U194" s="29"/>
      <c r="V194" s="29"/>
      <c r="W194" s="29"/>
      <c r="X194" s="29"/>
    </row>
    <row r="195" spans="1:24" ht="15">
      <c r="A195" s="29"/>
      <c r="B195" s="29"/>
      <c r="C195" s="29"/>
      <c r="D195" s="33"/>
      <c r="E195" s="33"/>
      <c r="G195" s="29"/>
      <c r="H195" s="29"/>
      <c r="I195" s="29"/>
      <c r="J195" s="29"/>
      <c r="K195" s="29"/>
      <c r="L195" s="29"/>
      <c r="M195" s="29"/>
      <c r="N195" s="29"/>
      <c r="O195" s="29"/>
      <c r="P195" s="29"/>
      <c r="Q195" s="29"/>
      <c r="R195" s="29"/>
      <c r="S195" s="29"/>
      <c r="T195" s="29"/>
      <c r="U195" s="29"/>
      <c r="V195" s="29"/>
      <c r="W195" s="29"/>
      <c r="X195" s="29"/>
    </row>
    <row r="196" spans="1:24" ht="15">
      <c r="A196" s="29"/>
      <c r="B196" s="29"/>
      <c r="C196" s="29"/>
      <c r="D196" s="33"/>
      <c r="E196" s="33"/>
      <c r="G196" s="29"/>
      <c r="H196" s="29"/>
      <c r="I196" s="29"/>
      <c r="J196" s="29"/>
      <c r="K196" s="29"/>
      <c r="L196" s="29"/>
      <c r="M196" s="29"/>
      <c r="N196" s="29"/>
      <c r="O196" s="29"/>
      <c r="P196" s="29"/>
      <c r="Q196" s="29"/>
      <c r="R196" s="29"/>
      <c r="S196" s="29"/>
      <c r="T196" s="29"/>
      <c r="U196" s="29"/>
      <c r="V196" s="29"/>
      <c r="W196" s="29"/>
      <c r="X196" s="29"/>
    </row>
    <row r="197" spans="1:24" ht="15">
      <c r="A197" s="29"/>
      <c r="B197" s="29"/>
      <c r="C197" s="29"/>
      <c r="D197" s="33"/>
      <c r="E197" s="33"/>
      <c r="G197" s="29"/>
      <c r="H197" s="29"/>
      <c r="I197" s="29"/>
      <c r="J197" s="29"/>
      <c r="K197" s="29"/>
      <c r="L197" s="29"/>
      <c r="M197" s="29"/>
      <c r="N197" s="29"/>
      <c r="O197" s="29"/>
      <c r="P197" s="29"/>
      <c r="Q197" s="29"/>
      <c r="R197" s="29"/>
      <c r="S197" s="29"/>
      <c r="T197" s="29"/>
      <c r="U197" s="29"/>
      <c r="V197" s="29"/>
      <c r="W197" s="29"/>
      <c r="X197" s="29"/>
    </row>
    <row r="198" spans="1:24" ht="15">
      <c r="A198" s="29"/>
      <c r="B198" s="29"/>
      <c r="C198" s="29"/>
      <c r="D198" s="33"/>
      <c r="E198" s="33"/>
      <c r="G198" s="29"/>
      <c r="H198" s="29"/>
      <c r="I198" s="29"/>
      <c r="J198" s="29"/>
      <c r="K198" s="29"/>
      <c r="L198" s="29"/>
      <c r="M198" s="29"/>
      <c r="N198" s="29"/>
      <c r="O198" s="29"/>
      <c r="P198" s="29"/>
      <c r="Q198" s="29"/>
      <c r="R198" s="29"/>
      <c r="S198" s="29"/>
      <c r="T198" s="29"/>
      <c r="U198" s="29"/>
      <c r="V198" s="29"/>
      <c r="W198" s="29"/>
      <c r="X198" s="29"/>
    </row>
    <row r="199" spans="1:24" ht="15">
      <c r="A199" s="29"/>
      <c r="B199" s="29"/>
      <c r="C199" s="29"/>
      <c r="D199" s="33"/>
      <c r="E199" s="33"/>
      <c r="G199" s="29"/>
      <c r="H199" s="29"/>
      <c r="I199" s="29"/>
      <c r="J199" s="29"/>
      <c r="K199" s="29"/>
      <c r="L199" s="29"/>
      <c r="M199" s="29"/>
      <c r="N199" s="29"/>
      <c r="O199" s="29"/>
      <c r="P199" s="29"/>
      <c r="Q199" s="29"/>
      <c r="R199" s="29"/>
      <c r="S199" s="29"/>
      <c r="T199" s="29"/>
      <c r="U199" s="29"/>
      <c r="V199" s="29"/>
      <c r="W199" s="29"/>
      <c r="X199" s="29"/>
    </row>
    <row r="200" spans="1:24" ht="15">
      <c r="A200" s="29"/>
      <c r="B200" s="29"/>
      <c r="C200" s="29"/>
      <c r="D200" s="33"/>
      <c r="E200" s="33"/>
      <c r="G200" s="29"/>
      <c r="H200" s="29"/>
      <c r="I200" s="29"/>
      <c r="J200" s="29"/>
      <c r="K200" s="29"/>
      <c r="L200" s="29"/>
      <c r="M200" s="29"/>
      <c r="N200" s="29"/>
      <c r="O200" s="29"/>
      <c r="P200" s="29"/>
      <c r="Q200" s="29"/>
      <c r="R200" s="29"/>
      <c r="S200" s="29"/>
      <c r="T200" s="29"/>
      <c r="U200" s="29"/>
      <c r="V200" s="29"/>
      <c r="W200" s="29"/>
      <c r="X200" s="29"/>
    </row>
    <row r="201" spans="1:24" ht="15">
      <c r="A201" s="29"/>
      <c r="B201" s="29"/>
      <c r="C201" s="29"/>
      <c r="D201" s="33"/>
      <c r="E201" s="33"/>
      <c r="G201" s="29"/>
      <c r="H201" s="29"/>
      <c r="I201" s="29"/>
      <c r="J201" s="29"/>
      <c r="K201" s="29"/>
      <c r="L201" s="29"/>
      <c r="M201" s="29"/>
      <c r="N201" s="29"/>
      <c r="O201" s="29"/>
      <c r="P201" s="29"/>
      <c r="Q201" s="29"/>
      <c r="R201" s="29"/>
      <c r="S201" s="29"/>
      <c r="T201" s="29"/>
      <c r="U201" s="29"/>
      <c r="V201" s="29"/>
      <c r="W201" s="29"/>
      <c r="X201" s="29"/>
    </row>
    <row r="202" spans="1:24" ht="15">
      <c r="A202" s="29"/>
      <c r="B202" s="29"/>
      <c r="C202" s="29"/>
      <c r="D202" s="33"/>
      <c r="E202" s="33"/>
      <c r="G202" s="29"/>
      <c r="H202" s="29"/>
      <c r="I202" s="29"/>
      <c r="J202" s="29"/>
      <c r="K202" s="29"/>
      <c r="L202" s="29"/>
      <c r="M202" s="29"/>
      <c r="N202" s="29"/>
      <c r="O202" s="29"/>
      <c r="P202" s="29"/>
      <c r="Q202" s="29"/>
      <c r="R202" s="29"/>
      <c r="S202" s="29"/>
      <c r="T202" s="29"/>
      <c r="U202" s="29"/>
      <c r="V202" s="29"/>
      <c r="W202" s="29"/>
      <c r="X202" s="29"/>
    </row>
    <row r="203" spans="1:24" ht="15">
      <c r="A203" s="29"/>
      <c r="B203" s="29"/>
      <c r="C203" s="29"/>
      <c r="D203" s="33"/>
      <c r="E203" s="33"/>
      <c r="G203" s="29"/>
      <c r="H203" s="29"/>
      <c r="I203" s="29"/>
      <c r="J203" s="29"/>
      <c r="K203" s="29"/>
      <c r="L203" s="29"/>
      <c r="M203" s="29"/>
      <c r="N203" s="29"/>
      <c r="O203" s="29"/>
      <c r="P203" s="29"/>
      <c r="Q203" s="29"/>
      <c r="R203" s="29"/>
      <c r="S203" s="29"/>
      <c r="T203" s="29"/>
      <c r="U203" s="29"/>
      <c r="V203" s="29"/>
      <c r="W203" s="29"/>
      <c r="X203" s="29"/>
    </row>
    <row r="204" spans="1:24" ht="15">
      <c r="A204" s="29"/>
      <c r="B204" s="29"/>
      <c r="C204" s="29"/>
      <c r="D204" s="33"/>
      <c r="E204" s="33"/>
      <c r="G204" s="29"/>
      <c r="H204" s="29"/>
      <c r="I204" s="29"/>
      <c r="J204" s="29"/>
      <c r="K204" s="29"/>
      <c r="L204" s="29"/>
      <c r="M204" s="29"/>
      <c r="N204" s="29"/>
      <c r="O204" s="29"/>
      <c r="P204" s="29"/>
      <c r="Q204" s="29"/>
      <c r="R204" s="29"/>
      <c r="S204" s="29"/>
      <c r="T204" s="29"/>
      <c r="U204" s="29"/>
      <c r="V204" s="29"/>
      <c r="W204" s="29"/>
      <c r="X204" s="29"/>
    </row>
    <row r="205" spans="1:24" ht="15">
      <c r="A205" s="29"/>
      <c r="B205" s="29"/>
      <c r="C205" s="29"/>
      <c r="D205" s="33"/>
      <c r="E205" s="33"/>
      <c r="G205" s="29"/>
      <c r="H205" s="29"/>
      <c r="I205" s="29"/>
      <c r="J205" s="29"/>
      <c r="K205" s="29"/>
      <c r="L205" s="29"/>
      <c r="M205" s="29"/>
      <c r="N205" s="29"/>
      <c r="O205" s="29"/>
      <c r="P205" s="29"/>
      <c r="Q205" s="29"/>
      <c r="R205" s="29"/>
      <c r="S205" s="29"/>
      <c r="T205" s="29"/>
      <c r="U205" s="29"/>
      <c r="V205" s="29"/>
      <c r="W205" s="29"/>
      <c r="X205" s="29"/>
    </row>
    <row r="206" spans="1:24" ht="15">
      <c r="A206" s="29"/>
      <c r="B206" s="29"/>
      <c r="C206" s="29"/>
      <c r="D206" s="33"/>
      <c r="E206" s="33"/>
      <c r="G206" s="29"/>
      <c r="H206" s="29"/>
      <c r="I206" s="29"/>
      <c r="J206" s="29"/>
      <c r="K206" s="29"/>
      <c r="L206" s="29"/>
      <c r="M206" s="29"/>
      <c r="N206" s="29"/>
      <c r="O206" s="29"/>
      <c r="P206" s="29"/>
      <c r="Q206" s="29"/>
      <c r="R206" s="29"/>
      <c r="S206" s="29"/>
      <c r="T206" s="29"/>
      <c r="U206" s="29"/>
      <c r="V206" s="29"/>
      <c r="W206" s="29"/>
      <c r="X206" s="29"/>
    </row>
    <row r="207" spans="1:24" ht="15">
      <c r="A207" s="29"/>
      <c r="B207" s="29"/>
      <c r="C207" s="29"/>
      <c r="D207" s="33"/>
      <c r="E207" s="33"/>
      <c r="G207" s="29"/>
      <c r="H207" s="29"/>
      <c r="I207" s="29"/>
      <c r="J207" s="29"/>
      <c r="K207" s="29"/>
      <c r="L207" s="29"/>
      <c r="M207" s="29"/>
      <c r="N207" s="29"/>
      <c r="O207" s="29"/>
      <c r="P207" s="29"/>
      <c r="Q207" s="29"/>
      <c r="R207" s="29"/>
      <c r="S207" s="29"/>
      <c r="T207" s="29"/>
      <c r="U207" s="29"/>
      <c r="V207" s="29"/>
      <c r="W207" s="29"/>
      <c r="X207" s="29"/>
    </row>
    <row r="208" spans="1:24" ht="15">
      <c r="A208" s="29"/>
      <c r="B208" s="29"/>
      <c r="C208" s="29"/>
      <c r="D208" s="33"/>
      <c r="E208" s="33"/>
      <c r="G208" s="29"/>
      <c r="H208" s="29"/>
      <c r="I208" s="29"/>
      <c r="J208" s="29"/>
      <c r="K208" s="29"/>
      <c r="L208" s="29"/>
      <c r="M208" s="29"/>
      <c r="N208" s="29"/>
      <c r="O208" s="29"/>
      <c r="P208" s="29"/>
      <c r="Q208" s="29"/>
      <c r="R208" s="29"/>
      <c r="S208" s="29"/>
      <c r="T208" s="29"/>
      <c r="U208" s="29"/>
      <c r="V208" s="29"/>
      <c r="W208" s="29"/>
      <c r="X208" s="29"/>
    </row>
    <row r="209" spans="1:24" ht="15">
      <c r="A209" s="29"/>
      <c r="B209" s="29"/>
      <c r="C209" s="29"/>
      <c r="D209" s="33"/>
      <c r="E209" s="33"/>
      <c r="G209" s="29"/>
      <c r="H209" s="29"/>
      <c r="I209" s="29"/>
      <c r="J209" s="29"/>
      <c r="K209" s="29"/>
      <c r="L209" s="29"/>
      <c r="M209" s="29"/>
      <c r="N209" s="29"/>
      <c r="O209" s="29"/>
      <c r="P209" s="29"/>
      <c r="Q209" s="29"/>
      <c r="R209" s="29"/>
      <c r="S209" s="29"/>
      <c r="T209" s="29"/>
      <c r="U209" s="29"/>
      <c r="V209" s="29"/>
      <c r="W209" s="29"/>
      <c r="X209" s="29"/>
    </row>
    <row r="210" spans="1:24" ht="15">
      <c r="A210" s="29"/>
      <c r="B210" s="29"/>
      <c r="C210" s="29"/>
      <c r="D210" s="33"/>
      <c r="E210" s="33"/>
      <c r="G210" s="29"/>
      <c r="H210" s="29"/>
      <c r="I210" s="29"/>
      <c r="J210" s="29"/>
      <c r="K210" s="29"/>
      <c r="L210" s="29"/>
      <c r="M210" s="29"/>
      <c r="N210" s="29"/>
      <c r="O210" s="29"/>
      <c r="P210" s="29"/>
      <c r="Q210" s="29"/>
      <c r="R210" s="29"/>
      <c r="S210" s="29"/>
      <c r="T210" s="29"/>
      <c r="U210" s="29"/>
      <c r="V210" s="29"/>
      <c r="W210" s="29"/>
      <c r="X210" s="29"/>
    </row>
    <row r="211" spans="1:24" ht="15">
      <c r="A211" s="29"/>
      <c r="B211" s="29"/>
      <c r="C211" s="29"/>
      <c r="D211" s="33"/>
      <c r="E211" s="33"/>
      <c r="G211" s="29"/>
      <c r="H211" s="29"/>
      <c r="I211" s="29"/>
      <c r="J211" s="29"/>
      <c r="K211" s="29"/>
      <c r="L211" s="29"/>
      <c r="M211" s="29"/>
      <c r="N211" s="29"/>
      <c r="O211" s="29"/>
      <c r="P211" s="29"/>
      <c r="Q211" s="29"/>
      <c r="R211" s="29"/>
      <c r="S211" s="29"/>
      <c r="T211" s="29"/>
      <c r="U211" s="29"/>
      <c r="V211" s="29"/>
      <c r="W211" s="29"/>
      <c r="X211" s="29"/>
    </row>
    <row r="212" spans="1:24" ht="15">
      <c r="A212" s="29"/>
      <c r="B212" s="29"/>
      <c r="C212" s="29"/>
      <c r="D212" s="33"/>
      <c r="E212" s="33"/>
      <c r="G212" s="29"/>
      <c r="H212" s="29"/>
      <c r="I212" s="29"/>
      <c r="J212" s="29"/>
      <c r="K212" s="29"/>
      <c r="L212" s="29"/>
      <c r="M212" s="29"/>
      <c r="N212" s="29"/>
      <c r="O212" s="29"/>
      <c r="P212" s="29"/>
      <c r="Q212" s="29"/>
      <c r="R212" s="29"/>
      <c r="S212" s="29"/>
      <c r="T212" s="29"/>
      <c r="U212" s="29"/>
      <c r="V212" s="29"/>
      <c r="W212" s="29"/>
      <c r="X212" s="29"/>
    </row>
    <row r="213" spans="1:24" ht="15">
      <c r="A213" s="29"/>
      <c r="B213" s="29"/>
      <c r="C213" s="29"/>
      <c r="D213" s="33"/>
      <c r="E213" s="33"/>
      <c r="G213" s="29"/>
      <c r="H213" s="29"/>
      <c r="I213" s="29"/>
      <c r="J213" s="29"/>
      <c r="K213" s="29"/>
      <c r="L213" s="29"/>
      <c r="M213" s="29"/>
      <c r="N213" s="29"/>
      <c r="O213" s="29"/>
      <c r="P213" s="29"/>
      <c r="Q213" s="29"/>
      <c r="R213" s="29"/>
      <c r="S213" s="29"/>
      <c r="T213" s="29"/>
      <c r="U213" s="29"/>
      <c r="V213" s="29"/>
      <c r="W213" s="29"/>
      <c r="X213" s="29"/>
    </row>
    <row r="214" spans="1:24" ht="15">
      <c r="A214" s="29"/>
      <c r="B214" s="29"/>
      <c r="C214" s="29"/>
      <c r="D214" s="33"/>
      <c r="E214" s="33"/>
      <c r="G214" s="29"/>
      <c r="H214" s="29"/>
      <c r="I214" s="29"/>
      <c r="J214" s="29"/>
      <c r="K214" s="29"/>
      <c r="L214" s="29"/>
      <c r="M214" s="29"/>
      <c r="N214" s="29"/>
      <c r="O214" s="29"/>
      <c r="P214" s="29"/>
      <c r="Q214" s="29"/>
      <c r="R214" s="29"/>
      <c r="S214" s="29"/>
      <c r="T214" s="29"/>
      <c r="U214" s="29"/>
      <c r="V214" s="29"/>
      <c r="W214" s="29"/>
      <c r="X214" s="29"/>
    </row>
    <row r="215" spans="1:24" ht="15">
      <c r="A215" s="29"/>
      <c r="B215" s="29"/>
      <c r="C215" s="29"/>
      <c r="D215" s="33"/>
      <c r="E215" s="33"/>
      <c r="G215" s="29"/>
      <c r="H215" s="29"/>
      <c r="I215" s="29"/>
      <c r="J215" s="29"/>
      <c r="K215" s="29"/>
      <c r="L215" s="29"/>
      <c r="M215" s="29"/>
      <c r="N215" s="29"/>
      <c r="O215" s="29"/>
      <c r="P215" s="29"/>
      <c r="Q215" s="29"/>
      <c r="R215" s="29"/>
      <c r="S215" s="29"/>
      <c r="T215" s="29"/>
      <c r="U215" s="29"/>
      <c r="V215" s="29"/>
      <c r="W215" s="29"/>
      <c r="X215" s="29"/>
    </row>
    <row r="216" spans="1:24" ht="15">
      <c r="A216" s="29"/>
      <c r="B216" s="29"/>
      <c r="C216" s="29"/>
      <c r="D216" s="33"/>
      <c r="E216" s="33"/>
      <c r="G216" s="29"/>
      <c r="H216" s="29"/>
      <c r="I216" s="29"/>
      <c r="J216" s="29"/>
      <c r="K216" s="29"/>
      <c r="L216" s="29"/>
      <c r="M216" s="29"/>
      <c r="N216" s="29"/>
      <c r="O216" s="29"/>
      <c r="P216" s="29"/>
      <c r="Q216" s="29"/>
      <c r="R216" s="29"/>
      <c r="S216" s="29"/>
      <c r="T216" s="29"/>
      <c r="U216" s="29"/>
      <c r="V216" s="29"/>
      <c r="W216" s="29"/>
      <c r="X216" s="29"/>
    </row>
    <row r="217" spans="1:24" ht="15">
      <c r="A217" s="29"/>
      <c r="B217" s="29"/>
      <c r="C217" s="29"/>
      <c r="D217" s="33"/>
      <c r="E217" s="33"/>
      <c r="G217" s="29"/>
      <c r="H217" s="29"/>
      <c r="I217" s="29"/>
      <c r="J217" s="29"/>
      <c r="K217" s="29"/>
      <c r="L217" s="29"/>
      <c r="M217" s="29"/>
      <c r="N217" s="29"/>
      <c r="O217" s="29"/>
      <c r="P217" s="29"/>
      <c r="Q217" s="29"/>
      <c r="R217" s="29"/>
      <c r="S217" s="29"/>
      <c r="T217" s="29"/>
      <c r="U217" s="29"/>
      <c r="V217" s="29"/>
      <c r="W217" s="29"/>
      <c r="X217" s="29"/>
    </row>
    <row r="218" spans="1:24" ht="15">
      <c r="A218" s="29"/>
      <c r="B218" s="29"/>
      <c r="C218" s="29"/>
      <c r="D218" s="33"/>
      <c r="E218" s="33"/>
      <c r="G218" s="29"/>
      <c r="H218" s="29"/>
      <c r="I218" s="29"/>
      <c r="J218" s="29"/>
      <c r="K218" s="29"/>
      <c r="L218" s="29"/>
      <c r="M218" s="29"/>
      <c r="N218" s="29"/>
      <c r="O218" s="29"/>
      <c r="P218" s="29"/>
      <c r="Q218" s="29"/>
      <c r="R218" s="29"/>
      <c r="S218" s="29"/>
      <c r="T218" s="29"/>
      <c r="U218" s="29"/>
      <c r="V218" s="29"/>
      <c r="W218" s="29"/>
      <c r="X218" s="29"/>
    </row>
    <row r="219" spans="1:24" ht="15">
      <c r="A219" s="29"/>
      <c r="B219" s="29"/>
      <c r="C219" s="29"/>
      <c r="D219" s="33"/>
      <c r="E219" s="33"/>
      <c r="G219" s="29"/>
      <c r="H219" s="29"/>
      <c r="I219" s="29"/>
      <c r="J219" s="29"/>
      <c r="K219" s="29"/>
      <c r="L219" s="29"/>
      <c r="M219" s="29"/>
      <c r="N219" s="29"/>
      <c r="O219" s="29"/>
      <c r="P219" s="29"/>
      <c r="Q219" s="29"/>
      <c r="R219" s="29"/>
      <c r="S219" s="29"/>
      <c r="T219" s="29"/>
      <c r="U219" s="29"/>
      <c r="V219" s="29"/>
      <c r="W219" s="29"/>
      <c r="X219" s="29"/>
    </row>
    <row r="220" spans="1:24" ht="15">
      <c r="A220" s="29"/>
      <c r="B220" s="29"/>
      <c r="C220" s="29"/>
      <c r="D220" s="33"/>
      <c r="E220" s="33"/>
      <c r="G220" s="29"/>
      <c r="H220" s="29"/>
      <c r="I220" s="29"/>
      <c r="J220" s="29"/>
      <c r="K220" s="29"/>
      <c r="L220" s="29"/>
      <c r="M220" s="29"/>
      <c r="N220" s="29"/>
      <c r="O220" s="29"/>
      <c r="P220" s="29"/>
      <c r="Q220" s="29"/>
      <c r="R220" s="29"/>
      <c r="S220" s="29"/>
      <c r="T220" s="29"/>
      <c r="U220" s="29"/>
      <c r="V220" s="29"/>
      <c r="W220" s="29"/>
      <c r="X220" s="29"/>
    </row>
    <row r="221" spans="1:24" ht="15">
      <c r="A221" s="29"/>
      <c r="B221" s="29"/>
      <c r="C221" s="29"/>
      <c r="D221" s="33"/>
      <c r="E221" s="33"/>
      <c r="G221" s="29"/>
      <c r="H221" s="29"/>
      <c r="I221" s="29"/>
      <c r="J221" s="29"/>
      <c r="K221" s="29"/>
      <c r="L221" s="29"/>
      <c r="M221" s="29"/>
      <c r="N221" s="29"/>
      <c r="O221" s="29"/>
      <c r="P221" s="29"/>
      <c r="Q221" s="29"/>
      <c r="R221" s="29"/>
      <c r="S221" s="29"/>
      <c r="T221" s="29"/>
      <c r="U221" s="29"/>
      <c r="V221" s="29"/>
      <c r="W221" s="29"/>
      <c r="X221" s="29"/>
    </row>
    <row r="222" spans="1:24" ht="15">
      <c r="A222" s="29"/>
      <c r="B222" s="29"/>
      <c r="C222" s="29"/>
      <c r="D222" s="33"/>
      <c r="E222" s="33"/>
      <c r="G222" s="29"/>
      <c r="H222" s="29"/>
      <c r="I222" s="29"/>
      <c r="J222" s="29"/>
      <c r="K222" s="29"/>
      <c r="L222" s="29"/>
      <c r="M222" s="29"/>
      <c r="N222" s="29"/>
      <c r="O222" s="29"/>
      <c r="P222" s="29"/>
      <c r="Q222" s="29"/>
      <c r="R222" s="29"/>
      <c r="S222" s="29"/>
      <c r="T222" s="29"/>
      <c r="U222" s="29"/>
      <c r="V222" s="29"/>
      <c r="W222" s="29"/>
      <c r="X222" s="29"/>
    </row>
    <row r="223" spans="1:24" ht="15">
      <c r="A223" s="29"/>
      <c r="B223" s="29"/>
      <c r="C223" s="29"/>
      <c r="D223" s="33"/>
      <c r="E223" s="33"/>
      <c r="G223" s="29"/>
      <c r="H223" s="29"/>
      <c r="I223" s="29"/>
      <c r="J223" s="29"/>
      <c r="K223" s="29"/>
      <c r="L223" s="29"/>
      <c r="M223" s="29"/>
      <c r="N223" s="29"/>
      <c r="O223" s="29"/>
      <c r="P223" s="29"/>
      <c r="Q223" s="29"/>
      <c r="R223" s="29"/>
      <c r="S223" s="29"/>
      <c r="T223" s="29"/>
      <c r="U223" s="29"/>
      <c r="V223" s="29"/>
      <c r="W223" s="29"/>
      <c r="X223" s="29"/>
    </row>
    <row r="224" spans="1:24" ht="15">
      <c r="A224" s="29"/>
      <c r="B224" s="29"/>
      <c r="C224" s="29"/>
      <c r="D224" s="33"/>
      <c r="E224" s="33"/>
      <c r="G224" s="29"/>
      <c r="H224" s="29"/>
      <c r="I224" s="29"/>
      <c r="J224" s="29"/>
      <c r="K224" s="29"/>
      <c r="L224" s="29"/>
      <c r="M224" s="29"/>
      <c r="N224" s="29"/>
      <c r="O224" s="29"/>
      <c r="P224" s="29"/>
      <c r="Q224" s="29"/>
      <c r="R224" s="29"/>
      <c r="S224" s="29"/>
      <c r="T224" s="29"/>
      <c r="U224" s="29"/>
      <c r="V224" s="29"/>
      <c r="W224" s="29"/>
      <c r="X224" s="29"/>
    </row>
    <row r="225" spans="1:24" ht="15">
      <c r="A225" s="29"/>
      <c r="B225" s="29"/>
      <c r="C225" s="29"/>
      <c r="D225" s="33"/>
      <c r="E225" s="33"/>
      <c r="G225" s="29"/>
      <c r="H225" s="29"/>
      <c r="I225" s="29"/>
      <c r="J225" s="29"/>
      <c r="K225" s="29"/>
      <c r="L225" s="29"/>
      <c r="M225" s="29"/>
      <c r="N225" s="29"/>
      <c r="O225" s="29"/>
      <c r="P225" s="29"/>
      <c r="Q225" s="29"/>
      <c r="R225" s="29"/>
      <c r="S225" s="29"/>
      <c r="T225" s="29"/>
      <c r="U225" s="29"/>
      <c r="V225" s="29"/>
      <c r="W225" s="29"/>
      <c r="X225" s="29"/>
    </row>
    <row r="226" spans="1:24" ht="15">
      <c r="A226" s="29"/>
      <c r="B226" s="29"/>
      <c r="C226" s="29"/>
      <c r="D226" s="33"/>
      <c r="E226" s="33"/>
      <c r="G226" s="29"/>
      <c r="H226" s="29"/>
      <c r="I226" s="29"/>
      <c r="J226" s="29"/>
      <c r="K226" s="29"/>
      <c r="L226" s="29"/>
      <c r="M226" s="29"/>
      <c r="N226" s="29"/>
      <c r="O226" s="29"/>
      <c r="P226" s="29"/>
      <c r="Q226" s="29"/>
      <c r="R226" s="29"/>
      <c r="S226" s="29"/>
      <c r="T226" s="29"/>
      <c r="U226" s="29"/>
      <c r="V226" s="29"/>
      <c r="W226" s="29"/>
      <c r="X226" s="29"/>
    </row>
    <row r="227" spans="1:24" ht="15">
      <c r="A227" s="29"/>
      <c r="B227" s="29"/>
      <c r="C227" s="29"/>
      <c r="D227" s="33"/>
      <c r="E227" s="33"/>
      <c r="G227" s="29"/>
      <c r="H227" s="29"/>
      <c r="I227" s="29"/>
      <c r="J227" s="29"/>
      <c r="K227" s="29"/>
      <c r="L227" s="29"/>
      <c r="M227" s="29"/>
      <c r="N227" s="29"/>
      <c r="O227" s="29"/>
      <c r="P227" s="29"/>
      <c r="Q227" s="29"/>
      <c r="R227" s="29"/>
      <c r="S227" s="29"/>
      <c r="T227" s="29"/>
      <c r="U227" s="29"/>
      <c r="V227" s="29"/>
      <c r="W227" s="29"/>
      <c r="X227" s="29"/>
    </row>
    <row r="228" spans="1:24" ht="15">
      <c r="A228" s="29"/>
      <c r="B228" s="29"/>
      <c r="C228" s="29"/>
      <c r="D228" s="33"/>
      <c r="E228" s="33"/>
      <c r="G228" s="29"/>
      <c r="H228" s="29"/>
      <c r="I228" s="29"/>
      <c r="J228" s="29"/>
      <c r="K228" s="29"/>
      <c r="L228" s="29"/>
      <c r="M228" s="29"/>
      <c r="N228" s="29"/>
      <c r="O228" s="29"/>
      <c r="P228" s="29"/>
      <c r="Q228" s="29"/>
      <c r="R228" s="29"/>
      <c r="S228" s="29"/>
      <c r="T228" s="29"/>
      <c r="U228" s="29"/>
      <c r="V228" s="29"/>
      <c r="W228" s="29"/>
      <c r="X228" s="29"/>
    </row>
    <row r="229" spans="1:24" ht="15">
      <c r="A229" s="29"/>
      <c r="B229" s="29"/>
      <c r="C229" s="29"/>
      <c r="D229" s="33"/>
      <c r="E229" s="33"/>
      <c r="G229" s="29"/>
      <c r="H229" s="29"/>
      <c r="I229" s="29"/>
      <c r="J229" s="29"/>
      <c r="K229" s="29"/>
      <c r="L229" s="29"/>
      <c r="M229" s="29"/>
      <c r="N229" s="29"/>
      <c r="O229" s="29"/>
      <c r="P229" s="29"/>
      <c r="Q229" s="29"/>
      <c r="R229" s="29"/>
      <c r="S229" s="29"/>
      <c r="T229" s="29"/>
      <c r="U229" s="29"/>
      <c r="V229" s="29"/>
      <c r="W229" s="29"/>
      <c r="X229" s="29"/>
    </row>
    <row r="230" spans="1:24" ht="15">
      <c r="A230" s="29"/>
      <c r="B230" s="29"/>
      <c r="C230" s="29"/>
      <c r="D230" s="33"/>
      <c r="E230" s="33"/>
      <c r="G230" s="29"/>
      <c r="H230" s="29"/>
      <c r="I230" s="29"/>
      <c r="J230" s="29"/>
      <c r="K230" s="29"/>
      <c r="L230" s="29"/>
      <c r="M230" s="29"/>
      <c r="N230" s="29"/>
      <c r="O230" s="29"/>
      <c r="P230" s="29"/>
      <c r="Q230" s="29"/>
      <c r="R230" s="29"/>
      <c r="S230" s="29"/>
      <c r="T230" s="29"/>
      <c r="U230" s="29"/>
      <c r="V230" s="29"/>
      <c r="W230" s="29"/>
      <c r="X230" s="29"/>
    </row>
    <row r="231" spans="1:24" ht="15">
      <c r="A231" s="29"/>
      <c r="B231" s="29"/>
      <c r="C231" s="29"/>
      <c r="D231" s="33"/>
      <c r="E231" s="33"/>
      <c r="G231" s="29"/>
      <c r="H231" s="29"/>
      <c r="I231" s="29"/>
      <c r="J231" s="29"/>
      <c r="K231" s="29"/>
      <c r="L231" s="29"/>
      <c r="M231" s="29"/>
      <c r="N231" s="29"/>
      <c r="O231" s="29"/>
      <c r="P231" s="29"/>
      <c r="Q231" s="29"/>
      <c r="R231" s="29"/>
      <c r="S231" s="29"/>
      <c r="T231" s="29"/>
      <c r="U231" s="29"/>
      <c r="V231" s="29"/>
      <c r="W231" s="29"/>
      <c r="X231" s="29"/>
    </row>
    <row r="232" spans="1:24" ht="15">
      <c r="A232" s="29"/>
      <c r="B232" s="29"/>
      <c r="C232" s="29"/>
      <c r="D232" s="33"/>
      <c r="E232" s="33"/>
      <c r="G232" s="29"/>
      <c r="H232" s="29"/>
      <c r="I232" s="29"/>
      <c r="J232" s="29"/>
      <c r="K232" s="29"/>
      <c r="L232" s="29"/>
      <c r="M232" s="29"/>
      <c r="N232" s="29"/>
      <c r="O232" s="29"/>
      <c r="P232" s="29"/>
      <c r="Q232" s="29"/>
      <c r="R232" s="29"/>
      <c r="S232" s="29"/>
      <c r="T232" s="29"/>
      <c r="U232" s="29"/>
      <c r="V232" s="29"/>
      <c r="W232" s="29"/>
      <c r="X232" s="29"/>
    </row>
    <row r="233" spans="1:24" ht="15">
      <c r="A233" s="29"/>
      <c r="B233" s="29"/>
      <c r="C233" s="29"/>
      <c r="D233" s="33"/>
      <c r="E233" s="33"/>
      <c r="G233" s="29"/>
      <c r="H233" s="29"/>
      <c r="I233" s="29"/>
      <c r="J233" s="29"/>
      <c r="K233" s="29"/>
      <c r="L233" s="29"/>
      <c r="M233" s="29"/>
      <c r="N233" s="29"/>
      <c r="O233" s="29"/>
      <c r="P233" s="29"/>
      <c r="Q233" s="29"/>
      <c r="R233" s="29"/>
      <c r="S233" s="29"/>
      <c r="T233" s="29"/>
      <c r="U233" s="29"/>
      <c r="V233" s="29"/>
      <c r="W233" s="29"/>
      <c r="X233" s="29"/>
    </row>
    <row r="234" spans="1:24" ht="15">
      <c r="A234" s="29"/>
      <c r="B234" s="29"/>
      <c r="C234" s="29"/>
      <c r="D234" s="33"/>
      <c r="E234" s="33"/>
      <c r="G234" s="29"/>
      <c r="H234" s="29"/>
      <c r="I234" s="29"/>
      <c r="J234" s="29"/>
      <c r="K234" s="29"/>
      <c r="L234" s="29"/>
      <c r="M234" s="29"/>
      <c r="N234" s="29"/>
      <c r="O234" s="29"/>
      <c r="P234" s="29"/>
      <c r="Q234" s="29"/>
      <c r="R234" s="29"/>
      <c r="S234" s="29"/>
      <c r="T234" s="29"/>
      <c r="U234" s="29"/>
      <c r="V234" s="29"/>
      <c r="W234" s="29"/>
      <c r="X234" s="29"/>
    </row>
    <row r="235" spans="1:24" ht="15">
      <c r="A235" s="29"/>
      <c r="B235" s="29"/>
      <c r="C235" s="29"/>
      <c r="D235" s="33"/>
      <c r="E235" s="33"/>
      <c r="G235" s="29"/>
      <c r="H235" s="29"/>
      <c r="I235" s="29"/>
      <c r="J235" s="29"/>
      <c r="K235" s="29"/>
      <c r="L235" s="29"/>
      <c r="M235" s="29"/>
      <c r="N235" s="29"/>
      <c r="O235" s="29"/>
      <c r="P235" s="29"/>
      <c r="Q235" s="29"/>
      <c r="R235" s="29"/>
      <c r="S235" s="29"/>
      <c r="T235" s="29"/>
      <c r="U235" s="29"/>
      <c r="V235" s="29"/>
      <c r="W235" s="29"/>
      <c r="X235" s="29"/>
    </row>
    <row r="236" spans="1:24" ht="15">
      <c r="A236" s="29"/>
      <c r="B236" s="29"/>
      <c r="C236" s="29"/>
      <c r="D236" s="33"/>
      <c r="E236" s="33"/>
      <c r="G236" s="29"/>
      <c r="H236" s="29"/>
      <c r="I236" s="29"/>
      <c r="J236" s="29"/>
      <c r="K236" s="29"/>
      <c r="L236" s="29"/>
      <c r="M236" s="29"/>
      <c r="N236" s="29"/>
      <c r="O236" s="29"/>
      <c r="P236" s="29"/>
      <c r="Q236" s="29"/>
      <c r="R236" s="29"/>
      <c r="S236" s="29"/>
      <c r="T236" s="29"/>
      <c r="U236" s="29"/>
      <c r="V236" s="29"/>
      <c r="W236" s="29"/>
      <c r="X236" s="29"/>
    </row>
    <row r="237" spans="1:24" ht="15">
      <c r="A237" s="29"/>
      <c r="B237" s="29"/>
      <c r="C237" s="29"/>
      <c r="D237" s="33"/>
      <c r="E237" s="33"/>
      <c r="G237" s="29"/>
      <c r="H237" s="29"/>
      <c r="I237" s="29"/>
      <c r="J237" s="29"/>
      <c r="K237" s="29"/>
      <c r="L237" s="29"/>
      <c r="M237" s="29"/>
      <c r="N237" s="29"/>
      <c r="O237" s="29"/>
      <c r="P237" s="29"/>
      <c r="Q237" s="29"/>
      <c r="R237" s="29"/>
      <c r="S237" s="29"/>
      <c r="T237" s="29"/>
      <c r="U237" s="29"/>
      <c r="V237" s="29"/>
      <c r="W237" s="29"/>
      <c r="X237" s="29"/>
    </row>
    <row r="238" spans="1:24" ht="15">
      <c r="A238" s="29"/>
      <c r="B238" s="29"/>
      <c r="C238" s="29"/>
      <c r="D238" s="33"/>
      <c r="E238" s="33"/>
      <c r="G238" s="29"/>
      <c r="H238" s="29"/>
      <c r="I238" s="29"/>
      <c r="J238" s="29"/>
      <c r="K238" s="29"/>
      <c r="L238" s="29"/>
      <c r="M238" s="29"/>
      <c r="N238" s="29"/>
      <c r="O238" s="29"/>
      <c r="P238" s="29"/>
      <c r="Q238" s="29"/>
      <c r="R238" s="29"/>
      <c r="S238" s="29"/>
      <c r="T238" s="29"/>
      <c r="U238" s="29"/>
      <c r="V238" s="29"/>
      <c r="W238" s="29"/>
      <c r="X238" s="29"/>
    </row>
    <row r="239" spans="1:24" ht="15">
      <c r="A239" s="29"/>
      <c r="B239" s="29"/>
      <c r="C239" s="29"/>
      <c r="D239" s="33"/>
      <c r="E239" s="33"/>
      <c r="G239" s="29"/>
      <c r="H239" s="29"/>
      <c r="I239" s="29"/>
      <c r="J239" s="29"/>
      <c r="K239" s="29"/>
      <c r="L239" s="29"/>
      <c r="M239" s="29"/>
      <c r="N239" s="29"/>
      <c r="O239" s="29"/>
      <c r="P239" s="29"/>
      <c r="Q239" s="29"/>
      <c r="R239" s="29"/>
      <c r="S239" s="29"/>
      <c r="T239" s="29"/>
      <c r="U239" s="29"/>
      <c r="V239" s="29"/>
      <c r="W239" s="29"/>
      <c r="X239" s="29"/>
    </row>
    <row r="240" spans="1:24" ht="15">
      <c r="A240" s="29"/>
      <c r="B240" s="29"/>
      <c r="C240" s="29"/>
      <c r="D240" s="33"/>
      <c r="E240" s="33"/>
      <c r="G240" s="29"/>
      <c r="H240" s="29"/>
      <c r="I240" s="29"/>
      <c r="J240" s="29"/>
      <c r="K240" s="29"/>
      <c r="L240" s="29"/>
      <c r="M240" s="29"/>
      <c r="N240" s="29"/>
      <c r="O240" s="29"/>
      <c r="P240" s="29"/>
      <c r="Q240" s="29"/>
      <c r="R240" s="29"/>
      <c r="S240" s="29"/>
      <c r="T240" s="29"/>
      <c r="U240" s="29"/>
      <c r="V240" s="29"/>
      <c r="W240" s="29"/>
      <c r="X240" s="29"/>
    </row>
    <row r="241" spans="1:24" ht="15">
      <c r="A241" s="29"/>
      <c r="B241" s="29"/>
      <c r="C241" s="29"/>
      <c r="D241" s="33"/>
      <c r="E241" s="33"/>
      <c r="G241" s="29"/>
      <c r="H241" s="29"/>
      <c r="I241" s="29"/>
      <c r="J241" s="29"/>
      <c r="K241" s="29"/>
      <c r="L241" s="29"/>
      <c r="M241" s="29"/>
      <c r="N241" s="29"/>
      <c r="O241" s="29"/>
      <c r="P241" s="29"/>
      <c r="Q241" s="29"/>
      <c r="R241" s="29"/>
      <c r="S241" s="29"/>
      <c r="T241" s="29"/>
      <c r="U241" s="29"/>
      <c r="V241" s="29"/>
      <c r="W241" s="29"/>
      <c r="X241" s="29"/>
    </row>
    <row r="242" spans="1:24" ht="15">
      <c r="A242" s="29"/>
      <c r="B242" s="29"/>
      <c r="C242" s="29"/>
      <c r="D242" s="33"/>
      <c r="E242" s="33"/>
      <c r="G242" s="29"/>
      <c r="H242" s="29"/>
      <c r="I242" s="29"/>
      <c r="J242" s="29"/>
      <c r="K242" s="29"/>
      <c r="L242" s="29"/>
      <c r="M242" s="29"/>
      <c r="N242" s="29"/>
      <c r="O242" s="29"/>
      <c r="P242" s="29"/>
      <c r="Q242" s="29"/>
      <c r="R242" s="29"/>
      <c r="S242" s="29"/>
      <c r="T242" s="29"/>
      <c r="U242" s="29"/>
      <c r="V242" s="29"/>
      <c r="W242" s="29"/>
      <c r="X242" s="29"/>
    </row>
    <row r="243" spans="1:24" ht="15">
      <c r="A243" s="29"/>
      <c r="B243" s="29"/>
      <c r="C243" s="29"/>
      <c r="D243" s="33"/>
      <c r="E243" s="33"/>
      <c r="G243" s="29"/>
      <c r="H243" s="29"/>
      <c r="I243" s="29"/>
      <c r="J243" s="29"/>
      <c r="K243" s="29"/>
      <c r="L243" s="29"/>
      <c r="M243" s="29"/>
      <c r="N243" s="29"/>
      <c r="O243" s="29"/>
      <c r="P243" s="29"/>
      <c r="Q243" s="29"/>
      <c r="R243" s="29"/>
      <c r="S243" s="29"/>
      <c r="T243" s="29"/>
      <c r="U243" s="29"/>
      <c r="V243" s="29"/>
      <c r="W243" s="29"/>
      <c r="X243" s="29"/>
    </row>
    <row r="244" spans="1:24" ht="15">
      <c r="A244" s="29"/>
      <c r="B244" s="29"/>
      <c r="C244" s="29"/>
      <c r="D244" s="33"/>
      <c r="E244" s="33"/>
      <c r="G244" s="29"/>
      <c r="H244" s="29"/>
      <c r="I244" s="29"/>
      <c r="J244" s="29"/>
      <c r="K244" s="29"/>
      <c r="L244" s="29"/>
      <c r="M244" s="29"/>
      <c r="N244" s="29"/>
      <c r="O244" s="29"/>
      <c r="P244" s="29"/>
      <c r="Q244" s="29"/>
      <c r="R244" s="29"/>
      <c r="S244" s="29"/>
      <c r="T244" s="29"/>
      <c r="U244" s="29"/>
      <c r="V244" s="29"/>
      <c r="W244" s="29"/>
      <c r="X244" s="29"/>
    </row>
    <row r="245" spans="1:24" ht="15">
      <c r="A245" s="29"/>
      <c r="B245" s="29"/>
      <c r="C245" s="29"/>
      <c r="D245" s="33"/>
      <c r="E245" s="33"/>
      <c r="G245" s="29"/>
      <c r="H245" s="29"/>
      <c r="I245" s="29"/>
      <c r="J245" s="29"/>
      <c r="K245" s="29"/>
      <c r="L245" s="29"/>
      <c r="M245" s="29"/>
      <c r="N245" s="29"/>
      <c r="O245" s="29"/>
      <c r="P245" s="29"/>
      <c r="Q245" s="29"/>
      <c r="R245" s="29"/>
      <c r="S245" s="29"/>
      <c r="T245" s="29"/>
      <c r="U245" s="29"/>
      <c r="V245" s="29"/>
      <c r="W245" s="29"/>
      <c r="X245" s="29"/>
    </row>
    <row r="246" spans="1:24" ht="15">
      <c r="A246" s="29"/>
      <c r="B246" s="29"/>
      <c r="C246" s="29"/>
      <c r="D246" s="33"/>
      <c r="E246" s="33"/>
      <c r="G246" s="29"/>
      <c r="H246" s="29"/>
      <c r="I246" s="29"/>
      <c r="J246" s="29"/>
      <c r="K246" s="29"/>
      <c r="L246" s="29"/>
      <c r="M246" s="29"/>
      <c r="N246" s="29"/>
      <c r="O246" s="29"/>
      <c r="P246" s="29"/>
      <c r="Q246" s="29"/>
      <c r="R246" s="29"/>
      <c r="S246" s="29"/>
      <c r="T246" s="29"/>
      <c r="U246" s="29"/>
      <c r="V246" s="29"/>
      <c r="W246" s="29"/>
      <c r="X246" s="29"/>
    </row>
    <row r="247" spans="1:24" ht="15">
      <c r="A247" s="29"/>
      <c r="B247" s="29"/>
      <c r="C247" s="29"/>
      <c r="D247" s="33"/>
      <c r="E247" s="33"/>
      <c r="G247" s="29"/>
      <c r="H247" s="29"/>
      <c r="I247" s="29"/>
      <c r="J247" s="29"/>
      <c r="K247" s="29"/>
      <c r="L247" s="29"/>
      <c r="M247" s="29"/>
      <c r="N247" s="29"/>
      <c r="O247" s="29"/>
      <c r="P247" s="29"/>
      <c r="Q247" s="29"/>
      <c r="R247" s="29"/>
      <c r="S247" s="29"/>
      <c r="T247" s="29"/>
      <c r="U247" s="29"/>
      <c r="V247" s="29"/>
      <c r="W247" s="29"/>
      <c r="X247" s="29"/>
    </row>
    <row r="248" spans="1:24" ht="15">
      <c r="A248" s="29"/>
      <c r="B248" s="29"/>
      <c r="C248" s="29"/>
      <c r="D248" s="33"/>
      <c r="E248" s="33"/>
      <c r="G248" s="29"/>
      <c r="H248" s="29"/>
      <c r="I248" s="29"/>
      <c r="J248" s="29"/>
      <c r="K248" s="29"/>
      <c r="L248" s="29"/>
      <c r="M248" s="29"/>
      <c r="N248" s="29"/>
      <c r="O248" s="29"/>
      <c r="P248" s="29"/>
      <c r="Q248" s="29"/>
      <c r="R248" s="29"/>
      <c r="S248" s="29"/>
      <c r="T248" s="29"/>
      <c r="U248" s="29"/>
      <c r="V248" s="29"/>
      <c r="W248" s="29"/>
      <c r="X248" s="29"/>
    </row>
    <row r="249" spans="1:24" ht="15">
      <c r="A249" s="29"/>
      <c r="B249" s="29"/>
      <c r="C249" s="29"/>
      <c r="D249" s="33"/>
      <c r="E249" s="33"/>
      <c r="G249" s="29"/>
      <c r="H249" s="29"/>
      <c r="I249" s="29"/>
      <c r="J249" s="29"/>
      <c r="K249" s="29"/>
      <c r="L249" s="29"/>
      <c r="M249" s="29"/>
      <c r="N249" s="29"/>
      <c r="O249" s="29"/>
      <c r="P249" s="29"/>
      <c r="Q249" s="29"/>
      <c r="R249" s="29"/>
      <c r="S249" s="29"/>
      <c r="T249" s="29"/>
      <c r="U249" s="29"/>
      <c r="V249" s="29"/>
      <c r="W249" s="29"/>
      <c r="X249" s="29"/>
    </row>
    <row r="250" spans="1:24" ht="15">
      <c r="A250" s="29"/>
      <c r="B250" s="29"/>
      <c r="C250" s="29"/>
      <c r="D250" s="33"/>
      <c r="E250" s="33"/>
      <c r="G250" s="29"/>
      <c r="H250" s="29"/>
      <c r="I250" s="29"/>
      <c r="J250" s="29"/>
      <c r="K250" s="29"/>
      <c r="L250" s="29"/>
      <c r="M250" s="29"/>
      <c r="N250" s="29"/>
      <c r="O250" s="29"/>
      <c r="P250" s="29"/>
      <c r="Q250" s="29"/>
      <c r="R250" s="29"/>
      <c r="S250" s="29"/>
      <c r="T250" s="29"/>
      <c r="U250" s="29"/>
      <c r="V250" s="29"/>
      <c r="W250" s="29"/>
      <c r="X250" s="29"/>
    </row>
    <row r="251" spans="1:24" ht="15">
      <c r="A251" s="29"/>
      <c r="B251" s="29"/>
      <c r="C251" s="29"/>
      <c r="D251" s="33"/>
      <c r="E251" s="33"/>
      <c r="G251" s="29"/>
      <c r="H251" s="29"/>
      <c r="I251" s="29"/>
      <c r="J251" s="29"/>
      <c r="K251" s="29"/>
      <c r="L251" s="29"/>
      <c r="M251" s="29"/>
      <c r="N251" s="29"/>
      <c r="O251" s="29"/>
      <c r="P251" s="29"/>
      <c r="Q251" s="29"/>
      <c r="R251" s="29"/>
      <c r="S251" s="29"/>
      <c r="T251" s="29"/>
      <c r="U251" s="29"/>
      <c r="V251" s="29"/>
      <c r="W251" s="29"/>
      <c r="X251" s="29"/>
    </row>
    <row r="252" spans="1:24" ht="15">
      <c r="A252" s="29"/>
      <c r="B252" s="29"/>
      <c r="C252" s="29"/>
      <c r="D252" s="33"/>
      <c r="E252" s="33"/>
      <c r="G252" s="29"/>
      <c r="H252" s="29"/>
      <c r="I252" s="29"/>
      <c r="J252" s="29"/>
      <c r="K252" s="29"/>
      <c r="L252" s="29"/>
      <c r="M252" s="29"/>
      <c r="N252" s="29"/>
      <c r="O252" s="29"/>
      <c r="P252" s="29"/>
      <c r="Q252" s="29"/>
      <c r="R252" s="29"/>
      <c r="S252" s="29"/>
      <c r="T252" s="29"/>
      <c r="U252" s="29"/>
      <c r="V252" s="29"/>
      <c r="W252" s="29"/>
      <c r="X252" s="29"/>
    </row>
    <row r="253" spans="1:24" ht="15">
      <c r="A253" s="29"/>
      <c r="B253" s="29"/>
      <c r="C253" s="29"/>
      <c r="D253" s="33"/>
      <c r="E253" s="33"/>
      <c r="G253" s="29"/>
      <c r="H253" s="29"/>
      <c r="I253" s="29"/>
      <c r="J253" s="29"/>
      <c r="K253" s="29"/>
      <c r="L253" s="29"/>
      <c r="M253" s="29"/>
      <c r="N253" s="29"/>
      <c r="O253" s="29"/>
      <c r="P253" s="29"/>
      <c r="Q253" s="29"/>
      <c r="R253" s="29"/>
      <c r="S253" s="29"/>
      <c r="T253" s="29"/>
      <c r="U253" s="29"/>
      <c r="V253" s="29"/>
      <c r="W253" s="29"/>
      <c r="X253" s="29"/>
    </row>
    <row r="254" spans="1:24" ht="15">
      <c r="A254" s="29"/>
      <c r="B254" s="29"/>
      <c r="C254" s="29"/>
      <c r="D254" s="33"/>
      <c r="E254" s="33"/>
      <c r="G254" s="29"/>
      <c r="H254" s="29"/>
      <c r="I254" s="29"/>
      <c r="J254" s="29"/>
      <c r="K254" s="29"/>
      <c r="L254" s="29"/>
      <c r="M254" s="29"/>
      <c r="N254" s="29"/>
      <c r="O254" s="29"/>
      <c r="P254" s="29"/>
      <c r="Q254" s="29"/>
      <c r="R254" s="29"/>
      <c r="S254" s="29"/>
      <c r="T254" s="29"/>
      <c r="U254" s="29"/>
      <c r="V254" s="29"/>
      <c r="W254" s="29"/>
      <c r="X254" s="29"/>
    </row>
    <row r="255" spans="1:24" ht="15">
      <c r="A255" s="29"/>
      <c r="B255" s="29"/>
      <c r="C255" s="29"/>
      <c r="D255" s="33"/>
      <c r="E255" s="33"/>
      <c r="G255" s="29"/>
      <c r="H255" s="29"/>
      <c r="I255" s="29"/>
      <c r="J255" s="29"/>
      <c r="K255" s="29"/>
      <c r="L255" s="29"/>
      <c r="M255" s="29"/>
      <c r="N255" s="29"/>
      <c r="O255" s="29"/>
      <c r="P255" s="29"/>
      <c r="Q255" s="29"/>
      <c r="R255" s="29"/>
      <c r="S255" s="29"/>
      <c r="T255" s="29"/>
      <c r="U255" s="29"/>
      <c r="V255" s="29"/>
      <c r="W255" s="29"/>
      <c r="X255" s="29"/>
    </row>
    <row r="256" spans="1:24" ht="15">
      <c r="A256" s="29"/>
      <c r="B256" s="29"/>
      <c r="C256" s="29"/>
      <c r="D256" s="33"/>
      <c r="E256" s="33"/>
      <c r="G256" s="29"/>
      <c r="H256" s="29"/>
      <c r="I256" s="29"/>
      <c r="J256" s="29"/>
      <c r="K256" s="29"/>
      <c r="L256" s="29"/>
      <c r="M256" s="29"/>
      <c r="N256" s="29"/>
      <c r="O256" s="29"/>
      <c r="P256" s="29"/>
      <c r="Q256" s="29"/>
      <c r="R256" s="29"/>
      <c r="S256" s="29"/>
      <c r="T256" s="29"/>
      <c r="U256" s="29"/>
      <c r="V256" s="29"/>
      <c r="W256" s="29"/>
      <c r="X256" s="29"/>
    </row>
    <row r="257" spans="1:24" ht="15">
      <c r="A257" s="29"/>
      <c r="B257" s="29"/>
      <c r="C257" s="29"/>
      <c r="D257" s="33"/>
      <c r="E257" s="33"/>
      <c r="G257" s="29"/>
      <c r="H257" s="29"/>
      <c r="I257" s="29"/>
      <c r="J257" s="29"/>
      <c r="K257" s="29"/>
      <c r="L257" s="29"/>
      <c r="M257" s="29"/>
      <c r="N257" s="29"/>
      <c r="O257" s="29"/>
      <c r="P257" s="29"/>
      <c r="Q257" s="29"/>
      <c r="R257" s="29"/>
      <c r="S257" s="29"/>
      <c r="T257" s="29"/>
      <c r="U257" s="29"/>
      <c r="V257" s="29"/>
      <c r="W257" s="29"/>
      <c r="X257" s="29"/>
    </row>
    <row r="258" spans="1:24" ht="15">
      <c r="A258" s="29"/>
      <c r="B258" s="29"/>
      <c r="C258" s="29"/>
      <c r="D258" s="33"/>
      <c r="E258" s="33"/>
      <c r="G258" s="29"/>
      <c r="H258" s="29"/>
      <c r="I258" s="29"/>
      <c r="J258" s="29"/>
      <c r="K258" s="29"/>
      <c r="L258" s="29"/>
      <c r="M258" s="29"/>
      <c r="N258" s="29"/>
      <c r="O258" s="29"/>
      <c r="P258" s="29"/>
      <c r="Q258" s="29"/>
      <c r="R258" s="29"/>
      <c r="S258" s="29"/>
      <c r="T258" s="29"/>
      <c r="U258" s="29"/>
      <c r="V258" s="29"/>
      <c r="W258" s="29"/>
      <c r="X258" s="29"/>
    </row>
    <row r="259" spans="1:24" ht="15">
      <c r="A259" s="29"/>
      <c r="B259" s="29"/>
      <c r="C259" s="29"/>
      <c r="D259" s="33"/>
      <c r="E259" s="33"/>
      <c r="G259" s="29"/>
      <c r="H259" s="29"/>
      <c r="I259" s="29"/>
      <c r="J259" s="29"/>
      <c r="K259" s="29"/>
      <c r="L259" s="29"/>
      <c r="M259" s="29"/>
      <c r="N259" s="29"/>
      <c r="O259" s="29"/>
      <c r="P259" s="29"/>
      <c r="Q259" s="29"/>
      <c r="R259" s="29"/>
      <c r="S259" s="29"/>
      <c r="T259" s="29"/>
      <c r="U259" s="29"/>
      <c r="V259" s="29"/>
      <c r="W259" s="29"/>
      <c r="X259" s="29"/>
    </row>
    <row r="260" spans="1:24" ht="15">
      <c r="A260" s="29"/>
      <c r="B260" s="29"/>
      <c r="C260" s="29"/>
      <c r="D260" s="33"/>
      <c r="E260" s="33"/>
      <c r="G260" s="29"/>
      <c r="H260" s="29"/>
      <c r="I260" s="29"/>
      <c r="J260" s="29"/>
      <c r="K260" s="29"/>
      <c r="L260" s="29"/>
      <c r="M260" s="29"/>
      <c r="N260" s="29"/>
      <c r="O260" s="29"/>
      <c r="P260" s="29"/>
      <c r="Q260" s="29"/>
      <c r="R260" s="29"/>
      <c r="S260" s="29"/>
      <c r="T260" s="29"/>
      <c r="U260" s="29"/>
      <c r="V260" s="29"/>
      <c r="W260" s="29"/>
      <c r="X260" s="29"/>
    </row>
    <row r="261" spans="1:24" ht="15">
      <c r="A261" s="29"/>
      <c r="B261" s="29"/>
      <c r="C261" s="29"/>
      <c r="D261" s="33"/>
      <c r="E261" s="33"/>
      <c r="G261" s="29"/>
      <c r="H261" s="29"/>
      <c r="I261" s="29"/>
      <c r="J261" s="29"/>
      <c r="K261" s="29"/>
      <c r="L261" s="29"/>
      <c r="M261" s="29"/>
      <c r="N261" s="29"/>
      <c r="O261" s="29"/>
      <c r="P261" s="29"/>
      <c r="Q261" s="29"/>
      <c r="R261" s="29"/>
      <c r="S261" s="29"/>
      <c r="T261" s="29"/>
      <c r="U261" s="29"/>
      <c r="V261" s="29"/>
      <c r="W261" s="29"/>
      <c r="X261" s="29"/>
    </row>
    <row r="262" spans="1:24" ht="15">
      <c r="A262" s="29"/>
      <c r="B262" s="29"/>
      <c r="C262" s="29"/>
      <c r="D262" s="33"/>
      <c r="E262" s="33"/>
      <c r="G262" s="29"/>
      <c r="H262" s="29"/>
      <c r="I262" s="29"/>
      <c r="J262" s="29"/>
      <c r="K262" s="29"/>
      <c r="L262" s="29"/>
      <c r="M262" s="29"/>
      <c r="N262" s="29"/>
      <c r="O262" s="29"/>
      <c r="P262" s="29"/>
      <c r="Q262" s="29"/>
      <c r="R262" s="29"/>
      <c r="S262" s="29"/>
      <c r="T262" s="29"/>
      <c r="U262" s="29"/>
      <c r="V262" s="29"/>
      <c r="W262" s="29"/>
      <c r="X262" s="29"/>
    </row>
    <row r="263" spans="1:24" ht="15">
      <c r="A263" s="29"/>
      <c r="B263" s="29"/>
      <c r="C263" s="29"/>
      <c r="D263" s="33"/>
      <c r="E263" s="33"/>
      <c r="G263" s="29"/>
      <c r="H263" s="29"/>
      <c r="I263" s="29"/>
      <c r="J263" s="29"/>
      <c r="K263" s="29"/>
      <c r="L263" s="29"/>
      <c r="M263" s="29"/>
      <c r="N263" s="29"/>
      <c r="O263" s="29"/>
      <c r="P263" s="29"/>
      <c r="Q263" s="29"/>
      <c r="R263" s="29"/>
      <c r="S263" s="29"/>
      <c r="T263" s="29"/>
      <c r="U263" s="29"/>
      <c r="V263" s="29"/>
      <c r="W263" s="29"/>
      <c r="X263" s="29"/>
    </row>
    <row r="264" spans="1:24" ht="15">
      <c r="A264" s="29"/>
      <c r="B264" s="29"/>
      <c r="C264" s="29"/>
      <c r="D264" s="33"/>
      <c r="E264" s="33"/>
      <c r="G264" s="29"/>
      <c r="H264" s="29"/>
      <c r="I264" s="29"/>
      <c r="J264" s="29"/>
      <c r="K264" s="29"/>
      <c r="L264" s="29"/>
      <c r="M264" s="29"/>
      <c r="N264" s="29"/>
      <c r="O264" s="29"/>
      <c r="P264" s="29"/>
      <c r="Q264" s="29"/>
      <c r="R264" s="29"/>
      <c r="S264" s="29"/>
      <c r="T264" s="29"/>
      <c r="U264" s="29"/>
      <c r="V264" s="29"/>
      <c r="W264" s="29"/>
      <c r="X264" s="29"/>
    </row>
    <row r="265" spans="1:24" ht="15">
      <c r="A265" s="29"/>
      <c r="B265" s="29"/>
      <c r="C265" s="29"/>
      <c r="D265" s="33"/>
      <c r="E265" s="33"/>
      <c r="G265" s="29"/>
      <c r="H265" s="29"/>
      <c r="I265" s="29"/>
      <c r="J265" s="29"/>
      <c r="K265" s="29"/>
      <c r="L265" s="29"/>
      <c r="M265" s="29"/>
      <c r="N265" s="29"/>
      <c r="O265" s="29"/>
      <c r="P265" s="29"/>
      <c r="Q265" s="29"/>
      <c r="R265" s="29"/>
      <c r="S265" s="29"/>
      <c r="T265" s="29"/>
      <c r="U265" s="29"/>
      <c r="V265" s="29"/>
      <c r="W265" s="29"/>
      <c r="X265" s="29"/>
    </row>
    <row r="266" spans="1:24" ht="15">
      <c r="A266" s="29"/>
      <c r="B266" s="29"/>
      <c r="C266" s="29"/>
      <c r="D266" s="33"/>
      <c r="E266" s="33"/>
      <c r="G266" s="29"/>
      <c r="H266" s="29"/>
      <c r="I266" s="29"/>
      <c r="J266" s="29"/>
      <c r="K266" s="29"/>
      <c r="L266" s="29"/>
      <c r="M266" s="29"/>
      <c r="N266" s="29"/>
      <c r="O266" s="29"/>
      <c r="P266" s="29"/>
      <c r="Q266" s="29"/>
      <c r="R266" s="29"/>
      <c r="S266" s="29"/>
      <c r="T266" s="29"/>
      <c r="U266" s="29"/>
      <c r="V266" s="29"/>
      <c r="W266" s="29"/>
      <c r="X266" s="29"/>
    </row>
    <row r="267" spans="1:24" ht="15">
      <c r="A267" s="29"/>
      <c r="B267" s="29"/>
      <c r="C267" s="29"/>
      <c r="D267" s="33"/>
      <c r="E267" s="33"/>
      <c r="G267" s="29"/>
      <c r="H267" s="29"/>
      <c r="I267" s="29"/>
      <c r="J267" s="29"/>
      <c r="K267" s="29"/>
      <c r="L267" s="29"/>
      <c r="M267" s="29"/>
      <c r="N267" s="29"/>
      <c r="O267" s="29"/>
      <c r="P267" s="29"/>
      <c r="Q267" s="29"/>
      <c r="R267" s="29"/>
      <c r="S267" s="29"/>
      <c r="T267" s="29"/>
      <c r="U267" s="29"/>
      <c r="V267" s="29"/>
      <c r="W267" s="29"/>
      <c r="X267" s="29"/>
    </row>
    <row r="268" spans="1:24" ht="15">
      <c r="A268" s="29"/>
      <c r="B268" s="29"/>
      <c r="C268" s="29"/>
      <c r="D268" s="33"/>
      <c r="E268" s="33"/>
      <c r="G268" s="29"/>
      <c r="H268" s="29"/>
      <c r="I268" s="29"/>
      <c r="J268" s="29"/>
      <c r="K268" s="29"/>
      <c r="L268" s="29"/>
      <c r="M268" s="29"/>
      <c r="N268" s="29"/>
      <c r="O268" s="29"/>
      <c r="P268" s="29"/>
      <c r="Q268" s="29"/>
      <c r="R268" s="29"/>
      <c r="S268" s="29"/>
      <c r="T268" s="29"/>
      <c r="U268" s="29"/>
      <c r="V268" s="29"/>
      <c r="W268" s="29"/>
      <c r="X268" s="29"/>
    </row>
    <row r="269" spans="1:24" ht="15">
      <c r="A269" s="29"/>
      <c r="B269" s="29"/>
      <c r="C269" s="29"/>
      <c r="D269" s="33"/>
      <c r="E269" s="33"/>
      <c r="G269" s="29"/>
      <c r="H269" s="29"/>
      <c r="I269" s="29"/>
      <c r="J269" s="29"/>
      <c r="K269" s="29"/>
      <c r="L269" s="29"/>
      <c r="M269" s="29"/>
      <c r="N269" s="29"/>
      <c r="O269" s="29"/>
      <c r="P269" s="29"/>
      <c r="Q269" s="29"/>
      <c r="R269" s="29"/>
      <c r="S269" s="29"/>
      <c r="T269" s="29"/>
      <c r="U269" s="29"/>
      <c r="V269" s="29"/>
      <c r="W269" s="29"/>
      <c r="X269" s="29"/>
    </row>
    <row r="270" spans="1:24" ht="15">
      <c r="A270" s="29"/>
      <c r="B270" s="29"/>
      <c r="C270" s="29"/>
      <c r="D270" s="33"/>
      <c r="E270" s="33"/>
      <c r="G270" s="29"/>
      <c r="H270" s="29"/>
      <c r="I270" s="29"/>
      <c r="J270" s="29"/>
      <c r="K270" s="29"/>
      <c r="L270" s="29"/>
      <c r="M270" s="29"/>
      <c r="N270" s="29"/>
      <c r="O270" s="29"/>
      <c r="P270" s="29"/>
      <c r="Q270" s="29"/>
      <c r="R270" s="29"/>
      <c r="S270" s="29"/>
      <c r="T270" s="29"/>
      <c r="U270" s="29"/>
      <c r="V270" s="29"/>
      <c r="W270" s="29"/>
      <c r="X270" s="29"/>
    </row>
    <row r="271" spans="1:24" ht="15">
      <c r="A271" s="29"/>
      <c r="B271" s="29"/>
      <c r="C271" s="29"/>
      <c r="D271" s="33"/>
      <c r="E271" s="33"/>
      <c r="G271" s="29"/>
      <c r="H271" s="29"/>
      <c r="I271" s="29"/>
      <c r="J271" s="29"/>
      <c r="K271" s="29"/>
      <c r="L271" s="29"/>
      <c r="M271" s="29"/>
      <c r="N271" s="29"/>
      <c r="O271" s="29"/>
      <c r="P271" s="29"/>
      <c r="Q271" s="29"/>
      <c r="R271" s="29"/>
      <c r="S271" s="29"/>
      <c r="T271" s="29"/>
      <c r="U271" s="29"/>
      <c r="V271" s="29"/>
      <c r="W271" s="29"/>
      <c r="X271" s="29"/>
    </row>
    <row r="272" spans="1:24" ht="15">
      <c r="A272" s="29"/>
      <c r="B272" s="29"/>
      <c r="C272" s="29"/>
      <c r="D272" s="33"/>
      <c r="E272" s="33"/>
      <c r="G272" s="29"/>
      <c r="H272" s="29"/>
      <c r="I272" s="29"/>
      <c r="J272" s="29"/>
      <c r="K272" s="29"/>
      <c r="L272" s="29"/>
      <c r="M272" s="29"/>
      <c r="N272" s="29"/>
      <c r="O272" s="29"/>
      <c r="P272" s="29"/>
      <c r="Q272" s="29"/>
      <c r="R272" s="29"/>
      <c r="S272" s="29"/>
      <c r="T272" s="29"/>
      <c r="U272" s="29"/>
      <c r="V272" s="29"/>
      <c r="W272" s="29"/>
      <c r="X272" s="29"/>
    </row>
    <row r="273" spans="1:24" ht="15">
      <c r="A273" s="29"/>
      <c r="B273" s="29"/>
      <c r="C273" s="29"/>
      <c r="D273" s="33"/>
      <c r="E273" s="33"/>
      <c r="G273" s="29"/>
      <c r="H273" s="29"/>
      <c r="I273" s="29"/>
      <c r="J273" s="29"/>
      <c r="K273" s="29"/>
      <c r="L273" s="29"/>
      <c r="M273" s="29"/>
      <c r="N273" s="29"/>
      <c r="O273" s="29"/>
      <c r="P273" s="29"/>
      <c r="Q273" s="29"/>
      <c r="R273" s="29"/>
      <c r="S273" s="29"/>
      <c r="T273" s="29"/>
      <c r="U273" s="29"/>
      <c r="V273" s="29"/>
      <c r="W273" s="29"/>
      <c r="X273" s="29"/>
    </row>
    <row r="274" spans="1:24" ht="15">
      <c r="A274" s="29"/>
      <c r="B274" s="29"/>
      <c r="C274" s="29"/>
      <c r="D274" s="33"/>
      <c r="E274" s="33"/>
      <c r="G274" s="29"/>
      <c r="H274" s="29"/>
      <c r="I274" s="29"/>
      <c r="J274" s="29"/>
      <c r="K274" s="29"/>
      <c r="L274" s="29"/>
      <c r="M274" s="29"/>
      <c r="N274" s="29"/>
      <c r="O274" s="29"/>
      <c r="P274" s="29"/>
      <c r="Q274" s="29"/>
      <c r="R274" s="29"/>
      <c r="S274" s="29"/>
      <c r="T274" s="29"/>
      <c r="U274" s="29"/>
      <c r="V274" s="29"/>
      <c r="W274" s="29"/>
      <c r="X274" s="29"/>
    </row>
    <row r="275" spans="1:24" ht="15">
      <c r="A275" s="29"/>
      <c r="B275" s="29"/>
      <c r="C275" s="29"/>
      <c r="D275" s="33"/>
      <c r="E275" s="33"/>
      <c r="G275" s="29"/>
      <c r="H275" s="29"/>
      <c r="I275" s="29"/>
      <c r="J275" s="29"/>
      <c r="K275" s="29"/>
      <c r="L275" s="29"/>
      <c r="M275" s="29"/>
      <c r="N275" s="29"/>
      <c r="O275" s="29"/>
      <c r="P275" s="29"/>
      <c r="Q275" s="29"/>
      <c r="R275" s="29"/>
      <c r="S275" s="29"/>
      <c r="T275" s="29"/>
      <c r="U275" s="29"/>
      <c r="V275" s="29"/>
      <c r="W275" s="29"/>
      <c r="X275" s="29"/>
    </row>
    <row r="276" spans="1:24" ht="15">
      <c r="A276" s="29"/>
      <c r="B276" s="29"/>
      <c r="C276" s="29"/>
      <c r="D276" s="33"/>
      <c r="E276" s="33"/>
      <c r="G276" s="29"/>
      <c r="H276" s="29"/>
      <c r="I276" s="29"/>
      <c r="J276" s="29"/>
      <c r="K276" s="29"/>
      <c r="L276" s="29"/>
      <c r="M276" s="29"/>
      <c r="N276" s="29"/>
      <c r="O276" s="29"/>
      <c r="P276" s="29"/>
      <c r="Q276" s="29"/>
      <c r="R276" s="29"/>
      <c r="S276" s="29"/>
      <c r="T276" s="29"/>
      <c r="U276" s="29"/>
      <c r="V276" s="29"/>
      <c r="W276" s="29"/>
      <c r="X276" s="29"/>
    </row>
    <row r="277" spans="1:24" ht="15">
      <c r="A277" s="29"/>
      <c r="B277" s="29"/>
      <c r="C277" s="29"/>
      <c r="D277" s="33"/>
      <c r="E277" s="33"/>
      <c r="G277" s="29"/>
      <c r="H277" s="29"/>
      <c r="I277" s="29"/>
      <c r="J277" s="29"/>
      <c r="K277" s="29"/>
      <c r="L277" s="29"/>
      <c r="M277" s="29"/>
      <c r="N277" s="29"/>
      <c r="O277" s="29"/>
      <c r="P277" s="29"/>
      <c r="Q277" s="29"/>
      <c r="R277" s="29"/>
      <c r="S277" s="29"/>
      <c r="T277" s="29"/>
      <c r="U277" s="29"/>
      <c r="V277" s="29"/>
      <c r="W277" s="29"/>
      <c r="X277" s="29"/>
    </row>
    <row r="278" spans="1:24" ht="15">
      <c r="A278" s="29"/>
      <c r="B278" s="29"/>
      <c r="C278" s="29"/>
      <c r="D278" s="33"/>
      <c r="E278" s="33"/>
      <c r="G278" s="29"/>
      <c r="H278" s="29"/>
      <c r="I278" s="29"/>
      <c r="J278" s="29"/>
      <c r="K278" s="29"/>
      <c r="L278" s="29"/>
      <c r="M278" s="29"/>
      <c r="N278" s="29"/>
      <c r="O278" s="29"/>
      <c r="P278" s="29"/>
      <c r="Q278" s="29"/>
      <c r="R278" s="29"/>
      <c r="S278" s="29"/>
      <c r="T278" s="29"/>
      <c r="U278" s="29"/>
      <c r="V278" s="29"/>
      <c r="W278" s="29"/>
      <c r="X278" s="29"/>
    </row>
    <row r="279" spans="1:24" ht="15">
      <c r="A279" s="29"/>
      <c r="B279" s="29"/>
      <c r="C279" s="29"/>
      <c r="D279" s="33"/>
      <c r="E279" s="33"/>
      <c r="G279" s="29"/>
      <c r="H279" s="29"/>
      <c r="I279" s="29"/>
      <c r="J279" s="29"/>
      <c r="K279" s="29"/>
      <c r="L279" s="29"/>
      <c r="M279" s="29"/>
      <c r="N279" s="29"/>
      <c r="O279" s="29"/>
      <c r="P279" s="29"/>
      <c r="Q279" s="29"/>
      <c r="R279" s="29"/>
      <c r="S279" s="29"/>
      <c r="T279" s="29"/>
      <c r="U279" s="29"/>
      <c r="V279" s="29"/>
      <c r="W279" s="29"/>
      <c r="X279" s="29"/>
    </row>
    <row r="280" spans="1:24" ht="15">
      <c r="A280" s="29"/>
      <c r="B280" s="29"/>
      <c r="C280" s="29"/>
      <c r="D280" s="33"/>
      <c r="E280" s="33"/>
      <c r="G280" s="29"/>
      <c r="H280" s="29"/>
      <c r="I280" s="29"/>
      <c r="J280" s="29"/>
      <c r="K280" s="29"/>
      <c r="L280" s="29"/>
      <c r="M280" s="29"/>
      <c r="N280" s="29"/>
      <c r="O280" s="29"/>
      <c r="P280" s="29"/>
      <c r="Q280" s="29"/>
      <c r="R280" s="29"/>
      <c r="S280" s="29"/>
      <c r="T280" s="29"/>
      <c r="U280" s="29"/>
      <c r="V280" s="29"/>
      <c r="W280" s="29"/>
      <c r="X280" s="29"/>
    </row>
    <row r="281" spans="1:24" ht="15">
      <c r="A281" s="29"/>
      <c r="B281" s="29"/>
      <c r="C281" s="29"/>
      <c r="D281" s="33"/>
      <c r="E281" s="33"/>
      <c r="G281" s="29"/>
      <c r="H281" s="29"/>
      <c r="I281" s="29"/>
      <c r="J281" s="29"/>
      <c r="K281" s="29"/>
      <c r="L281" s="29"/>
      <c r="M281" s="29"/>
      <c r="N281" s="29"/>
      <c r="O281" s="29"/>
      <c r="P281" s="29"/>
      <c r="Q281" s="29"/>
      <c r="R281" s="29"/>
      <c r="S281" s="29"/>
      <c r="T281" s="29"/>
      <c r="U281" s="29"/>
      <c r="V281" s="29"/>
      <c r="W281" s="29"/>
      <c r="X281" s="29"/>
    </row>
    <row r="282" spans="1:24" ht="15">
      <c r="A282" s="29"/>
      <c r="B282" s="29"/>
      <c r="C282" s="29"/>
      <c r="D282" s="33"/>
      <c r="E282" s="33"/>
      <c r="G282" s="29"/>
      <c r="H282" s="29"/>
      <c r="I282" s="29"/>
      <c r="J282" s="29"/>
      <c r="K282" s="29"/>
      <c r="L282" s="29"/>
      <c r="M282" s="29"/>
      <c r="N282" s="29"/>
      <c r="O282" s="29"/>
      <c r="P282" s="29"/>
      <c r="Q282" s="29"/>
      <c r="R282" s="29"/>
      <c r="S282" s="29"/>
      <c r="T282" s="29"/>
      <c r="U282" s="29"/>
      <c r="V282" s="29"/>
      <c r="W282" s="29"/>
      <c r="X282" s="29"/>
    </row>
    <row r="283" spans="1:24" ht="15">
      <c r="A283" s="29"/>
      <c r="B283" s="29"/>
      <c r="C283" s="29"/>
      <c r="D283" s="33"/>
      <c r="E283" s="33"/>
      <c r="G283" s="29"/>
      <c r="H283" s="29"/>
      <c r="I283" s="29"/>
      <c r="J283" s="29"/>
      <c r="K283" s="29"/>
      <c r="L283" s="29"/>
      <c r="M283" s="29"/>
      <c r="N283" s="29"/>
      <c r="O283" s="29"/>
      <c r="P283" s="29"/>
      <c r="Q283" s="29"/>
      <c r="R283" s="29"/>
      <c r="S283" s="29"/>
      <c r="T283" s="29"/>
      <c r="U283" s="29"/>
      <c r="V283" s="29"/>
      <c r="W283" s="29"/>
      <c r="X283" s="29"/>
    </row>
    <row r="284" spans="1:24" ht="15">
      <c r="A284" s="29"/>
      <c r="B284" s="29"/>
      <c r="C284" s="29"/>
      <c r="D284" s="33"/>
      <c r="E284" s="33"/>
      <c r="G284" s="29"/>
      <c r="H284" s="29"/>
      <c r="I284" s="29"/>
      <c r="J284" s="29"/>
      <c r="K284" s="29"/>
      <c r="L284" s="29"/>
      <c r="M284" s="29"/>
      <c r="N284" s="29"/>
      <c r="O284" s="29"/>
      <c r="P284" s="29"/>
      <c r="Q284" s="29"/>
      <c r="R284" s="29"/>
      <c r="S284" s="29"/>
      <c r="T284" s="29"/>
      <c r="U284" s="29"/>
      <c r="V284" s="29"/>
      <c r="W284" s="29"/>
      <c r="X284" s="29"/>
    </row>
    <row r="285" spans="1:24" ht="15">
      <c r="A285" s="29"/>
      <c r="B285" s="29"/>
      <c r="C285" s="29"/>
      <c r="D285" s="33"/>
      <c r="E285" s="33"/>
      <c r="G285" s="29"/>
      <c r="H285" s="29"/>
      <c r="I285" s="29"/>
      <c r="J285" s="29"/>
      <c r="K285" s="29"/>
      <c r="L285" s="29"/>
      <c r="M285" s="29"/>
      <c r="N285" s="29"/>
      <c r="O285" s="29"/>
      <c r="P285" s="29"/>
      <c r="Q285" s="29"/>
      <c r="R285" s="29"/>
      <c r="S285" s="29"/>
      <c r="T285" s="29"/>
      <c r="U285" s="29"/>
      <c r="V285" s="29"/>
      <c r="W285" s="29"/>
      <c r="X285" s="29"/>
    </row>
    <row r="286" spans="1:24" ht="15">
      <c r="A286" s="29"/>
      <c r="B286" s="29"/>
      <c r="C286" s="29"/>
      <c r="D286" s="33"/>
      <c r="E286" s="33"/>
      <c r="G286" s="29"/>
      <c r="H286" s="29"/>
      <c r="I286" s="29"/>
      <c r="J286" s="29"/>
      <c r="K286" s="29"/>
      <c r="L286" s="29"/>
      <c r="M286" s="29"/>
      <c r="N286" s="29"/>
      <c r="O286" s="29"/>
      <c r="P286" s="29"/>
      <c r="Q286" s="29"/>
      <c r="R286" s="29"/>
      <c r="S286" s="29"/>
      <c r="T286" s="29"/>
      <c r="U286" s="29"/>
      <c r="V286" s="29"/>
      <c r="W286" s="29"/>
      <c r="X286" s="29"/>
    </row>
    <row r="287" spans="1:24" ht="15">
      <c r="A287" s="29"/>
      <c r="B287" s="29"/>
      <c r="C287" s="29"/>
      <c r="D287" s="33"/>
      <c r="E287" s="33"/>
      <c r="G287" s="29"/>
      <c r="H287" s="29"/>
      <c r="I287" s="29"/>
      <c r="J287" s="29"/>
      <c r="K287" s="29"/>
      <c r="L287" s="29"/>
      <c r="M287" s="29"/>
      <c r="N287" s="29"/>
      <c r="O287" s="29"/>
      <c r="P287" s="29"/>
      <c r="Q287" s="29"/>
      <c r="R287" s="29"/>
      <c r="S287" s="29"/>
      <c r="T287" s="29"/>
      <c r="U287" s="29"/>
      <c r="V287" s="29"/>
      <c r="W287" s="29"/>
      <c r="X287" s="29"/>
    </row>
    <row r="288" spans="1:24" ht="15">
      <c r="A288" s="29"/>
      <c r="B288" s="29"/>
      <c r="C288" s="29"/>
      <c r="D288" s="33"/>
      <c r="E288" s="33"/>
      <c r="G288" s="29"/>
      <c r="H288" s="29"/>
      <c r="I288" s="29"/>
      <c r="J288" s="29"/>
      <c r="K288" s="29"/>
      <c r="L288" s="29"/>
      <c r="M288" s="29"/>
      <c r="N288" s="29"/>
      <c r="O288" s="29"/>
      <c r="P288" s="29"/>
      <c r="Q288" s="29"/>
      <c r="R288" s="29"/>
      <c r="S288" s="29"/>
      <c r="T288" s="29"/>
      <c r="U288" s="29"/>
      <c r="V288" s="29"/>
      <c r="W288" s="29"/>
      <c r="X288" s="29"/>
    </row>
    <row r="289" spans="1:24" ht="15">
      <c r="A289" s="29"/>
      <c r="B289" s="29"/>
      <c r="C289" s="29"/>
      <c r="D289" s="33"/>
      <c r="E289" s="33"/>
      <c r="G289" s="29"/>
      <c r="H289" s="29"/>
      <c r="I289" s="29"/>
      <c r="J289" s="29"/>
      <c r="K289" s="29"/>
      <c r="L289" s="29"/>
      <c r="M289" s="29"/>
      <c r="N289" s="29"/>
      <c r="O289" s="29"/>
      <c r="P289" s="29"/>
      <c r="Q289" s="29"/>
      <c r="R289" s="29"/>
      <c r="S289" s="29"/>
      <c r="T289" s="29"/>
      <c r="U289" s="29"/>
      <c r="V289" s="29"/>
      <c r="W289" s="29"/>
      <c r="X289" s="29"/>
    </row>
    <row r="290" spans="1:24" ht="15">
      <c r="A290" s="29"/>
      <c r="B290" s="29"/>
      <c r="C290" s="29"/>
      <c r="D290" s="33"/>
      <c r="E290" s="33"/>
      <c r="G290" s="29"/>
      <c r="H290" s="29"/>
      <c r="I290" s="29"/>
      <c r="J290" s="29"/>
      <c r="K290" s="29"/>
      <c r="L290" s="29"/>
      <c r="M290" s="29"/>
      <c r="N290" s="29"/>
      <c r="O290" s="29"/>
      <c r="P290" s="29"/>
      <c r="Q290" s="29"/>
      <c r="R290" s="29"/>
      <c r="S290" s="29"/>
      <c r="T290" s="29"/>
      <c r="U290" s="29"/>
      <c r="V290" s="29"/>
      <c r="W290" s="29"/>
      <c r="X290" s="29"/>
    </row>
    <row r="291" spans="1:24" ht="15">
      <c r="A291" s="29"/>
      <c r="B291" s="29"/>
      <c r="C291" s="29"/>
      <c r="D291" s="33"/>
      <c r="E291" s="33"/>
      <c r="G291" s="29"/>
      <c r="H291" s="29"/>
      <c r="I291" s="29"/>
      <c r="J291" s="29"/>
      <c r="K291" s="29"/>
      <c r="L291" s="29"/>
      <c r="M291" s="29"/>
      <c r="N291" s="29"/>
      <c r="O291" s="29"/>
      <c r="P291" s="29"/>
      <c r="Q291" s="29"/>
      <c r="R291" s="29"/>
      <c r="S291" s="29"/>
      <c r="T291" s="29"/>
      <c r="U291" s="29"/>
      <c r="V291" s="29"/>
      <c r="W291" s="29"/>
      <c r="X291" s="29"/>
    </row>
    <row r="292" spans="1:24" ht="15">
      <c r="A292" s="29"/>
      <c r="B292" s="29"/>
      <c r="C292" s="29"/>
      <c r="D292" s="33"/>
      <c r="E292" s="33"/>
      <c r="G292" s="29"/>
      <c r="H292" s="29"/>
      <c r="I292" s="29"/>
      <c r="J292" s="29"/>
      <c r="K292" s="29"/>
      <c r="L292" s="29"/>
      <c r="M292" s="29"/>
      <c r="N292" s="29"/>
      <c r="O292" s="29"/>
      <c r="P292" s="29"/>
      <c r="Q292" s="29"/>
      <c r="R292" s="29"/>
      <c r="S292" s="29"/>
      <c r="T292" s="29"/>
      <c r="U292" s="29"/>
      <c r="V292" s="29"/>
      <c r="W292" s="29"/>
      <c r="X292" s="29"/>
    </row>
    <row r="293" spans="1:24" ht="15">
      <c r="A293" s="29"/>
      <c r="B293" s="29"/>
      <c r="C293" s="29"/>
      <c r="D293" s="33"/>
      <c r="E293" s="33"/>
      <c r="G293" s="29"/>
      <c r="H293" s="29"/>
      <c r="I293" s="29"/>
      <c r="J293" s="29"/>
      <c r="K293" s="29"/>
      <c r="L293" s="29"/>
      <c r="M293" s="29"/>
      <c r="N293" s="29"/>
      <c r="O293" s="29"/>
      <c r="P293" s="29"/>
      <c r="Q293" s="29"/>
      <c r="R293" s="29"/>
      <c r="S293" s="29"/>
      <c r="T293" s="29"/>
      <c r="U293" s="29"/>
      <c r="V293" s="29"/>
      <c r="W293" s="29"/>
      <c r="X293" s="29"/>
    </row>
    <row r="294" spans="1:24" ht="15">
      <c r="A294" s="29"/>
      <c r="B294" s="29"/>
      <c r="C294" s="29"/>
      <c r="D294" s="33"/>
      <c r="E294" s="33"/>
      <c r="G294" s="29"/>
      <c r="H294" s="29"/>
      <c r="I294" s="29"/>
      <c r="J294" s="29"/>
      <c r="K294" s="29"/>
      <c r="L294" s="29"/>
      <c r="M294" s="29"/>
      <c r="N294" s="29"/>
      <c r="O294" s="29"/>
      <c r="P294" s="29"/>
      <c r="Q294" s="29"/>
      <c r="R294" s="29"/>
      <c r="S294" s="29"/>
      <c r="T294" s="29"/>
      <c r="U294" s="29"/>
      <c r="V294" s="29"/>
      <c r="W294" s="29"/>
      <c r="X294" s="29"/>
    </row>
    <row r="295" spans="1:24" ht="15">
      <c r="A295" s="29"/>
      <c r="B295" s="29"/>
      <c r="C295" s="29"/>
      <c r="D295" s="33"/>
      <c r="E295" s="33"/>
      <c r="G295" s="29"/>
      <c r="H295" s="29"/>
      <c r="I295" s="29"/>
      <c r="J295" s="29"/>
      <c r="K295" s="29"/>
      <c r="L295" s="29"/>
      <c r="M295" s="29"/>
      <c r="N295" s="29"/>
      <c r="O295" s="29"/>
      <c r="P295" s="29"/>
      <c r="Q295" s="29"/>
      <c r="R295" s="29"/>
      <c r="S295" s="29"/>
      <c r="T295" s="29"/>
      <c r="U295" s="29"/>
      <c r="V295" s="29"/>
      <c r="W295" s="29"/>
      <c r="X295" s="29"/>
    </row>
    <row r="296" spans="1:24" ht="15">
      <c r="A296" s="29"/>
      <c r="B296" s="29"/>
      <c r="C296" s="29"/>
      <c r="D296" s="33"/>
      <c r="E296" s="33"/>
      <c r="G296" s="29"/>
      <c r="H296" s="29"/>
      <c r="I296" s="29"/>
      <c r="J296" s="29"/>
      <c r="K296" s="29"/>
      <c r="L296" s="29"/>
      <c r="M296" s="29"/>
      <c r="N296" s="29"/>
      <c r="O296" s="29"/>
      <c r="P296" s="29"/>
      <c r="Q296" s="29"/>
      <c r="R296" s="29"/>
      <c r="S296" s="29"/>
      <c r="T296" s="29"/>
      <c r="U296" s="29"/>
      <c r="V296" s="29"/>
      <c r="W296" s="29"/>
      <c r="X296" s="29"/>
    </row>
    <row r="297" spans="1:24" ht="15">
      <c r="A297" s="29"/>
      <c r="B297" s="29"/>
      <c r="C297" s="29"/>
      <c r="D297" s="33"/>
      <c r="E297" s="33"/>
      <c r="G297" s="29"/>
      <c r="H297" s="29"/>
      <c r="I297" s="29"/>
      <c r="J297" s="29"/>
      <c r="K297" s="29"/>
      <c r="L297" s="29"/>
      <c r="M297" s="29"/>
      <c r="N297" s="29"/>
      <c r="O297" s="29"/>
      <c r="P297" s="29"/>
      <c r="Q297" s="29"/>
      <c r="R297" s="29"/>
      <c r="S297" s="29"/>
      <c r="T297" s="29"/>
      <c r="U297" s="29"/>
      <c r="V297" s="29"/>
      <c r="W297" s="29"/>
      <c r="X297" s="29"/>
    </row>
    <row r="298" spans="1:24" ht="15">
      <c r="A298" s="29"/>
      <c r="B298" s="29"/>
      <c r="C298" s="29"/>
      <c r="D298" s="33"/>
      <c r="E298" s="33"/>
      <c r="G298" s="29"/>
      <c r="H298" s="29"/>
      <c r="I298" s="29"/>
      <c r="J298" s="29"/>
      <c r="K298" s="29"/>
      <c r="L298" s="29"/>
      <c r="M298" s="29"/>
      <c r="N298" s="29"/>
      <c r="O298" s="29"/>
      <c r="P298" s="29"/>
      <c r="Q298" s="29"/>
      <c r="R298" s="29"/>
      <c r="S298" s="29"/>
      <c r="T298" s="29"/>
      <c r="U298" s="29"/>
      <c r="V298" s="29"/>
      <c r="W298" s="29"/>
      <c r="X298" s="29"/>
    </row>
    <row r="299" spans="1:24" ht="15">
      <c r="A299" s="29"/>
      <c r="B299" s="29"/>
      <c r="C299" s="29"/>
      <c r="D299" s="33"/>
      <c r="E299" s="33"/>
      <c r="G299" s="29"/>
      <c r="H299" s="29"/>
      <c r="I299" s="29"/>
      <c r="J299" s="29"/>
      <c r="K299" s="29"/>
      <c r="L299" s="29"/>
      <c r="M299" s="29"/>
      <c r="N299" s="29"/>
      <c r="O299" s="29"/>
      <c r="P299" s="29"/>
      <c r="Q299" s="29"/>
      <c r="R299" s="29"/>
      <c r="S299" s="29"/>
      <c r="T299" s="29"/>
      <c r="U299" s="29"/>
      <c r="V299" s="29"/>
      <c r="W299" s="29"/>
      <c r="X299" s="29"/>
    </row>
    <row r="300" spans="1:24" ht="15">
      <c r="A300" s="29"/>
      <c r="B300" s="29"/>
      <c r="C300" s="29"/>
      <c r="D300" s="33"/>
      <c r="E300" s="33"/>
      <c r="G300" s="29"/>
      <c r="H300" s="29"/>
      <c r="I300" s="29"/>
      <c r="J300" s="29"/>
      <c r="K300" s="29"/>
      <c r="L300" s="29"/>
      <c r="M300" s="29"/>
      <c r="N300" s="29"/>
      <c r="O300" s="29"/>
      <c r="P300" s="29"/>
      <c r="Q300" s="29"/>
      <c r="R300" s="29"/>
      <c r="S300" s="29"/>
      <c r="T300" s="29"/>
      <c r="U300" s="29"/>
      <c r="V300" s="29"/>
      <c r="W300" s="29"/>
      <c r="X300" s="29"/>
    </row>
    <row r="301" spans="1:24" ht="15">
      <c r="A301" s="29"/>
      <c r="B301" s="29"/>
      <c r="C301" s="29"/>
      <c r="D301" s="33"/>
      <c r="E301" s="33"/>
      <c r="G301" s="29"/>
      <c r="H301" s="29"/>
      <c r="I301" s="29"/>
      <c r="J301" s="29"/>
      <c r="K301" s="29"/>
      <c r="L301" s="29"/>
      <c r="M301" s="29"/>
      <c r="N301" s="29"/>
      <c r="O301" s="29"/>
      <c r="P301" s="29"/>
      <c r="Q301" s="29"/>
      <c r="R301" s="29"/>
      <c r="S301" s="29"/>
      <c r="T301" s="29"/>
      <c r="U301" s="29"/>
      <c r="V301" s="29"/>
      <c r="W301" s="29"/>
      <c r="X301" s="29"/>
    </row>
    <row r="302" spans="1:24" ht="15">
      <c r="A302" s="29"/>
      <c r="B302" s="29"/>
      <c r="C302" s="29"/>
      <c r="D302" s="33"/>
      <c r="E302" s="33"/>
      <c r="G302" s="29"/>
      <c r="H302" s="29"/>
      <c r="I302" s="29"/>
      <c r="J302" s="29"/>
      <c r="K302" s="29"/>
      <c r="L302" s="29"/>
      <c r="M302" s="29"/>
      <c r="N302" s="29"/>
      <c r="O302" s="29"/>
      <c r="P302" s="29"/>
      <c r="Q302" s="29"/>
      <c r="R302" s="29"/>
      <c r="S302" s="29"/>
      <c r="T302" s="29"/>
      <c r="U302" s="29"/>
      <c r="V302" s="29"/>
      <c r="W302" s="29"/>
      <c r="X302" s="29"/>
    </row>
    <row r="303" spans="1:24" ht="15">
      <c r="A303" s="29"/>
      <c r="B303" s="29"/>
      <c r="C303" s="29"/>
      <c r="D303" s="33"/>
      <c r="E303" s="33"/>
      <c r="G303" s="29"/>
      <c r="H303" s="29"/>
      <c r="I303" s="29"/>
      <c r="J303" s="29"/>
      <c r="K303" s="29"/>
      <c r="L303" s="29"/>
      <c r="M303" s="29"/>
      <c r="N303" s="29"/>
      <c r="O303" s="29"/>
      <c r="P303" s="29"/>
      <c r="Q303" s="29"/>
      <c r="R303" s="29"/>
      <c r="S303" s="29"/>
      <c r="T303" s="29"/>
      <c r="U303" s="29"/>
      <c r="V303" s="29"/>
      <c r="W303" s="29"/>
      <c r="X303" s="29"/>
    </row>
    <row r="304" spans="1:24" ht="15">
      <c r="A304" s="29"/>
      <c r="B304" s="29"/>
      <c r="C304" s="29"/>
      <c r="D304" s="33"/>
      <c r="E304" s="33"/>
      <c r="G304" s="29"/>
      <c r="H304" s="29"/>
      <c r="I304" s="29"/>
      <c r="J304" s="29"/>
      <c r="K304" s="29"/>
      <c r="L304" s="29"/>
      <c r="M304" s="29"/>
      <c r="N304" s="29"/>
      <c r="O304" s="29"/>
      <c r="P304" s="29"/>
      <c r="Q304" s="29"/>
      <c r="R304" s="29"/>
      <c r="S304" s="29"/>
      <c r="T304" s="29"/>
      <c r="U304" s="29"/>
      <c r="V304" s="29"/>
      <c r="W304" s="29"/>
      <c r="X304" s="29"/>
    </row>
    <row r="305" spans="1:24" ht="15">
      <c r="A305" s="29"/>
      <c r="B305" s="29"/>
      <c r="C305" s="29"/>
      <c r="D305" s="33"/>
      <c r="E305" s="33"/>
      <c r="G305" s="29"/>
      <c r="H305" s="29"/>
      <c r="I305" s="29"/>
      <c r="J305" s="29"/>
      <c r="K305" s="29"/>
      <c r="L305" s="29"/>
      <c r="M305" s="29"/>
      <c r="N305" s="29"/>
      <c r="O305" s="29"/>
      <c r="P305" s="29"/>
      <c r="Q305" s="29"/>
      <c r="R305" s="29"/>
      <c r="S305" s="29"/>
      <c r="T305" s="29"/>
      <c r="U305" s="29"/>
      <c r="V305" s="29"/>
      <c r="W305" s="29"/>
      <c r="X305" s="29"/>
    </row>
    <row r="306" spans="1:24" ht="15">
      <c r="A306" s="29"/>
      <c r="B306" s="29"/>
      <c r="C306" s="29"/>
      <c r="D306" s="33"/>
      <c r="E306" s="33"/>
      <c r="G306" s="29"/>
      <c r="H306" s="29"/>
      <c r="I306" s="29"/>
      <c r="J306" s="29"/>
      <c r="K306" s="29"/>
      <c r="L306" s="29"/>
      <c r="M306" s="29"/>
      <c r="N306" s="29"/>
      <c r="O306" s="29"/>
      <c r="P306" s="29"/>
      <c r="Q306" s="29"/>
      <c r="R306" s="29"/>
      <c r="S306" s="29"/>
      <c r="T306" s="29"/>
      <c r="U306" s="29"/>
      <c r="V306" s="29"/>
      <c r="W306" s="29"/>
      <c r="X306" s="29"/>
    </row>
    <row r="307" spans="1:24" ht="15">
      <c r="A307" s="29"/>
      <c r="B307" s="29"/>
      <c r="C307" s="29"/>
      <c r="D307" s="33"/>
      <c r="E307" s="33"/>
      <c r="G307" s="29"/>
      <c r="H307" s="29"/>
      <c r="I307" s="29"/>
      <c r="J307" s="29"/>
      <c r="K307" s="29"/>
      <c r="L307" s="29"/>
      <c r="M307" s="29"/>
      <c r="N307" s="29"/>
      <c r="O307" s="29"/>
      <c r="P307" s="29"/>
      <c r="Q307" s="29"/>
      <c r="R307" s="29"/>
      <c r="S307" s="29"/>
      <c r="T307" s="29"/>
      <c r="U307" s="29"/>
      <c r="V307" s="29"/>
      <c r="W307" s="29"/>
      <c r="X307" s="29"/>
    </row>
    <row r="308" spans="1:24" ht="15">
      <c r="A308" s="29"/>
      <c r="B308" s="29"/>
      <c r="C308" s="29"/>
      <c r="D308" s="33"/>
      <c r="E308" s="33"/>
      <c r="G308" s="29"/>
      <c r="H308" s="29"/>
      <c r="I308" s="29"/>
      <c r="J308" s="29"/>
      <c r="K308" s="29"/>
      <c r="L308" s="29"/>
      <c r="M308" s="29"/>
      <c r="N308" s="29"/>
      <c r="O308" s="29"/>
      <c r="P308" s="29"/>
      <c r="Q308" s="29"/>
      <c r="R308" s="29"/>
      <c r="S308" s="29"/>
      <c r="T308" s="29"/>
      <c r="U308" s="29"/>
      <c r="V308" s="29"/>
      <c r="W308" s="29"/>
      <c r="X308" s="29"/>
    </row>
    <row r="309" spans="1:24" ht="15">
      <c r="A309" s="29"/>
      <c r="B309" s="29"/>
      <c r="C309" s="29"/>
      <c r="D309" s="33"/>
      <c r="E309" s="33"/>
      <c r="G309" s="29"/>
      <c r="H309" s="29"/>
      <c r="I309" s="29"/>
      <c r="J309" s="29"/>
      <c r="K309" s="29"/>
      <c r="L309" s="29"/>
      <c r="M309" s="29"/>
      <c r="N309" s="29"/>
      <c r="O309" s="29"/>
      <c r="P309" s="29"/>
      <c r="Q309" s="29"/>
      <c r="R309" s="29"/>
      <c r="S309" s="29"/>
      <c r="T309" s="29"/>
      <c r="U309" s="29"/>
      <c r="V309" s="29"/>
      <c r="W309" s="29"/>
      <c r="X309" s="29"/>
    </row>
    <row r="310" spans="1:24" ht="15">
      <c r="A310" s="29"/>
      <c r="B310" s="29"/>
      <c r="C310" s="29"/>
      <c r="D310" s="33"/>
      <c r="E310" s="33"/>
      <c r="G310" s="29"/>
      <c r="H310" s="29"/>
      <c r="I310" s="29"/>
      <c r="J310" s="29"/>
      <c r="K310" s="29"/>
      <c r="L310" s="29"/>
      <c r="M310" s="29"/>
      <c r="N310" s="29"/>
      <c r="O310" s="29"/>
      <c r="P310" s="29"/>
      <c r="Q310" s="29"/>
      <c r="R310" s="29"/>
      <c r="S310" s="29"/>
      <c r="T310" s="29"/>
      <c r="U310" s="29"/>
      <c r="V310" s="29"/>
      <c r="W310" s="29"/>
      <c r="X310" s="29"/>
    </row>
    <row r="311" spans="1:24" ht="15">
      <c r="A311" s="29"/>
      <c r="B311" s="29"/>
      <c r="C311" s="29"/>
      <c r="D311" s="33"/>
      <c r="E311" s="33"/>
      <c r="G311" s="29"/>
      <c r="H311" s="29"/>
      <c r="I311" s="29"/>
      <c r="J311" s="29"/>
      <c r="K311" s="29"/>
      <c r="L311" s="29"/>
      <c r="M311" s="29"/>
      <c r="N311" s="29"/>
      <c r="O311" s="29"/>
      <c r="P311" s="29"/>
      <c r="Q311" s="29"/>
      <c r="R311" s="29"/>
      <c r="S311" s="29"/>
      <c r="T311" s="29"/>
      <c r="U311" s="29"/>
      <c r="V311" s="29"/>
      <c r="W311" s="29"/>
      <c r="X311" s="29"/>
    </row>
    <row r="312" spans="1:24" ht="15">
      <c r="A312" s="29"/>
      <c r="B312" s="29"/>
      <c r="C312" s="29"/>
      <c r="D312" s="33"/>
      <c r="E312" s="33"/>
      <c r="G312" s="29"/>
      <c r="H312" s="29"/>
      <c r="I312" s="29"/>
      <c r="J312" s="29"/>
      <c r="K312" s="29"/>
      <c r="L312" s="29"/>
      <c r="M312" s="29"/>
      <c r="N312" s="29"/>
      <c r="O312" s="29"/>
      <c r="P312" s="29"/>
      <c r="Q312" s="29"/>
      <c r="R312" s="29"/>
      <c r="S312" s="29"/>
      <c r="T312" s="29"/>
      <c r="U312" s="29"/>
      <c r="V312" s="29"/>
      <c r="W312" s="29"/>
      <c r="X312" s="29"/>
    </row>
    <row r="313" spans="1:24" ht="15">
      <c r="A313" s="29"/>
      <c r="B313" s="29"/>
      <c r="C313" s="29"/>
      <c r="D313" s="33"/>
      <c r="E313" s="33"/>
      <c r="G313" s="29"/>
      <c r="H313" s="29"/>
      <c r="I313" s="29"/>
      <c r="J313" s="29"/>
      <c r="K313" s="29"/>
      <c r="L313" s="29"/>
      <c r="M313" s="29"/>
      <c r="N313" s="29"/>
      <c r="O313" s="29"/>
      <c r="P313" s="29"/>
      <c r="Q313" s="29"/>
      <c r="R313" s="29"/>
      <c r="S313" s="29"/>
      <c r="T313" s="29"/>
      <c r="U313" s="29"/>
      <c r="V313" s="29"/>
      <c r="W313" s="29"/>
      <c r="X313" s="29"/>
    </row>
    <row r="314" spans="1:24" ht="15">
      <c r="A314" s="29"/>
      <c r="B314" s="29"/>
      <c r="C314" s="29"/>
      <c r="D314" s="33"/>
      <c r="E314" s="33"/>
      <c r="G314" s="29"/>
      <c r="H314" s="29"/>
      <c r="I314" s="29"/>
      <c r="J314" s="29"/>
      <c r="K314" s="29"/>
      <c r="L314" s="29"/>
      <c r="M314" s="29"/>
      <c r="N314" s="29"/>
      <c r="O314" s="29"/>
      <c r="P314" s="29"/>
      <c r="Q314" s="29"/>
      <c r="R314" s="29"/>
      <c r="S314" s="29"/>
      <c r="T314" s="29"/>
      <c r="U314" s="29"/>
      <c r="V314" s="29"/>
      <c r="W314" s="29"/>
      <c r="X314" s="29"/>
    </row>
    <row r="315" spans="1:24" ht="15">
      <c r="A315" s="29"/>
      <c r="B315" s="29"/>
      <c r="C315" s="29"/>
      <c r="D315" s="33"/>
      <c r="E315" s="33"/>
      <c r="G315" s="29"/>
      <c r="H315" s="29"/>
      <c r="I315" s="29"/>
      <c r="J315" s="29"/>
      <c r="K315" s="29"/>
      <c r="L315" s="29"/>
      <c r="M315" s="29"/>
      <c r="N315" s="29"/>
      <c r="O315" s="29"/>
      <c r="P315" s="29"/>
      <c r="Q315" s="29"/>
      <c r="R315" s="29"/>
      <c r="S315" s="29"/>
      <c r="T315" s="29"/>
      <c r="U315" s="29"/>
      <c r="V315" s="29"/>
      <c r="W315" s="29"/>
      <c r="X315" s="29"/>
    </row>
    <row r="316" spans="1:24" ht="15">
      <c r="A316" s="29"/>
      <c r="B316" s="29"/>
      <c r="C316" s="29"/>
      <c r="D316" s="33"/>
      <c r="E316" s="33"/>
      <c r="G316" s="29"/>
      <c r="H316" s="29"/>
      <c r="I316" s="29"/>
      <c r="J316" s="29"/>
      <c r="K316" s="29"/>
      <c r="L316" s="29"/>
      <c r="M316" s="29"/>
      <c r="N316" s="29"/>
      <c r="O316" s="29"/>
      <c r="P316" s="29"/>
      <c r="Q316" s="29"/>
      <c r="R316" s="29"/>
      <c r="S316" s="29"/>
      <c r="T316" s="29"/>
      <c r="U316" s="29"/>
      <c r="V316" s="29"/>
      <c r="W316" s="29"/>
      <c r="X316" s="29"/>
    </row>
    <row r="317" spans="1:24" ht="15">
      <c r="A317" s="29"/>
      <c r="B317" s="29"/>
      <c r="C317" s="29"/>
      <c r="D317" s="33"/>
      <c r="E317" s="33"/>
      <c r="G317" s="29"/>
      <c r="H317" s="29"/>
      <c r="I317" s="29"/>
      <c r="J317" s="29"/>
      <c r="K317" s="29"/>
      <c r="L317" s="29"/>
      <c r="M317" s="29"/>
      <c r="N317" s="29"/>
      <c r="O317" s="29"/>
      <c r="P317" s="29"/>
      <c r="Q317" s="29"/>
      <c r="R317" s="29"/>
      <c r="S317" s="29"/>
      <c r="T317" s="29"/>
      <c r="U317" s="29"/>
      <c r="V317" s="29"/>
      <c r="W317" s="29"/>
      <c r="X317" s="29"/>
    </row>
    <row r="318" spans="1:24" ht="15">
      <c r="A318" s="29"/>
      <c r="B318" s="29"/>
      <c r="C318" s="29"/>
      <c r="D318" s="33"/>
      <c r="E318" s="33"/>
      <c r="G318" s="29"/>
      <c r="H318" s="29"/>
      <c r="I318" s="29"/>
      <c r="J318" s="29"/>
      <c r="K318" s="29"/>
      <c r="L318" s="29"/>
      <c r="M318" s="29"/>
      <c r="N318" s="29"/>
      <c r="O318" s="29"/>
      <c r="P318" s="29"/>
      <c r="Q318" s="29"/>
      <c r="R318" s="29"/>
      <c r="S318" s="29"/>
      <c r="T318" s="29"/>
      <c r="U318" s="29"/>
      <c r="V318" s="29"/>
      <c r="W318" s="29"/>
      <c r="X318" s="29"/>
    </row>
    <row r="319" spans="1:24" ht="15">
      <c r="A319" s="29"/>
      <c r="B319" s="29"/>
      <c r="C319" s="29"/>
      <c r="D319" s="33"/>
      <c r="E319" s="33"/>
      <c r="G319" s="29"/>
      <c r="H319" s="29"/>
      <c r="I319" s="29"/>
      <c r="J319" s="29"/>
      <c r="K319" s="29"/>
      <c r="L319" s="29"/>
      <c r="M319" s="29"/>
      <c r="N319" s="29"/>
      <c r="O319" s="29"/>
      <c r="P319" s="29"/>
      <c r="Q319" s="29"/>
      <c r="R319" s="29"/>
      <c r="S319" s="29"/>
      <c r="T319" s="29"/>
      <c r="U319" s="29"/>
      <c r="V319" s="29"/>
      <c r="W319" s="29"/>
      <c r="X319" s="29"/>
    </row>
    <row r="320" spans="1:24" ht="15">
      <c r="A320" s="29"/>
      <c r="B320" s="29"/>
      <c r="C320" s="29"/>
      <c r="D320" s="33"/>
      <c r="E320" s="33"/>
      <c r="G320" s="29"/>
      <c r="H320" s="29"/>
      <c r="I320" s="29"/>
      <c r="J320" s="29"/>
      <c r="K320" s="29"/>
      <c r="L320" s="29"/>
      <c r="M320" s="29"/>
      <c r="N320" s="29"/>
      <c r="O320" s="29"/>
      <c r="P320" s="29"/>
      <c r="Q320" s="29"/>
      <c r="R320" s="29"/>
      <c r="S320" s="29"/>
      <c r="T320" s="29"/>
      <c r="U320" s="29"/>
      <c r="V320" s="29"/>
      <c r="W320" s="29"/>
      <c r="X320" s="29"/>
    </row>
    <row r="321" spans="1:24" ht="15">
      <c r="A321" s="29"/>
      <c r="B321" s="29"/>
      <c r="C321" s="29"/>
      <c r="D321" s="33"/>
      <c r="E321" s="33"/>
      <c r="G321" s="29"/>
      <c r="H321" s="29"/>
      <c r="I321" s="29"/>
      <c r="J321" s="29"/>
      <c r="K321" s="29"/>
      <c r="L321" s="29"/>
      <c r="M321" s="29"/>
      <c r="N321" s="29"/>
      <c r="O321" s="29"/>
      <c r="P321" s="29"/>
      <c r="Q321" s="29"/>
      <c r="R321" s="29"/>
      <c r="S321" s="29"/>
      <c r="T321" s="29"/>
      <c r="U321" s="29"/>
      <c r="V321" s="29"/>
      <c r="W321" s="29"/>
      <c r="X321" s="29"/>
    </row>
    <row r="322" spans="1:24" ht="15">
      <c r="A322" s="29"/>
      <c r="B322" s="29"/>
      <c r="C322" s="29"/>
      <c r="D322" s="33"/>
      <c r="E322" s="33"/>
      <c r="G322" s="29"/>
      <c r="H322" s="29"/>
      <c r="I322" s="29"/>
      <c r="J322" s="29"/>
      <c r="K322" s="29"/>
      <c r="L322" s="29"/>
      <c r="M322" s="29"/>
      <c r="N322" s="29"/>
      <c r="O322" s="29"/>
      <c r="P322" s="29"/>
      <c r="Q322" s="29"/>
      <c r="R322" s="29"/>
      <c r="S322" s="29"/>
      <c r="T322" s="29"/>
      <c r="U322" s="29"/>
      <c r="V322" s="29"/>
      <c r="W322" s="29"/>
      <c r="X322" s="29"/>
    </row>
    <row r="323" spans="1:24" ht="15">
      <c r="A323" s="29"/>
      <c r="B323" s="29"/>
      <c r="C323" s="29"/>
      <c r="D323" s="33"/>
      <c r="E323" s="33"/>
      <c r="G323" s="29"/>
      <c r="H323" s="29"/>
      <c r="I323" s="29"/>
      <c r="J323" s="29"/>
      <c r="K323" s="29"/>
      <c r="L323" s="29"/>
      <c r="M323" s="29"/>
      <c r="N323" s="29"/>
      <c r="O323" s="29"/>
      <c r="P323" s="29"/>
      <c r="Q323" s="29"/>
      <c r="R323" s="29"/>
      <c r="S323" s="29"/>
      <c r="T323" s="29"/>
      <c r="U323" s="29"/>
      <c r="V323" s="29"/>
      <c r="W323" s="29"/>
      <c r="X323" s="29"/>
    </row>
    <row r="324" spans="1:24" ht="15">
      <c r="A324" s="29"/>
      <c r="B324" s="29"/>
      <c r="C324" s="29"/>
      <c r="D324" s="33"/>
      <c r="E324" s="33"/>
      <c r="G324" s="29"/>
      <c r="H324" s="29"/>
      <c r="I324" s="29"/>
      <c r="J324" s="29"/>
      <c r="K324" s="29"/>
      <c r="L324" s="29"/>
      <c r="M324" s="29"/>
      <c r="N324" s="29"/>
      <c r="O324" s="29"/>
      <c r="P324" s="29"/>
      <c r="Q324" s="29"/>
      <c r="R324" s="29"/>
      <c r="S324" s="29"/>
      <c r="T324" s="29"/>
      <c r="U324" s="29"/>
      <c r="V324" s="29"/>
      <c r="W324" s="29"/>
      <c r="X324" s="29"/>
    </row>
    <row r="325" spans="1:24" ht="15">
      <c r="A325" s="29"/>
      <c r="B325" s="29"/>
      <c r="C325" s="29"/>
      <c r="D325" s="33"/>
      <c r="E325" s="33"/>
      <c r="G325" s="29"/>
      <c r="H325" s="29"/>
      <c r="I325" s="29"/>
      <c r="J325" s="29"/>
      <c r="K325" s="29"/>
      <c r="L325" s="29"/>
      <c r="M325" s="29"/>
      <c r="N325" s="29"/>
      <c r="O325" s="29"/>
      <c r="P325" s="29"/>
      <c r="Q325" s="29"/>
      <c r="R325" s="29"/>
      <c r="S325" s="29"/>
      <c r="T325" s="29"/>
      <c r="U325" s="29"/>
      <c r="V325" s="29"/>
      <c r="W325" s="29"/>
      <c r="X325" s="29"/>
    </row>
    <row r="326" spans="1:24" ht="15">
      <c r="A326" s="29"/>
      <c r="B326" s="29"/>
      <c r="C326" s="29"/>
      <c r="D326" s="33"/>
      <c r="E326" s="33"/>
      <c r="G326" s="29"/>
      <c r="H326" s="29"/>
      <c r="I326" s="29"/>
      <c r="J326" s="29"/>
      <c r="K326" s="29"/>
      <c r="L326" s="29"/>
      <c r="M326" s="29"/>
      <c r="N326" s="29"/>
      <c r="O326" s="29"/>
      <c r="P326" s="29"/>
      <c r="Q326" s="29"/>
      <c r="R326" s="29"/>
      <c r="S326" s="29"/>
      <c r="T326" s="29"/>
      <c r="U326" s="29"/>
      <c r="V326" s="29"/>
      <c r="W326" s="29"/>
      <c r="X326" s="29"/>
    </row>
    <row r="327" spans="1:24" ht="15">
      <c r="A327" s="29"/>
      <c r="B327" s="29"/>
      <c r="C327" s="29"/>
      <c r="D327" s="33"/>
      <c r="E327" s="33"/>
      <c r="G327" s="29"/>
      <c r="H327" s="29"/>
      <c r="I327" s="29"/>
      <c r="J327" s="29"/>
      <c r="K327" s="29"/>
      <c r="L327" s="29"/>
      <c r="M327" s="29"/>
      <c r="N327" s="29"/>
      <c r="O327" s="29"/>
      <c r="P327" s="29"/>
      <c r="Q327" s="29"/>
      <c r="R327" s="29"/>
      <c r="S327" s="29"/>
      <c r="T327" s="29"/>
      <c r="U327" s="29"/>
      <c r="V327" s="29"/>
      <c r="W327" s="29"/>
      <c r="X327" s="29"/>
    </row>
    <row r="328" spans="1:24" ht="15">
      <c r="A328" s="29"/>
      <c r="B328" s="29"/>
      <c r="C328" s="29"/>
      <c r="D328" s="33"/>
      <c r="E328" s="33"/>
      <c r="G328" s="29"/>
      <c r="H328" s="29"/>
      <c r="I328" s="29"/>
      <c r="J328" s="29"/>
      <c r="K328" s="29"/>
      <c r="L328" s="29"/>
      <c r="M328" s="29"/>
      <c r="N328" s="29"/>
      <c r="O328" s="29"/>
      <c r="P328" s="29"/>
      <c r="Q328" s="29"/>
      <c r="R328" s="29"/>
      <c r="S328" s="29"/>
      <c r="T328" s="29"/>
      <c r="U328" s="29"/>
      <c r="V328" s="29"/>
      <c r="W328" s="29"/>
      <c r="X328" s="29"/>
    </row>
    <row r="329" spans="1:24" ht="15">
      <c r="A329" s="29"/>
      <c r="B329" s="29"/>
      <c r="C329" s="29"/>
      <c r="D329" s="33"/>
      <c r="E329" s="33"/>
      <c r="G329" s="29"/>
      <c r="H329" s="29"/>
      <c r="I329" s="29"/>
      <c r="J329" s="29"/>
      <c r="K329" s="29"/>
      <c r="L329" s="29"/>
      <c r="M329" s="29"/>
      <c r="N329" s="29"/>
      <c r="O329" s="29"/>
      <c r="P329" s="29"/>
      <c r="Q329" s="29"/>
      <c r="R329" s="29"/>
      <c r="S329" s="29"/>
      <c r="T329" s="29"/>
      <c r="U329" s="29"/>
      <c r="V329" s="29"/>
      <c r="W329" s="29"/>
      <c r="X329" s="29"/>
    </row>
    <row r="330" spans="1:24" ht="15">
      <c r="A330" s="29"/>
      <c r="B330" s="29"/>
      <c r="C330" s="29"/>
      <c r="D330" s="33"/>
      <c r="E330" s="33"/>
      <c r="G330" s="29"/>
      <c r="H330" s="29"/>
      <c r="I330" s="29"/>
      <c r="J330" s="29"/>
      <c r="K330" s="29"/>
      <c r="L330" s="29"/>
      <c r="M330" s="29"/>
      <c r="N330" s="29"/>
      <c r="O330" s="29"/>
      <c r="P330" s="29"/>
      <c r="Q330" s="29"/>
      <c r="R330" s="29"/>
      <c r="S330" s="29"/>
      <c r="T330" s="29"/>
      <c r="U330" s="29"/>
      <c r="V330" s="29"/>
      <c r="W330" s="29"/>
      <c r="X330" s="29"/>
    </row>
    <row r="331" spans="1:24" ht="15">
      <c r="A331" s="29"/>
      <c r="B331" s="29"/>
      <c r="C331" s="29"/>
      <c r="D331" s="33"/>
      <c r="E331" s="33"/>
      <c r="G331" s="29"/>
      <c r="H331" s="29"/>
      <c r="I331" s="29"/>
      <c r="J331" s="29"/>
      <c r="K331" s="29"/>
      <c r="L331" s="29"/>
      <c r="M331" s="29"/>
      <c r="N331" s="29"/>
      <c r="O331" s="29"/>
      <c r="P331" s="29"/>
      <c r="Q331" s="29"/>
      <c r="R331" s="29"/>
      <c r="S331" s="29"/>
      <c r="T331" s="29"/>
      <c r="U331" s="29"/>
      <c r="V331" s="29"/>
      <c r="W331" s="29"/>
      <c r="X331" s="29"/>
    </row>
    <row r="332" spans="1:24" ht="15">
      <c r="A332" s="29"/>
      <c r="B332" s="29"/>
      <c r="C332" s="29"/>
      <c r="D332" s="33"/>
      <c r="E332" s="33"/>
      <c r="G332" s="29"/>
      <c r="H332" s="29"/>
      <c r="I332" s="29"/>
      <c r="J332" s="29"/>
      <c r="K332" s="29"/>
      <c r="L332" s="29"/>
      <c r="M332" s="29"/>
      <c r="N332" s="29"/>
      <c r="O332" s="29"/>
      <c r="P332" s="29"/>
      <c r="Q332" s="29"/>
      <c r="R332" s="29"/>
      <c r="S332" s="29"/>
      <c r="T332" s="29"/>
      <c r="U332" s="29"/>
      <c r="V332" s="29"/>
      <c r="W332" s="29"/>
      <c r="X332" s="29"/>
    </row>
    <row r="333" spans="1:24" ht="15">
      <c r="A333" s="29"/>
      <c r="B333" s="29"/>
      <c r="C333" s="29"/>
      <c r="D333" s="33"/>
      <c r="E333" s="33"/>
      <c r="G333" s="29"/>
      <c r="H333" s="29"/>
      <c r="I333" s="29"/>
      <c r="J333" s="29"/>
      <c r="K333" s="29"/>
      <c r="L333" s="29"/>
      <c r="M333" s="29"/>
      <c r="N333" s="29"/>
      <c r="O333" s="29"/>
      <c r="P333" s="29"/>
      <c r="Q333" s="29"/>
      <c r="R333" s="29"/>
      <c r="S333" s="29"/>
      <c r="T333" s="29"/>
      <c r="U333" s="29"/>
      <c r="V333" s="29"/>
      <c r="W333" s="29"/>
      <c r="X333" s="29"/>
    </row>
    <row r="334" spans="1:24" ht="15">
      <c r="A334" s="29"/>
      <c r="B334" s="29"/>
      <c r="C334" s="29"/>
      <c r="D334" s="33"/>
      <c r="E334" s="33"/>
      <c r="G334" s="29"/>
      <c r="H334" s="29"/>
      <c r="I334" s="29"/>
      <c r="J334" s="29"/>
      <c r="K334" s="29"/>
      <c r="L334" s="29"/>
      <c r="M334" s="29"/>
      <c r="N334" s="29"/>
      <c r="O334" s="29"/>
      <c r="P334" s="29"/>
      <c r="Q334" s="29"/>
      <c r="R334" s="29"/>
      <c r="S334" s="29"/>
      <c r="T334" s="29"/>
      <c r="U334" s="29"/>
      <c r="V334" s="29"/>
      <c r="W334" s="29"/>
      <c r="X334" s="29"/>
    </row>
    <row r="335" spans="1:24" ht="15">
      <c r="A335" s="29"/>
      <c r="B335" s="29"/>
      <c r="C335" s="29"/>
      <c r="D335" s="33"/>
      <c r="E335" s="33"/>
      <c r="G335" s="29"/>
      <c r="H335" s="29"/>
      <c r="I335" s="29"/>
      <c r="J335" s="29"/>
      <c r="K335" s="29"/>
      <c r="L335" s="29"/>
      <c r="M335" s="29"/>
      <c r="N335" s="29"/>
      <c r="O335" s="29"/>
      <c r="P335" s="29"/>
      <c r="Q335" s="29"/>
      <c r="R335" s="29"/>
      <c r="S335" s="29"/>
      <c r="T335" s="29"/>
      <c r="U335" s="29"/>
      <c r="V335" s="29"/>
      <c r="W335" s="29"/>
      <c r="X335" s="29"/>
    </row>
    <row r="336" spans="1:24" ht="15">
      <c r="A336" s="29"/>
      <c r="B336" s="29"/>
      <c r="C336" s="29"/>
      <c r="D336" s="33"/>
      <c r="E336" s="33"/>
      <c r="G336" s="29"/>
      <c r="H336" s="29"/>
      <c r="I336" s="29"/>
      <c r="J336" s="29"/>
      <c r="K336" s="29"/>
      <c r="L336" s="29"/>
      <c r="M336" s="29"/>
      <c r="N336" s="29"/>
      <c r="O336" s="29"/>
      <c r="P336" s="29"/>
      <c r="Q336" s="29"/>
      <c r="R336" s="29"/>
      <c r="S336" s="29"/>
      <c r="T336" s="29"/>
      <c r="U336" s="29"/>
      <c r="V336" s="29"/>
      <c r="W336" s="29"/>
      <c r="X336" s="29"/>
    </row>
    <row r="337" spans="1:24" ht="15">
      <c r="A337" s="29"/>
      <c r="B337" s="29"/>
      <c r="C337" s="29"/>
      <c r="D337" s="33"/>
      <c r="E337" s="33"/>
      <c r="G337" s="29"/>
      <c r="H337" s="29"/>
      <c r="I337" s="29"/>
      <c r="J337" s="29"/>
      <c r="K337" s="29"/>
      <c r="L337" s="29"/>
      <c r="M337" s="29"/>
      <c r="N337" s="29"/>
      <c r="O337" s="29"/>
      <c r="P337" s="29"/>
      <c r="Q337" s="29"/>
      <c r="R337" s="29"/>
      <c r="S337" s="29"/>
      <c r="T337" s="29"/>
      <c r="U337" s="29"/>
      <c r="V337" s="29"/>
      <c r="W337" s="29"/>
      <c r="X337" s="29"/>
    </row>
    <row r="338" spans="1:24" ht="15">
      <c r="A338" s="29"/>
      <c r="B338" s="29"/>
      <c r="C338" s="29"/>
      <c r="D338" s="33"/>
      <c r="E338" s="33"/>
      <c r="G338" s="29"/>
      <c r="H338" s="29"/>
      <c r="I338" s="29"/>
      <c r="J338" s="29"/>
      <c r="K338" s="29"/>
      <c r="L338" s="29"/>
      <c r="M338" s="29"/>
      <c r="N338" s="29"/>
      <c r="O338" s="29"/>
      <c r="P338" s="29"/>
      <c r="Q338" s="29"/>
      <c r="R338" s="29"/>
      <c r="S338" s="29"/>
      <c r="T338" s="29"/>
      <c r="U338" s="29"/>
      <c r="V338" s="29"/>
      <c r="W338" s="29"/>
      <c r="X338" s="29"/>
    </row>
    <row r="339" spans="1:24" ht="15">
      <c r="A339" s="29"/>
      <c r="B339" s="29"/>
      <c r="C339" s="29"/>
      <c r="D339" s="33"/>
      <c r="E339" s="33"/>
      <c r="G339" s="29"/>
      <c r="H339" s="29"/>
      <c r="I339" s="29"/>
      <c r="J339" s="29"/>
      <c r="K339" s="29"/>
      <c r="L339" s="29"/>
      <c r="M339" s="29"/>
      <c r="N339" s="29"/>
      <c r="O339" s="29"/>
      <c r="P339" s="29"/>
      <c r="Q339" s="29"/>
      <c r="R339" s="29"/>
      <c r="S339" s="29"/>
      <c r="T339" s="29"/>
      <c r="U339" s="29"/>
      <c r="V339" s="29"/>
      <c r="W339" s="29"/>
      <c r="X339" s="29"/>
    </row>
    <row r="340" spans="1:24" ht="15">
      <c r="A340" s="29"/>
      <c r="B340" s="29"/>
      <c r="C340" s="29"/>
      <c r="D340" s="33"/>
      <c r="E340" s="33"/>
      <c r="G340" s="29"/>
      <c r="H340" s="29"/>
      <c r="I340" s="29"/>
      <c r="J340" s="29"/>
      <c r="K340" s="29"/>
      <c r="L340" s="29"/>
      <c r="M340" s="29"/>
      <c r="N340" s="29"/>
      <c r="O340" s="29"/>
      <c r="P340" s="29"/>
      <c r="Q340" s="29"/>
      <c r="R340" s="29"/>
      <c r="S340" s="29"/>
      <c r="T340" s="29"/>
      <c r="U340" s="29"/>
      <c r="V340" s="29"/>
      <c r="W340" s="29"/>
      <c r="X340" s="29"/>
    </row>
    <row r="341" spans="1:24" ht="15">
      <c r="A341" s="29"/>
      <c r="B341" s="29"/>
      <c r="C341" s="29"/>
      <c r="D341" s="33"/>
      <c r="E341" s="33"/>
      <c r="G341" s="29"/>
      <c r="H341" s="29"/>
      <c r="I341" s="29"/>
      <c r="J341" s="29"/>
      <c r="K341" s="29"/>
      <c r="L341" s="29"/>
      <c r="M341" s="29"/>
      <c r="N341" s="29"/>
      <c r="O341" s="29"/>
      <c r="P341" s="29"/>
      <c r="Q341" s="29"/>
      <c r="R341" s="29"/>
      <c r="S341" s="29"/>
      <c r="T341" s="29"/>
      <c r="U341" s="29"/>
      <c r="V341" s="29"/>
      <c r="W341" s="29"/>
      <c r="X341" s="29"/>
    </row>
    <row r="342" spans="1:24" ht="15">
      <c r="A342" s="29"/>
      <c r="B342" s="29"/>
      <c r="C342" s="29"/>
      <c r="D342" s="33"/>
      <c r="E342" s="33"/>
      <c r="G342" s="29"/>
      <c r="H342" s="29"/>
      <c r="I342" s="29"/>
      <c r="J342" s="29"/>
      <c r="K342" s="29"/>
      <c r="L342" s="29"/>
      <c r="M342" s="29"/>
      <c r="N342" s="29"/>
      <c r="O342" s="29"/>
      <c r="P342" s="29"/>
      <c r="Q342" s="29"/>
      <c r="R342" s="29"/>
      <c r="S342" s="29"/>
      <c r="T342" s="29"/>
      <c r="U342" s="29"/>
      <c r="V342" s="29"/>
      <c r="W342" s="29"/>
      <c r="X342" s="29"/>
    </row>
    <row r="343" spans="1:24" ht="15">
      <c r="A343" s="29"/>
      <c r="B343" s="29"/>
      <c r="C343" s="29"/>
      <c r="D343" s="33"/>
      <c r="E343" s="33"/>
      <c r="G343" s="29"/>
      <c r="H343" s="29"/>
      <c r="I343" s="29"/>
      <c r="J343" s="29"/>
      <c r="K343" s="29"/>
      <c r="L343" s="29"/>
      <c r="M343" s="29"/>
      <c r="N343" s="29"/>
      <c r="O343" s="29"/>
      <c r="P343" s="29"/>
      <c r="Q343" s="29"/>
      <c r="R343" s="29"/>
      <c r="S343" s="29"/>
      <c r="T343" s="29"/>
      <c r="U343" s="29"/>
      <c r="V343" s="29"/>
      <c r="W343" s="29"/>
      <c r="X343" s="29"/>
    </row>
    <row r="344" spans="1:24" ht="15">
      <c r="A344" s="29"/>
      <c r="B344" s="29"/>
      <c r="C344" s="29"/>
      <c r="D344" s="33"/>
      <c r="E344" s="33"/>
      <c r="G344" s="29"/>
      <c r="H344" s="29"/>
      <c r="I344" s="29"/>
      <c r="J344" s="29"/>
      <c r="K344" s="29"/>
      <c r="L344" s="29"/>
      <c r="M344" s="29"/>
      <c r="N344" s="29"/>
      <c r="O344" s="29"/>
      <c r="P344" s="29"/>
      <c r="Q344" s="29"/>
      <c r="R344" s="29"/>
      <c r="S344" s="29"/>
      <c r="T344" s="29"/>
      <c r="U344" s="29"/>
      <c r="V344" s="29"/>
      <c r="W344" s="29"/>
      <c r="X344" s="29"/>
    </row>
    <row r="345" spans="1:24" ht="15">
      <c r="A345" s="29"/>
      <c r="B345" s="29"/>
      <c r="C345" s="29"/>
      <c r="D345" s="33"/>
      <c r="E345" s="33"/>
      <c r="G345" s="29"/>
      <c r="H345" s="29"/>
      <c r="I345" s="29"/>
      <c r="J345" s="29"/>
      <c r="K345" s="29"/>
      <c r="L345" s="29"/>
      <c r="M345" s="29"/>
      <c r="N345" s="29"/>
      <c r="O345" s="29"/>
      <c r="P345" s="29"/>
      <c r="Q345" s="29"/>
      <c r="R345" s="29"/>
      <c r="S345" s="29"/>
      <c r="T345" s="29"/>
      <c r="U345" s="29"/>
      <c r="V345" s="29"/>
      <c r="W345" s="29"/>
      <c r="X345" s="29"/>
    </row>
    <row r="346" spans="1:24" ht="15">
      <c r="A346" s="29"/>
      <c r="B346" s="29"/>
      <c r="C346" s="29"/>
      <c r="D346" s="33"/>
      <c r="E346" s="33"/>
      <c r="G346" s="29"/>
      <c r="H346" s="29"/>
      <c r="I346" s="29"/>
      <c r="J346" s="29"/>
      <c r="K346" s="29"/>
      <c r="L346" s="29"/>
      <c r="M346" s="29"/>
      <c r="N346" s="29"/>
      <c r="O346" s="29"/>
      <c r="P346" s="29"/>
      <c r="Q346" s="29"/>
      <c r="R346" s="29"/>
      <c r="S346" s="29"/>
      <c r="T346" s="29"/>
      <c r="U346" s="29"/>
      <c r="V346" s="29"/>
      <c r="W346" s="29"/>
      <c r="X346" s="29"/>
    </row>
    <row r="347" spans="1:24" ht="15">
      <c r="A347" s="29"/>
      <c r="B347" s="29"/>
      <c r="C347" s="29"/>
      <c r="D347" s="33"/>
      <c r="E347" s="33"/>
      <c r="G347" s="29"/>
      <c r="H347" s="29"/>
      <c r="I347" s="29"/>
      <c r="J347" s="29"/>
      <c r="K347" s="29"/>
      <c r="L347" s="29"/>
      <c r="M347" s="29"/>
      <c r="N347" s="29"/>
      <c r="O347" s="29"/>
      <c r="P347" s="29"/>
      <c r="Q347" s="29"/>
      <c r="R347" s="29"/>
      <c r="S347" s="29"/>
      <c r="T347" s="29"/>
      <c r="U347" s="29"/>
      <c r="V347" s="29"/>
      <c r="W347" s="29"/>
      <c r="X347" s="29"/>
    </row>
    <row r="348" spans="1:24" ht="15">
      <c r="A348" s="29"/>
      <c r="B348" s="29"/>
      <c r="C348" s="29"/>
      <c r="D348" s="33"/>
      <c r="E348" s="33"/>
      <c r="G348" s="29"/>
      <c r="H348" s="29"/>
      <c r="I348" s="29"/>
      <c r="J348" s="29"/>
      <c r="K348" s="29"/>
      <c r="L348" s="29"/>
      <c r="M348" s="29"/>
      <c r="N348" s="29"/>
      <c r="O348" s="29"/>
      <c r="P348" s="29"/>
      <c r="Q348" s="29"/>
      <c r="R348" s="29"/>
      <c r="S348" s="29"/>
      <c r="T348" s="29"/>
      <c r="U348" s="29"/>
      <c r="V348" s="29"/>
      <c r="W348" s="29"/>
      <c r="X348" s="29"/>
    </row>
    <row r="349" spans="1:24" ht="15">
      <c r="A349" s="29"/>
      <c r="B349" s="29"/>
      <c r="C349" s="29"/>
      <c r="D349" s="33"/>
      <c r="E349" s="33"/>
      <c r="G349" s="29"/>
      <c r="H349" s="29"/>
      <c r="I349" s="29"/>
      <c r="J349" s="29"/>
      <c r="K349" s="29"/>
      <c r="L349" s="29"/>
      <c r="M349" s="29"/>
      <c r="N349" s="29"/>
      <c r="O349" s="29"/>
      <c r="P349" s="29"/>
      <c r="Q349" s="29"/>
      <c r="R349" s="29"/>
      <c r="S349" s="29"/>
      <c r="T349" s="29"/>
      <c r="U349" s="29"/>
      <c r="V349" s="29"/>
      <c r="W349" s="29"/>
      <c r="X349" s="29"/>
    </row>
    <row r="350" spans="1:24" ht="15">
      <c r="A350" s="29"/>
      <c r="B350" s="29"/>
      <c r="C350" s="29"/>
      <c r="D350" s="33"/>
      <c r="E350" s="33"/>
      <c r="G350" s="29"/>
      <c r="H350" s="29"/>
      <c r="I350" s="29"/>
      <c r="J350" s="29"/>
      <c r="K350" s="29"/>
      <c r="L350" s="29"/>
      <c r="M350" s="29"/>
      <c r="N350" s="29"/>
      <c r="O350" s="29"/>
      <c r="P350" s="29"/>
      <c r="Q350" s="29"/>
      <c r="R350" s="29"/>
      <c r="S350" s="29"/>
      <c r="T350" s="29"/>
      <c r="U350" s="29"/>
      <c r="V350" s="29"/>
      <c r="W350" s="29"/>
      <c r="X350" s="29"/>
    </row>
    <row r="351" spans="1:24" ht="15">
      <c r="A351" s="29"/>
      <c r="B351" s="29"/>
      <c r="C351" s="29"/>
      <c r="D351" s="33"/>
      <c r="E351" s="33"/>
      <c r="G351" s="29"/>
      <c r="H351" s="29"/>
      <c r="I351" s="29"/>
      <c r="J351" s="29"/>
      <c r="K351" s="29"/>
      <c r="L351" s="29"/>
      <c r="M351" s="29"/>
      <c r="N351" s="29"/>
      <c r="O351" s="29"/>
      <c r="P351" s="29"/>
      <c r="Q351" s="29"/>
      <c r="R351" s="29"/>
      <c r="S351" s="29"/>
      <c r="T351" s="29"/>
      <c r="U351" s="29"/>
      <c r="V351" s="29"/>
      <c r="W351" s="29"/>
      <c r="X351" s="29"/>
    </row>
    <row r="352" spans="1:24" ht="15">
      <c r="A352" s="29"/>
      <c r="B352" s="29"/>
      <c r="C352" s="29"/>
      <c r="D352" s="33"/>
      <c r="E352" s="33"/>
      <c r="G352" s="29"/>
      <c r="H352" s="29"/>
      <c r="I352" s="29"/>
      <c r="J352" s="29"/>
      <c r="K352" s="29"/>
      <c r="L352" s="29"/>
      <c r="M352" s="29"/>
      <c r="N352" s="29"/>
      <c r="O352" s="29"/>
      <c r="P352" s="29"/>
      <c r="Q352" s="29"/>
      <c r="R352" s="29"/>
      <c r="S352" s="29"/>
      <c r="T352" s="29"/>
      <c r="U352" s="29"/>
      <c r="V352" s="29"/>
      <c r="W352" s="29"/>
      <c r="X352" s="29"/>
    </row>
    <row r="353" spans="1:24" ht="15">
      <c r="A353" s="29"/>
      <c r="B353" s="29"/>
      <c r="C353" s="29"/>
      <c r="D353" s="33"/>
      <c r="E353" s="33"/>
      <c r="G353" s="29"/>
      <c r="H353" s="29"/>
      <c r="I353" s="29"/>
      <c r="J353" s="29"/>
      <c r="K353" s="29"/>
      <c r="L353" s="29"/>
      <c r="M353" s="29"/>
      <c r="N353" s="29"/>
      <c r="O353" s="29"/>
      <c r="P353" s="29"/>
      <c r="Q353" s="29"/>
      <c r="R353" s="29"/>
      <c r="S353" s="29"/>
      <c r="T353" s="29"/>
      <c r="U353" s="29"/>
      <c r="V353" s="29"/>
      <c r="W353" s="29"/>
      <c r="X353" s="29"/>
    </row>
    <row r="354" spans="1:24" ht="15">
      <c r="A354" s="29"/>
      <c r="B354" s="29"/>
      <c r="C354" s="29"/>
      <c r="D354" s="33"/>
      <c r="E354" s="33"/>
      <c r="G354" s="29"/>
      <c r="H354" s="29"/>
      <c r="I354" s="29"/>
      <c r="J354" s="29"/>
      <c r="K354" s="29"/>
      <c r="L354" s="29"/>
      <c r="M354" s="29"/>
      <c r="N354" s="29"/>
      <c r="O354" s="29"/>
      <c r="P354" s="29"/>
      <c r="Q354" s="29"/>
      <c r="R354" s="29"/>
      <c r="S354" s="29"/>
      <c r="T354" s="29"/>
      <c r="U354" s="29"/>
      <c r="V354" s="29"/>
      <c r="W354" s="29"/>
      <c r="X354" s="29"/>
    </row>
    <row r="355" spans="1:24" ht="15">
      <c r="A355" s="29"/>
      <c r="B355" s="29"/>
      <c r="C355" s="29"/>
      <c r="D355" s="33"/>
      <c r="E355" s="33"/>
      <c r="G355" s="29"/>
      <c r="H355" s="29"/>
      <c r="I355" s="29"/>
      <c r="J355" s="29"/>
      <c r="K355" s="29"/>
      <c r="L355" s="29"/>
      <c r="M355" s="29"/>
      <c r="N355" s="29"/>
      <c r="O355" s="29"/>
      <c r="P355" s="29"/>
      <c r="Q355" s="29"/>
      <c r="R355" s="29"/>
      <c r="S355" s="29"/>
      <c r="T355" s="29"/>
      <c r="U355" s="29"/>
      <c r="V355" s="29"/>
      <c r="W355" s="29"/>
      <c r="X355" s="29"/>
    </row>
    <row r="356" spans="1:24" ht="15">
      <c r="A356" s="29"/>
      <c r="B356" s="29"/>
      <c r="C356" s="29"/>
      <c r="D356" s="33"/>
      <c r="E356" s="33"/>
      <c r="G356" s="29"/>
      <c r="H356" s="29"/>
      <c r="I356" s="29"/>
      <c r="J356" s="29"/>
      <c r="K356" s="29"/>
      <c r="L356" s="29"/>
      <c r="M356" s="29"/>
      <c r="N356" s="29"/>
      <c r="O356" s="29"/>
      <c r="P356" s="29"/>
      <c r="Q356" s="29"/>
      <c r="R356" s="29"/>
      <c r="S356" s="29"/>
      <c r="T356" s="29"/>
      <c r="U356" s="29"/>
      <c r="V356" s="29"/>
      <c r="W356" s="29"/>
      <c r="X356" s="29"/>
    </row>
    <row r="357" spans="1:24" ht="15">
      <c r="A357" s="29"/>
      <c r="B357" s="29"/>
      <c r="C357" s="29"/>
      <c r="D357" s="33"/>
      <c r="E357" s="33"/>
      <c r="G357" s="29"/>
      <c r="H357" s="29"/>
      <c r="I357" s="29"/>
      <c r="J357" s="29"/>
      <c r="K357" s="29"/>
      <c r="L357" s="29"/>
      <c r="M357" s="29"/>
      <c r="N357" s="29"/>
      <c r="O357" s="29"/>
      <c r="P357" s="29"/>
      <c r="Q357" s="29"/>
      <c r="R357" s="29"/>
      <c r="S357" s="29"/>
      <c r="T357" s="29"/>
      <c r="U357" s="29"/>
      <c r="V357" s="29"/>
      <c r="W357" s="29"/>
      <c r="X357" s="29"/>
    </row>
    <row r="358" spans="1:24" ht="15">
      <c r="A358" s="29"/>
      <c r="B358" s="29"/>
      <c r="C358" s="29"/>
      <c r="D358" s="33"/>
      <c r="E358" s="33"/>
      <c r="G358" s="29"/>
      <c r="H358" s="29"/>
      <c r="I358" s="29"/>
      <c r="J358" s="29"/>
      <c r="K358" s="29"/>
      <c r="L358" s="29"/>
      <c r="M358" s="29"/>
      <c r="N358" s="29"/>
      <c r="O358" s="29"/>
      <c r="P358" s="29"/>
      <c r="Q358" s="29"/>
      <c r="R358" s="29"/>
      <c r="S358" s="29"/>
      <c r="T358" s="29"/>
      <c r="U358" s="29"/>
      <c r="V358" s="29"/>
      <c r="W358" s="29"/>
      <c r="X358" s="29"/>
    </row>
    <row r="359" spans="1:24" ht="15">
      <c r="A359" s="29"/>
      <c r="B359" s="29"/>
      <c r="C359" s="29"/>
      <c r="D359" s="33"/>
      <c r="E359" s="33"/>
      <c r="G359" s="29"/>
      <c r="H359" s="29"/>
      <c r="I359" s="29"/>
      <c r="J359" s="29"/>
      <c r="K359" s="29"/>
      <c r="L359" s="29"/>
      <c r="M359" s="29"/>
      <c r="N359" s="29"/>
      <c r="O359" s="29"/>
      <c r="P359" s="29"/>
      <c r="Q359" s="29"/>
      <c r="R359" s="29"/>
      <c r="S359" s="29"/>
      <c r="T359" s="29"/>
      <c r="U359" s="29"/>
      <c r="V359" s="29"/>
      <c r="W359" s="29"/>
      <c r="X359" s="29"/>
    </row>
    <row r="360" spans="1:24" ht="15">
      <c r="A360" s="29"/>
      <c r="B360" s="29"/>
      <c r="C360" s="29"/>
      <c r="D360" s="33"/>
      <c r="E360" s="33"/>
      <c r="G360" s="29"/>
      <c r="H360" s="29"/>
      <c r="I360" s="29"/>
      <c r="J360" s="29"/>
      <c r="K360" s="29"/>
      <c r="L360" s="29"/>
      <c r="M360" s="29"/>
      <c r="N360" s="29"/>
      <c r="O360" s="29"/>
      <c r="P360" s="29"/>
      <c r="Q360" s="29"/>
      <c r="R360" s="29"/>
      <c r="S360" s="29"/>
      <c r="T360" s="29"/>
      <c r="U360" s="29"/>
      <c r="V360" s="29"/>
      <c r="W360" s="29"/>
      <c r="X360" s="29"/>
    </row>
    <row r="361" spans="1:24" ht="15">
      <c r="A361" s="29"/>
      <c r="B361" s="29"/>
      <c r="C361" s="29"/>
      <c r="D361" s="33"/>
      <c r="E361" s="33"/>
      <c r="G361" s="29"/>
      <c r="H361" s="29"/>
      <c r="I361" s="29"/>
      <c r="J361" s="29"/>
      <c r="K361" s="29"/>
      <c r="L361" s="29"/>
      <c r="M361" s="29"/>
      <c r="N361" s="29"/>
      <c r="O361" s="29"/>
      <c r="P361" s="29"/>
      <c r="Q361" s="29"/>
      <c r="R361" s="29"/>
      <c r="S361" s="29"/>
      <c r="T361" s="29"/>
      <c r="U361" s="29"/>
      <c r="V361" s="29"/>
      <c r="W361" s="29"/>
      <c r="X361" s="29"/>
    </row>
    <row r="362" spans="1:24" ht="15">
      <c r="A362" s="29"/>
      <c r="B362" s="29"/>
      <c r="C362" s="29"/>
      <c r="D362" s="33"/>
      <c r="E362" s="33"/>
      <c r="G362" s="29"/>
      <c r="H362" s="29"/>
      <c r="I362" s="29"/>
      <c r="J362" s="29"/>
      <c r="K362" s="29"/>
      <c r="L362" s="29"/>
      <c r="M362" s="29"/>
      <c r="N362" s="29"/>
      <c r="O362" s="29"/>
      <c r="P362" s="29"/>
      <c r="Q362" s="29"/>
      <c r="R362" s="29"/>
      <c r="S362" s="29"/>
      <c r="T362" s="29"/>
      <c r="U362" s="29"/>
      <c r="V362" s="29"/>
      <c r="W362" s="29"/>
      <c r="X362" s="29"/>
    </row>
    <row r="363" spans="1:24" ht="15">
      <c r="A363" s="29"/>
      <c r="B363" s="29"/>
      <c r="C363" s="29"/>
      <c r="D363" s="33"/>
      <c r="E363" s="33"/>
      <c r="G363" s="29"/>
      <c r="H363" s="29"/>
      <c r="I363" s="29"/>
      <c r="J363" s="29"/>
      <c r="K363" s="29"/>
      <c r="L363" s="29"/>
      <c r="M363" s="29"/>
      <c r="N363" s="29"/>
      <c r="O363" s="29"/>
      <c r="P363" s="29"/>
      <c r="Q363" s="29"/>
      <c r="R363" s="29"/>
      <c r="S363" s="29"/>
      <c r="T363" s="29"/>
      <c r="U363" s="29"/>
      <c r="V363" s="29"/>
      <c r="W363" s="29"/>
      <c r="X363" s="29"/>
    </row>
    <row r="364" spans="1:24" ht="15">
      <c r="A364" s="29"/>
      <c r="B364" s="29"/>
      <c r="C364" s="29"/>
      <c r="D364" s="33"/>
      <c r="E364" s="33"/>
      <c r="G364" s="29"/>
      <c r="H364" s="29"/>
      <c r="I364" s="29"/>
      <c r="J364" s="29"/>
      <c r="K364" s="29"/>
      <c r="L364" s="29"/>
      <c r="M364" s="29"/>
      <c r="N364" s="29"/>
      <c r="O364" s="29"/>
      <c r="P364" s="29"/>
      <c r="Q364" s="29"/>
      <c r="R364" s="29"/>
      <c r="S364" s="29"/>
      <c r="T364" s="29"/>
      <c r="U364" s="29"/>
      <c r="V364" s="29"/>
      <c r="W364" s="29"/>
      <c r="X364" s="29"/>
    </row>
    <row r="365" spans="1:24" ht="15">
      <c r="A365" s="29"/>
      <c r="B365" s="29"/>
      <c r="C365" s="29"/>
      <c r="D365" s="33"/>
      <c r="E365" s="33"/>
      <c r="G365" s="29"/>
      <c r="H365" s="29"/>
      <c r="I365" s="29"/>
      <c r="J365" s="29"/>
      <c r="K365" s="29"/>
      <c r="L365" s="29"/>
      <c r="M365" s="29"/>
      <c r="N365" s="29"/>
      <c r="O365" s="29"/>
      <c r="P365" s="29"/>
      <c r="Q365" s="29"/>
      <c r="R365" s="29"/>
      <c r="S365" s="29"/>
      <c r="T365" s="29"/>
      <c r="U365" s="29"/>
      <c r="V365" s="29"/>
      <c r="W365" s="29"/>
      <c r="X365" s="29"/>
    </row>
    <row r="366" spans="1:24" ht="15">
      <c r="A366" s="29"/>
      <c r="B366" s="29"/>
      <c r="C366" s="29"/>
      <c r="D366" s="33"/>
      <c r="E366" s="33"/>
      <c r="G366" s="29"/>
      <c r="H366" s="29"/>
      <c r="I366" s="29"/>
      <c r="J366" s="29"/>
      <c r="K366" s="29"/>
      <c r="L366" s="29"/>
      <c r="M366" s="29"/>
      <c r="N366" s="29"/>
      <c r="O366" s="29"/>
      <c r="P366" s="29"/>
      <c r="Q366" s="29"/>
      <c r="R366" s="29"/>
      <c r="S366" s="29"/>
      <c r="T366" s="29"/>
      <c r="U366" s="29"/>
      <c r="V366" s="29"/>
      <c r="W366" s="29"/>
      <c r="X366" s="29"/>
    </row>
    <row r="367" spans="1:24" ht="15">
      <c r="A367" s="29"/>
      <c r="B367" s="29"/>
      <c r="C367" s="29"/>
      <c r="D367" s="33"/>
      <c r="E367" s="33"/>
      <c r="G367" s="29"/>
      <c r="H367" s="29"/>
      <c r="I367" s="29"/>
      <c r="J367" s="29"/>
      <c r="K367" s="29"/>
      <c r="L367" s="29"/>
      <c r="M367" s="29"/>
      <c r="N367" s="29"/>
      <c r="O367" s="29"/>
      <c r="P367" s="29"/>
      <c r="Q367" s="29"/>
      <c r="R367" s="29"/>
      <c r="S367" s="29"/>
      <c r="T367" s="29"/>
      <c r="U367" s="29"/>
      <c r="V367" s="29"/>
      <c r="W367" s="29"/>
      <c r="X367" s="29"/>
    </row>
    <row r="368" spans="1:24" ht="15">
      <c r="A368" s="29"/>
      <c r="B368" s="29"/>
      <c r="C368" s="29"/>
      <c r="D368" s="33"/>
      <c r="E368" s="33"/>
      <c r="G368" s="29"/>
      <c r="H368" s="29"/>
      <c r="I368" s="29"/>
      <c r="J368" s="29"/>
      <c r="K368" s="29"/>
      <c r="L368" s="29"/>
      <c r="M368" s="29"/>
      <c r="N368" s="29"/>
      <c r="O368" s="29"/>
      <c r="P368" s="29"/>
      <c r="Q368" s="29"/>
      <c r="R368" s="29"/>
      <c r="S368" s="29"/>
      <c r="T368" s="29"/>
      <c r="U368" s="29"/>
      <c r="V368" s="29"/>
      <c r="W368" s="29"/>
      <c r="X368" s="29"/>
    </row>
    <row r="369" spans="1:24" ht="15">
      <c r="A369" s="29"/>
      <c r="B369" s="29"/>
      <c r="C369" s="29"/>
      <c r="D369" s="33"/>
      <c r="E369" s="33"/>
      <c r="G369" s="29"/>
      <c r="H369" s="29"/>
      <c r="I369" s="29"/>
      <c r="J369" s="29"/>
      <c r="K369" s="29"/>
      <c r="L369" s="29"/>
      <c r="M369" s="29"/>
      <c r="N369" s="29"/>
      <c r="O369" s="29"/>
      <c r="P369" s="29"/>
      <c r="Q369" s="29"/>
      <c r="R369" s="29"/>
      <c r="S369" s="29"/>
      <c r="T369" s="29"/>
      <c r="U369" s="29"/>
      <c r="V369" s="29"/>
      <c r="W369" s="29"/>
      <c r="X369" s="29"/>
    </row>
    <row r="370" spans="1:24" ht="15">
      <c r="A370" s="29"/>
      <c r="B370" s="29"/>
      <c r="C370" s="29"/>
      <c r="D370" s="33"/>
      <c r="E370" s="33"/>
      <c r="G370" s="29"/>
      <c r="H370" s="29"/>
      <c r="I370" s="29"/>
      <c r="J370" s="29"/>
      <c r="K370" s="29"/>
      <c r="L370" s="29"/>
      <c r="M370" s="29"/>
      <c r="N370" s="29"/>
      <c r="O370" s="29"/>
      <c r="P370" s="29"/>
      <c r="Q370" s="29"/>
      <c r="R370" s="29"/>
      <c r="S370" s="29"/>
      <c r="T370" s="29"/>
      <c r="U370" s="29"/>
      <c r="V370" s="29"/>
      <c r="W370" s="29"/>
      <c r="X370" s="29"/>
    </row>
    <row r="371" spans="1:24" ht="15">
      <c r="A371" s="29"/>
      <c r="B371" s="29"/>
      <c r="C371" s="29"/>
      <c r="D371" s="33"/>
      <c r="E371" s="33"/>
      <c r="G371" s="29"/>
      <c r="H371" s="29"/>
      <c r="I371" s="29"/>
      <c r="J371" s="29"/>
      <c r="K371" s="29"/>
      <c r="L371" s="29"/>
      <c r="M371" s="29"/>
      <c r="N371" s="29"/>
      <c r="O371" s="29"/>
      <c r="P371" s="29"/>
      <c r="Q371" s="29"/>
      <c r="R371" s="29"/>
      <c r="S371" s="29"/>
      <c r="T371" s="29"/>
      <c r="U371" s="29"/>
      <c r="V371" s="29"/>
      <c r="W371" s="29"/>
      <c r="X371" s="29"/>
    </row>
    <row r="372" spans="1:24" ht="15">
      <c r="A372" s="29"/>
      <c r="B372" s="29"/>
      <c r="C372" s="29"/>
      <c r="D372" s="33"/>
      <c r="E372" s="33"/>
      <c r="G372" s="29"/>
      <c r="H372" s="29"/>
      <c r="I372" s="29"/>
      <c r="J372" s="29"/>
      <c r="K372" s="29"/>
      <c r="L372" s="29"/>
      <c r="M372" s="29"/>
      <c r="N372" s="29"/>
      <c r="O372" s="29"/>
      <c r="P372" s="29"/>
      <c r="Q372" s="29"/>
      <c r="R372" s="29"/>
      <c r="S372" s="29"/>
      <c r="T372" s="29"/>
      <c r="U372" s="29"/>
      <c r="V372" s="29"/>
      <c r="W372" s="29"/>
      <c r="X372" s="29"/>
    </row>
    <row r="373" spans="1:24" ht="15">
      <c r="A373" s="29"/>
      <c r="B373" s="29"/>
      <c r="C373" s="29"/>
      <c r="D373" s="33"/>
      <c r="E373" s="33"/>
      <c r="G373" s="29"/>
      <c r="H373" s="29"/>
      <c r="I373" s="29"/>
      <c r="J373" s="29"/>
      <c r="K373" s="29"/>
      <c r="L373" s="29"/>
      <c r="M373" s="29"/>
      <c r="N373" s="29"/>
      <c r="O373" s="29"/>
      <c r="P373" s="29"/>
      <c r="Q373" s="29"/>
      <c r="R373" s="29"/>
      <c r="S373" s="29"/>
      <c r="T373" s="29"/>
      <c r="U373" s="29"/>
      <c r="V373" s="29"/>
      <c r="W373" s="29"/>
      <c r="X373" s="29"/>
    </row>
    <row r="374" spans="1:24" ht="15">
      <c r="A374" s="29"/>
      <c r="B374" s="29"/>
      <c r="C374" s="29"/>
      <c r="D374" s="33"/>
      <c r="E374" s="33"/>
      <c r="G374" s="29"/>
      <c r="H374" s="29"/>
      <c r="I374" s="29"/>
      <c r="J374" s="29"/>
      <c r="K374" s="29"/>
      <c r="L374" s="29"/>
      <c r="M374" s="29"/>
      <c r="N374" s="29"/>
      <c r="O374" s="29"/>
      <c r="P374" s="29"/>
      <c r="Q374" s="29"/>
      <c r="R374" s="29"/>
      <c r="S374" s="29"/>
      <c r="T374" s="29"/>
      <c r="U374" s="29"/>
      <c r="V374" s="29"/>
      <c r="W374" s="29"/>
      <c r="X374" s="29"/>
    </row>
    <row r="375" spans="1:24" ht="15">
      <c r="A375" s="29"/>
      <c r="B375" s="29"/>
      <c r="C375" s="29"/>
      <c r="D375" s="33"/>
      <c r="E375" s="33"/>
      <c r="G375" s="29"/>
      <c r="H375" s="29"/>
      <c r="I375" s="29"/>
      <c r="J375" s="29"/>
      <c r="K375" s="29"/>
      <c r="L375" s="29"/>
      <c r="M375" s="29"/>
      <c r="N375" s="29"/>
      <c r="O375" s="29"/>
      <c r="P375" s="29"/>
      <c r="Q375" s="29"/>
      <c r="R375" s="29"/>
      <c r="S375" s="29"/>
      <c r="T375" s="29"/>
      <c r="U375" s="29"/>
      <c r="V375" s="29"/>
      <c r="W375" s="29"/>
      <c r="X375" s="29"/>
    </row>
    <row r="376" spans="1:24" ht="15">
      <c r="A376" s="29"/>
      <c r="B376" s="29"/>
      <c r="C376" s="29"/>
      <c r="D376" s="33"/>
      <c r="E376" s="33"/>
      <c r="G376" s="29"/>
      <c r="H376" s="29"/>
      <c r="I376" s="29"/>
      <c r="J376" s="29"/>
      <c r="K376" s="29"/>
      <c r="L376" s="29"/>
      <c r="M376" s="29"/>
      <c r="N376" s="29"/>
      <c r="O376" s="29"/>
      <c r="P376" s="29"/>
      <c r="Q376" s="29"/>
      <c r="R376" s="29"/>
      <c r="S376" s="29"/>
      <c r="T376" s="29"/>
      <c r="U376" s="29"/>
      <c r="V376" s="29"/>
      <c r="W376" s="29"/>
      <c r="X376" s="29"/>
    </row>
    <row r="377" spans="1:24" ht="15">
      <c r="A377" s="29"/>
      <c r="B377" s="29"/>
      <c r="C377" s="29"/>
      <c r="D377" s="33"/>
      <c r="E377" s="33"/>
      <c r="G377" s="29"/>
      <c r="H377" s="29"/>
      <c r="I377" s="29"/>
      <c r="J377" s="29"/>
      <c r="K377" s="29"/>
      <c r="L377" s="29"/>
      <c r="M377" s="29"/>
      <c r="N377" s="29"/>
      <c r="O377" s="29"/>
      <c r="P377" s="29"/>
      <c r="Q377" s="29"/>
      <c r="R377" s="29"/>
      <c r="S377" s="29"/>
      <c r="T377" s="29"/>
      <c r="U377" s="29"/>
      <c r="V377" s="29"/>
      <c r="W377" s="29"/>
      <c r="X377" s="29"/>
    </row>
    <row r="378" spans="1:24" ht="15">
      <c r="A378" s="29"/>
      <c r="B378" s="29"/>
      <c r="C378" s="29"/>
      <c r="D378" s="33"/>
      <c r="E378" s="33"/>
      <c r="G378" s="29"/>
      <c r="H378" s="29"/>
      <c r="I378" s="29"/>
      <c r="J378" s="29"/>
      <c r="K378" s="29"/>
      <c r="L378" s="29"/>
      <c r="M378" s="29"/>
      <c r="N378" s="29"/>
      <c r="O378" s="29"/>
      <c r="P378" s="29"/>
      <c r="Q378" s="29"/>
      <c r="R378" s="29"/>
      <c r="S378" s="29"/>
      <c r="T378" s="29"/>
      <c r="U378" s="29"/>
      <c r="V378" s="29"/>
      <c r="W378" s="29"/>
      <c r="X378" s="29"/>
    </row>
    <row r="379" spans="1:24" ht="15">
      <c r="A379" s="29"/>
      <c r="B379" s="29"/>
      <c r="C379" s="29"/>
      <c r="D379" s="33"/>
      <c r="E379" s="33"/>
      <c r="G379" s="29"/>
      <c r="H379" s="29"/>
      <c r="I379" s="29"/>
      <c r="J379" s="29"/>
      <c r="K379" s="29"/>
      <c r="L379" s="29"/>
      <c r="M379" s="29"/>
      <c r="N379" s="29"/>
      <c r="O379" s="29"/>
      <c r="P379" s="29"/>
      <c r="Q379" s="29"/>
      <c r="R379" s="29"/>
      <c r="S379" s="29"/>
      <c r="T379" s="29"/>
      <c r="U379" s="29"/>
      <c r="V379" s="29"/>
      <c r="W379" s="29"/>
      <c r="X379" s="29"/>
    </row>
    <row r="380" spans="1:24" ht="15">
      <c r="A380" s="29"/>
      <c r="B380" s="29"/>
      <c r="C380" s="29"/>
      <c r="D380" s="33"/>
      <c r="E380" s="33"/>
      <c r="G380" s="29"/>
      <c r="H380" s="29"/>
      <c r="I380" s="29"/>
      <c r="J380" s="29"/>
      <c r="K380" s="29"/>
      <c r="L380" s="29"/>
      <c r="M380" s="29"/>
      <c r="N380" s="29"/>
      <c r="O380" s="29"/>
      <c r="P380" s="29"/>
      <c r="Q380" s="29"/>
      <c r="R380" s="29"/>
      <c r="S380" s="29"/>
      <c r="T380" s="29"/>
      <c r="U380" s="29"/>
      <c r="V380" s="29"/>
      <c r="W380" s="29"/>
      <c r="X380" s="29"/>
    </row>
    <row r="381" spans="1:24" ht="15">
      <c r="A381" s="29"/>
      <c r="B381" s="29"/>
      <c r="C381" s="29"/>
      <c r="D381" s="33"/>
      <c r="E381" s="33"/>
      <c r="G381" s="29"/>
      <c r="H381" s="29"/>
      <c r="I381" s="29"/>
      <c r="J381" s="29"/>
      <c r="K381" s="29"/>
      <c r="L381" s="29"/>
      <c r="M381" s="29"/>
      <c r="N381" s="29"/>
      <c r="O381" s="29"/>
      <c r="P381" s="29"/>
      <c r="Q381" s="29"/>
      <c r="R381" s="29"/>
      <c r="S381" s="29"/>
      <c r="T381" s="29"/>
      <c r="U381" s="29"/>
      <c r="V381" s="29"/>
      <c r="W381" s="29"/>
      <c r="X381" s="29"/>
    </row>
    <row r="382" spans="1:24" ht="15">
      <c r="A382" s="29"/>
      <c r="B382" s="29"/>
      <c r="C382" s="29"/>
      <c r="D382" s="33"/>
      <c r="E382" s="33"/>
      <c r="G382" s="29"/>
      <c r="H382" s="29"/>
      <c r="I382" s="29"/>
      <c r="J382" s="29"/>
      <c r="K382" s="29"/>
      <c r="L382" s="29"/>
      <c r="M382" s="29"/>
      <c r="N382" s="29"/>
      <c r="O382" s="29"/>
      <c r="P382" s="29"/>
      <c r="Q382" s="29"/>
      <c r="R382" s="29"/>
      <c r="S382" s="29"/>
      <c r="T382" s="29"/>
      <c r="U382" s="29"/>
      <c r="V382" s="29"/>
      <c r="W382" s="29"/>
      <c r="X382" s="29"/>
    </row>
    <row r="383" spans="1:24" ht="15">
      <c r="A383" s="29"/>
      <c r="B383" s="29"/>
      <c r="C383" s="29"/>
      <c r="D383" s="33"/>
      <c r="E383" s="33"/>
      <c r="G383" s="29"/>
      <c r="H383" s="29"/>
      <c r="I383" s="29"/>
      <c r="J383" s="29"/>
      <c r="K383" s="29"/>
      <c r="L383" s="29"/>
      <c r="M383" s="29"/>
      <c r="N383" s="29"/>
      <c r="O383" s="29"/>
      <c r="P383" s="29"/>
      <c r="Q383" s="29"/>
      <c r="R383" s="29"/>
      <c r="S383" s="29"/>
      <c r="T383" s="29"/>
      <c r="U383" s="29"/>
      <c r="V383" s="29"/>
      <c r="W383" s="29"/>
      <c r="X383" s="29"/>
    </row>
    <row r="384" spans="1:24" ht="15">
      <c r="A384" s="29"/>
      <c r="B384" s="29"/>
      <c r="C384" s="29"/>
      <c r="D384" s="33"/>
      <c r="E384" s="33"/>
      <c r="G384" s="29"/>
      <c r="H384" s="29"/>
      <c r="I384" s="29"/>
      <c r="J384" s="29"/>
      <c r="K384" s="29"/>
      <c r="L384" s="29"/>
      <c r="M384" s="29"/>
      <c r="N384" s="29"/>
      <c r="O384" s="29"/>
      <c r="P384" s="29"/>
      <c r="Q384" s="29"/>
      <c r="R384" s="29"/>
      <c r="S384" s="29"/>
      <c r="T384" s="29"/>
      <c r="U384" s="29"/>
      <c r="V384" s="29"/>
      <c r="W384" s="29"/>
      <c r="X384" s="29"/>
    </row>
    <row r="385" spans="1:24" ht="15">
      <c r="A385" s="29"/>
      <c r="B385" s="29"/>
      <c r="C385" s="29"/>
      <c r="D385" s="33"/>
      <c r="E385" s="33"/>
      <c r="G385" s="29"/>
      <c r="H385" s="29"/>
      <c r="I385" s="29"/>
      <c r="J385" s="29"/>
      <c r="K385" s="29"/>
      <c r="L385" s="29"/>
      <c r="M385" s="29"/>
      <c r="N385" s="29"/>
      <c r="O385" s="29"/>
      <c r="P385" s="29"/>
      <c r="Q385" s="29"/>
      <c r="R385" s="29"/>
      <c r="S385" s="29"/>
      <c r="T385" s="29"/>
      <c r="U385" s="29"/>
      <c r="V385" s="29"/>
      <c r="W385" s="29"/>
      <c r="X385" s="29"/>
    </row>
    <row r="386" spans="1:24" ht="15">
      <c r="A386" s="29"/>
      <c r="B386" s="29"/>
      <c r="C386" s="29"/>
      <c r="D386" s="33"/>
      <c r="E386" s="33"/>
      <c r="G386" s="29"/>
      <c r="H386" s="29"/>
      <c r="I386" s="29"/>
      <c r="J386" s="29"/>
      <c r="K386" s="29"/>
      <c r="L386" s="29"/>
      <c r="M386" s="29"/>
      <c r="N386" s="29"/>
      <c r="O386" s="29"/>
      <c r="P386" s="29"/>
      <c r="Q386" s="29"/>
      <c r="R386" s="29"/>
      <c r="S386" s="29"/>
      <c r="T386" s="29"/>
      <c r="U386" s="29"/>
      <c r="V386" s="29"/>
      <c r="W386" s="29"/>
      <c r="X386" s="29"/>
    </row>
    <row r="387" spans="1:24" ht="15">
      <c r="A387" s="29"/>
      <c r="B387" s="29"/>
      <c r="C387" s="29"/>
      <c r="D387" s="33"/>
      <c r="E387" s="33"/>
      <c r="G387" s="29"/>
      <c r="H387" s="29"/>
      <c r="I387" s="29"/>
      <c r="J387" s="29"/>
      <c r="K387" s="29"/>
      <c r="L387" s="29"/>
      <c r="M387" s="29"/>
      <c r="N387" s="29"/>
      <c r="O387" s="29"/>
      <c r="P387" s="29"/>
      <c r="Q387" s="29"/>
      <c r="R387" s="29"/>
      <c r="S387" s="29"/>
      <c r="T387" s="29"/>
      <c r="U387" s="29"/>
      <c r="V387" s="29"/>
      <c r="W387" s="29"/>
      <c r="X387" s="29"/>
    </row>
    <row r="388" spans="1:24" ht="15">
      <c r="A388" s="29"/>
      <c r="B388" s="29"/>
      <c r="C388" s="29"/>
      <c r="D388" s="33"/>
      <c r="E388" s="33"/>
      <c r="G388" s="29"/>
      <c r="H388" s="29"/>
      <c r="I388" s="29"/>
      <c r="J388" s="29"/>
      <c r="K388" s="29"/>
      <c r="L388" s="29"/>
      <c r="M388" s="29"/>
      <c r="N388" s="29"/>
      <c r="O388" s="29"/>
      <c r="P388" s="29"/>
      <c r="Q388" s="29"/>
      <c r="R388" s="29"/>
      <c r="S388" s="29"/>
      <c r="T388" s="29"/>
      <c r="U388" s="29"/>
      <c r="V388" s="29"/>
      <c r="W388" s="29"/>
      <c r="X388" s="29"/>
    </row>
    <row r="389" spans="1:24" ht="15">
      <c r="A389" s="29"/>
      <c r="B389" s="29"/>
      <c r="C389" s="29"/>
      <c r="D389" s="33"/>
      <c r="E389" s="33"/>
      <c r="G389" s="29"/>
      <c r="H389" s="29"/>
      <c r="I389" s="29"/>
      <c r="J389" s="29"/>
      <c r="K389" s="29"/>
      <c r="L389" s="29"/>
      <c r="M389" s="29"/>
      <c r="N389" s="29"/>
      <c r="O389" s="29"/>
      <c r="P389" s="29"/>
      <c r="Q389" s="29"/>
      <c r="R389" s="29"/>
      <c r="S389" s="29"/>
      <c r="T389" s="29"/>
      <c r="U389" s="29"/>
      <c r="V389" s="29"/>
      <c r="W389" s="29"/>
      <c r="X389" s="29"/>
    </row>
    <row r="390" spans="1:24" ht="15">
      <c r="A390" s="29"/>
      <c r="B390" s="29"/>
      <c r="C390" s="29"/>
      <c r="D390" s="33"/>
      <c r="E390" s="33"/>
      <c r="G390" s="29"/>
      <c r="H390" s="29"/>
      <c r="I390" s="29"/>
      <c r="J390" s="29"/>
      <c r="K390" s="29"/>
      <c r="L390" s="29"/>
      <c r="M390" s="29"/>
      <c r="N390" s="29"/>
      <c r="O390" s="29"/>
      <c r="P390" s="29"/>
      <c r="Q390" s="29"/>
      <c r="R390" s="29"/>
      <c r="S390" s="29"/>
      <c r="T390" s="29"/>
      <c r="U390" s="29"/>
      <c r="V390" s="29"/>
      <c r="W390" s="29"/>
      <c r="X390" s="29"/>
    </row>
    <row r="391" spans="1:24" ht="15">
      <c r="A391" s="29"/>
      <c r="B391" s="29"/>
      <c r="C391" s="29"/>
      <c r="D391" s="33"/>
      <c r="E391" s="33"/>
      <c r="G391" s="29"/>
      <c r="H391" s="29"/>
      <c r="I391" s="29"/>
      <c r="J391" s="29"/>
      <c r="K391" s="29"/>
      <c r="L391" s="29"/>
      <c r="M391" s="29"/>
      <c r="N391" s="29"/>
      <c r="O391" s="29"/>
      <c r="P391" s="29"/>
      <c r="Q391" s="29"/>
      <c r="R391" s="29"/>
      <c r="S391" s="29"/>
      <c r="T391" s="29"/>
      <c r="U391" s="29"/>
      <c r="V391" s="29"/>
      <c r="W391" s="29"/>
      <c r="X391" s="29"/>
    </row>
    <row r="392" spans="1:24" ht="15">
      <c r="A392" s="29"/>
      <c r="B392" s="29"/>
      <c r="C392" s="29"/>
      <c r="D392" s="33"/>
      <c r="E392" s="33"/>
      <c r="G392" s="29"/>
      <c r="H392" s="29"/>
      <c r="I392" s="29"/>
      <c r="J392" s="29"/>
      <c r="K392" s="29"/>
      <c r="L392" s="29"/>
      <c r="M392" s="29"/>
      <c r="N392" s="29"/>
      <c r="O392" s="29"/>
      <c r="P392" s="29"/>
      <c r="Q392" s="29"/>
      <c r="R392" s="29"/>
      <c r="S392" s="29"/>
      <c r="T392" s="29"/>
      <c r="U392" s="29"/>
      <c r="V392" s="29"/>
      <c r="W392" s="29"/>
      <c r="X392" s="29"/>
    </row>
    <row r="393" spans="1:24" ht="15">
      <c r="A393" s="29"/>
      <c r="B393" s="29"/>
      <c r="C393" s="29"/>
      <c r="D393" s="33"/>
      <c r="E393" s="33"/>
      <c r="G393" s="29"/>
      <c r="H393" s="29"/>
      <c r="I393" s="29"/>
      <c r="J393" s="29"/>
      <c r="K393" s="29"/>
      <c r="L393" s="29"/>
      <c r="M393" s="29"/>
      <c r="N393" s="29"/>
      <c r="O393" s="29"/>
      <c r="P393" s="29"/>
      <c r="Q393" s="29"/>
      <c r="R393" s="29"/>
      <c r="S393" s="29"/>
      <c r="T393" s="29"/>
      <c r="U393" s="29"/>
      <c r="V393" s="29"/>
      <c r="W393" s="29"/>
      <c r="X393" s="29"/>
    </row>
    <row r="394" spans="1:24" ht="15">
      <c r="A394" s="29"/>
      <c r="B394" s="29"/>
      <c r="C394" s="29"/>
      <c r="D394" s="33"/>
      <c r="E394" s="33"/>
      <c r="G394" s="29"/>
      <c r="H394" s="29"/>
      <c r="I394" s="29"/>
      <c r="J394" s="29"/>
      <c r="K394" s="29"/>
      <c r="L394" s="29"/>
      <c r="M394" s="29"/>
      <c r="N394" s="29"/>
      <c r="O394" s="29"/>
      <c r="P394" s="29"/>
      <c r="Q394" s="29"/>
      <c r="R394" s="29"/>
      <c r="S394" s="29"/>
      <c r="T394" s="29"/>
      <c r="U394" s="29"/>
      <c r="V394" s="29"/>
      <c r="W394" s="29"/>
      <c r="X394" s="29"/>
    </row>
    <row r="395" spans="1:24" ht="15">
      <c r="A395" s="29"/>
      <c r="B395" s="29"/>
      <c r="C395" s="29"/>
      <c r="D395" s="33"/>
      <c r="E395" s="33"/>
      <c r="G395" s="29"/>
      <c r="H395" s="29"/>
      <c r="I395" s="29"/>
      <c r="J395" s="29"/>
      <c r="K395" s="29"/>
      <c r="L395" s="29"/>
      <c r="M395" s="29"/>
      <c r="N395" s="29"/>
      <c r="O395" s="29"/>
      <c r="P395" s="29"/>
      <c r="Q395" s="29"/>
      <c r="R395" s="29"/>
      <c r="S395" s="29"/>
      <c r="T395" s="29"/>
      <c r="U395" s="29"/>
      <c r="V395" s="29"/>
      <c r="W395" s="29"/>
      <c r="X395" s="29"/>
    </row>
    <row r="396" spans="1:24" ht="15">
      <c r="A396" s="29"/>
      <c r="B396" s="29"/>
      <c r="C396" s="29"/>
      <c r="D396" s="33"/>
      <c r="E396" s="33"/>
      <c r="G396" s="29"/>
      <c r="H396" s="29"/>
      <c r="I396" s="29"/>
      <c r="J396" s="29"/>
      <c r="K396" s="29"/>
      <c r="L396" s="29"/>
      <c r="M396" s="29"/>
      <c r="N396" s="29"/>
      <c r="O396" s="29"/>
      <c r="P396" s="29"/>
      <c r="Q396" s="29"/>
      <c r="R396" s="29"/>
      <c r="S396" s="29"/>
      <c r="T396" s="29"/>
      <c r="U396" s="29"/>
      <c r="V396" s="29"/>
      <c r="W396" s="29"/>
      <c r="X396" s="29"/>
    </row>
    <row r="397" spans="1:24" ht="15">
      <c r="A397" s="29"/>
      <c r="B397" s="29"/>
      <c r="C397" s="29"/>
      <c r="D397" s="33"/>
      <c r="E397" s="33"/>
      <c r="G397" s="29"/>
      <c r="H397" s="29"/>
      <c r="I397" s="29"/>
      <c r="J397" s="29"/>
      <c r="K397" s="29"/>
      <c r="L397" s="29"/>
      <c r="M397" s="29"/>
      <c r="N397" s="29"/>
      <c r="O397" s="29"/>
      <c r="P397" s="29"/>
      <c r="Q397" s="29"/>
      <c r="R397" s="29"/>
      <c r="S397" s="29"/>
      <c r="T397" s="29"/>
      <c r="U397" s="29"/>
      <c r="V397" s="29"/>
      <c r="W397" s="29"/>
      <c r="X397" s="29"/>
    </row>
    <row r="398" spans="1:24" ht="15">
      <c r="A398" s="29"/>
      <c r="B398" s="29"/>
      <c r="C398" s="29"/>
      <c r="D398" s="33"/>
      <c r="E398" s="33"/>
      <c r="G398" s="29"/>
      <c r="H398" s="29"/>
      <c r="I398" s="29"/>
      <c r="J398" s="29"/>
      <c r="K398" s="29"/>
      <c r="L398" s="29"/>
      <c r="M398" s="29"/>
      <c r="N398" s="29"/>
      <c r="O398" s="29"/>
      <c r="P398" s="29"/>
      <c r="Q398" s="29"/>
      <c r="R398" s="29"/>
      <c r="S398" s="29"/>
      <c r="T398" s="29"/>
      <c r="U398" s="29"/>
      <c r="V398" s="29"/>
      <c r="W398" s="29"/>
      <c r="X398" s="29"/>
    </row>
    <row r="399" spans="1:24" ht="15">
      <c r="A399" s="29"/>
      <c r="B399" s="29"/>
      <c r="C399" s="29"/>
      <c r="D399" s="33"/>
      <c r="E399" s="33"/>
      <c r="G399" s="29"/>
      <c r="H399" s="29"/>
      <c r="I399" s="29"/>
      <c r="J399" s="29"/>
      <c r="K399" s="29"/>
      <c r="L399" s="29"/>
      <c r="M399" s="29"/>
      <c r="N399" s="29"/>
      <c r="O399" s="29"/>
      <c r="P399" s="29"/>
      <c r="Q399" s="29"/>
      <c r="R399" s="29"/>
      <c r="S399" s="29"/>
      <c r="T399" s="29"/>
      <c r="U399" s="29"/>
      <c r="V399" s="29"/>
      <c r="W399" s="29"/>
      <c r="X399" s="29"/>
    </row>
    <row r="400" spans="1:24" ht="15">
      <c r="A400" s="29"/>
      <c r="B400" s="29"/>
      <c r="C400" s="29"/>
      <c r="D400" s="33"/>
      <c r="E400" s="33"/>
      <c r="G400" s="29"/>
      <c r="H400" s="29"/>
      <c r="I400" s="29"/>
      <c r="J400" s="29"/>
      <c r="K400" s="29"/>
      <c r="L400" s="29"/>
      <c r="M400" s="29"/>
      <c r="N400" s="29"/>
      <c r="O400" s="29"/>
      <c r="P400" s="29"/>
      <c r="Q400" s="29"/>
      <c r="R400" s="29"/>
      <c r="S400" s="29"/>
      <c r="T400" s="29"/>
      <c r="U400" s="29"/>
      <c r="V400" s="29"/>
      <c r="W400" s="29"/>
      <c r="X400" s="29"/>
    </row>
    <row r="401" spans="1:24" ht="15">
      <c r="A401" s="29"/>
      <c r="B401" s="29"/>
      <c r="C401" s="29"/>
      <c r="D401" s="33"/>
      <c r="E401" s="33"/>
      <c r="G401" s="29"/>
      <c r="H401" s="29"/>
      <c r="I401" s="29"/>
      <c r="J401" s="29"/>
      <c r="K401" s="29"/>
      <c r="L401" s="29"/>
      <c r="M401" s="29"/>
      <c r="N401" s="29"/>
      <c r="O401" s="29"/>
      <c r="P401" s="29"/>
      <c r="Q401" s="29"/>
      <c r="R401" s="29"/>
      <c r="S401" s="29"/>
      <c r="T401" s="29"/>
      <c r="U401" s="29"/>
      <c r="V401" s="29"/>
      <c r="W401" s="29"/>
      <c r="X401" s="29"/>
    </row>
    <row r="402" spans="1:24" ht="15">
      <c r="A402" s="29"/>
      <c r="B402" s="29"/>
      <c r="C402" s="29"/>
      <c r="D402" s="33"/>
      <c r="E402" s="33"/>
      <c r="G402" s="29"/>
      <c r="H402" s="29"/>
      <c r="I402" s="29"/>
      <c r="J402" s="29"/>
      <c r="K402" s="29"/>
      <c r="L402" s="29"/>
      <c r="M402" s="29"/>
      <c r="N402" s="29"/>
      <c r="O402" s="29"/>
      <c r="P402" s="29"/>
      <c r="Q402" s="29"/>
      <c r="R402" s="29"/>
      <c r="S402" s="29"/>
      <c r="T402" s="29"/>
      <c r="U402" s="29"/>
      <c r="V402" s="29"/>
      <c r="W402" s="29"/>
      <c r="X402" s="29"/>
    </row>
    <row r="403" spans="1:24" ht="15">
      <c r="A403" s="29"/>
      <c r="B403" s="29"/>
      <c r="C403" s="29"/>
      <c r="D403" s="33"/>
      <c r="E403" s="33"/>
      <c r="G403" s="29"/>
      <c r="H403" s="29"/>
      <c r="I403" s="29"/>
      <c r="J403" s="29"/>
      <c r="K403" s="29"/>
      <c r="L403" s="29"/>
      <c r="M403" s="29"/>
      <c r="N403" s="29"/>
      <c r="O403" s="29"/>
      <c r="P403" s="29"/>
      <c r="Q403" s="29"/>
      <c r="R403" s="29"/>
      <c r="S403" s="29"/>
      <c r="T403" s="29"/>
      <c r="U403" s="29"/>
      <c r="V403" s="29"/>
      <c r="W403" s="29"/>
      <c r="X403" s="29"/>
    </row>
    <row r="404" spans="1:24" ht="15">
      <c r="A404" s="29"/>
      <c r="B404" s="29"/>
      <c r="C404" s="29"/>
      <c r="D404" s="33"/>
      <c r="E404" s="33"/>
      <c r="G404" s="29"/>
      <c r="H404" s="29"/>
      <c r="I404" s="29"/>
      <c r="J404" s="29"/>
      <c r="K404" s="29"/>
      <c r="L404" s="29"/>
      <c r="M404" s="29"/>
      <c r="N404" s="29"/>
      <c r="O404" s="29"/>
      <c r="P404" s="29"/>
      <c r="Q404" s="29"/>
      <c r="R404" s="29"/>
      <c r="S404" s="29"/>
      <c r="T404" s="29"/>
      <c r="U404" s="29"/>
      <c r="V404" s="29"/>
      <c r="W404" s="29"/>
      <c r="X404" s="29"/>
    </row>
    <row r="405" spans="1:24" ht="15">
      <c r="A405" s="29"/>
      <c r="B405" s="29"/>
      <c r="C405" s="29"/>
      <c r="D405" s="33"/>
      <c r="E405" s="33"/>
      <c r="G405" s="29"/>
      <c r="H405" s="29"/>
      <c r="I405" s="29"/>
      <c r="J405" s="29"/>
      <c r="K405" s="29"/>
      <c r="L405" s="29"/>
      <c r="M405" s="29"/>
      <c r="N405" s="29"/>
      <c r="O405" s="29"/>
      <c r="P405" s="29"/>
      <c r="Q405" s="29"/>
      <c r="R405" s="29"/>
      <c r="S405" s="29"/>
      <c r="T405" s="29"/>
      <c r="U405" s="29"/>
      <c r="V405" s="29"/>
      <c r="W405" s="29"/>
      <c r="X405" s="29"/>
    </row>
    <row r="406" spans="1:24" ht="15">
      <c r="A406" s="29"/>
      <c r="B406" s="29"/>
      <c r="C406" s="29"/>
      <c r="D406" s="33"/>
      <c r="E406" s="33"/>
      <c r="G406" s="29"/>
      <c r="H406" s="29"/>
      <c r="I406" s="29"/>
      <c r="J406" s="29"/>
      <c r="K406" s="29"/>
      <c r="L406" s="29"/>
      <c r="M406" s="29"/>
      <c r="N406" s="29"/>
      <c r="O406" s="29"/>
      <c r="P406" s="29"/>
      <c r="Q406" s="29"/>
      <c r="R406" s="29"/>
      <c r="S406" s="29"/>
      <c r="T406" s="29"/>
      <c r="U406" s="29"/>
      <c r="V406" s="29"/>
      <c r="W406" s="29"/>
      <c r="X406" s="29"/>
    </row>
    <row r="407" spans="1:24" ht="15">
      <c r="A407" s="29"/>
      <c r="B407" s="29"/>
      <c r="C407" s="29"/>
      <c r="D407" s="33"/>
      <c r="E407" s="33"/>
      <c r="G407" s="29"/>
      <c r="H407" s="29"/>
      <c r="I407" s="29"/>
      <c r="J407" s="29"/>
      <c r="K407" s="29"/>
      <c r="L407" s="29"/>
      <c r="M407" s="29"/>
      <c r="N407" s="29"/>
      <c r="O407" s="29"/>
      <c r="P407" s="29"/>
      <c r="Q407" s="29"/>
      <c r="R407" s="29"/>
      <c r="S407" s="29"/>
      <c r="T407" s="29"/>
      <c r="U407" s="29"/>
      <c r="V407" s="29"/>
      <c r="W407" s="29"/>
      <c r="X407" s="29"/>
    </row>
    <row r="408" spans="1:24" ht="15">
      <c r="A408" s="29"/>
      <c r="B408" s="29"/>
      <c r="C408" s="29"/>
      <c r="D408" s="33"/>
      <c r="E408" s="33"/>
      <c r="G408" s="29"/>
      <c r="H408" s="29"/>
      <c r="I408" s="29"/>
      <c r="J408" s="29"/>
      <c r="K408" s="29"/>
      <c r="L408" s="29"/>
      <c r="M408" s="29"/>
      <c r="N408" s="29"/>
      <c r="O408" s="29"/>
      <c r="P408" s="29"/>
      <c r="Q408" s="29"/>
      <c r="R408" s="29"/>
      <c r="S408" s="29"/>
      <c r="T408" s="29"/>
      <c r="U408" s="29"/>
      <c r="V408" s="29"/>
      <c r="W408" s="29"/>
      <c r="X408" s="29"/>
    </row>
    <row r="409" spans="1:24" ht="15">
      <c r="A409" s="29"/>
      <c r="B409" s="29"/>
      <c r="C409" s="29"/>
      <c r="D409" s="33"/>
      <c r="E409" s="33"/>
      <c r="G409" s="29"/>
      <c r="H409" s="29"/>
      <c r="I409" s="29"/>
      <c r="J409" s="29"/>
      <c r="K409" s="29"/>
      <c r="L409" s="29"/>
      <c r="M409" s="29"/>
      <c r="N409" s="29"/>
      <c r="O409" s="29"/>
      <c r="P409" s="29"/>
      <c r="Q409" s="29"/>
      <c r="R409" s="29"/>
      <c r="S409" s="29"/>
      <c r="T409" s="29"/>
      <c r="U409" s="29"/>
      <c r="V409" s="29"/>
      <c r="W409" s="29"/>
      <c r="X409" s="29"/>
    </row>
    <row r="410" spans="1:24" ht="15">
      <c r="A410" s="29"/>
      <c r="B410" s="29"/>
      <c r="C410" s="29"/>
      <c r="D410" s="33"/>
      <c r="E410" s="33"/>
      <c r="G410" s="29"/>
      <c r="H410" s="29"/>
      <c r="I410" s="29"/>
      <c r="J410" s="29"/>
      <c r="K410" s="29"/>
      <c r="L410" s="29"/>
      <c r="M410" s="29"/>
      <c r="N410" s="29"/>
      <c r="O410" s="29"/>
      <c r="P410" s="29"/>
      <c r="Q410" s="29"/>
      <c r="R410" s="29"/>
      <c r="S410" s="29"/>
      <c r="T410" s="29"/>
      <c r="U410" s="29"/>
      <c r="V410" s="29"/>
      <c r="W410" s="29"/>
      <c r="X410" s="29"/>
    </row>
    <row r="411" spans="1:24" ht="15">
      <c r="A411" s="29"/>
      <c r="B411" s="29"/>
      <c r="C411" s="29"/>
      <c r="D411" s="33"/>
      <c r="E411" s="33"/>
      <c r="G411" s="29"/>
      <c r="H411" s="29"/>
      <c r="I411" s="29"/>
      <c r="J411" s="29"/>
      <c r="K411" s="29"/>
      <c r="L411" s="29"/>
      <c r="M411" s="29"/>
      <c r="N411" s="29"/>
      <c r="O411" s="29"/>
      <c r="P411" s="29"/>
      <c r="Q411" s="29"/>
      <c r="R411" s="29"/>
      <c r="S411" s="29"/>
      <c r="T411" s="29"/>
      <c r="U411" s="29"/>
      <c r="V411" s="29"/>
      <c r="W411" s="29"/>
      <c r="X411" s="29"/>
    </row>
    <row r="412" spans="1:24" ht="15">
      <c r="A412" s="29"/>
      <c r="B412" s="29"/>
      <c r="C412" s="29"/>
      <c r="D412" s="33"/>
      <c r="E412" s="33"/>
      <c r="G412" s="29"/>
      <c r="H412" s="29"/>
      <c r="I412" s="29"/>
      <c r="J412" s="29"/>
      <c r="K412" s="29"/>
      <c r="L412" s="29"/>
      <c r="M412" s="29"/>
      <c r="N412" s="29"/>
      <c r="O412" s="29"/>
      <c r="P412" s="29"/>
      <c r="Q412" s="29"/>
      <c r="R412" s="29"/>
      <c r="S412" s="29"/>
      <c r="T412" s="29"/>
      <c r="U412" s="29"/>
      <c r="V412" s="29"/>
      <c r="W412" s="29"/>
      <c r="X412" s="29"/>
    </row>
    <row r="413" spans="1:24" ht="15">
      <c r="A413" s="29"/>
      <c r="B413" s="29"/>
      <c r="C413" s="29"/>
      <c r="D413" s="33"/>
      <c r="E413" s="33"/>
      <c r="G413" s="29"/>
      <c r="H413" s="29"/>
      <c r="I413" s="29"/>
      <c r="J413" s="29"/>
      <c r="K413" s="29"/>
      <c r="L413" s="29"/>
      <c r="M413" s="29"/>
      <c r="N413" s="29"/>
      <c r="O413" s="29"/>
      <c r="P413" s="29"/>
      <c r="Q413" s="29"/>
      <c r="R413" s="29"/>
      <c r="S413" s="29"/>
      <c r="T413" s="29"/>
      <c r="U413" s="29"/>
      <c r="V413" s="29"/>
      <c r="W413" s="29"/>
      <c r="X413" s="29"/>
    </row>
    <row r="414" spans="1:24" ht="15">
      <c r="A414" s="29"/>
      <c r="B414" s="29"/>
      <c r="C414" s="29"/>
      <c r="D414" s="33"/>
      <c r="E414" s="33"/>
      <c r="G414" s="29"/>
      <c r="H414" s="29"/>
      <c r="I414" s="29"/>
      <c r="J414" s="29"/>
      <c r="K414" s="29"/>
      <c r="L414" s="29"/>
      <c r="M414" s="29"/>
      <c r="N414" s="29"/>
      <c r="O414" s="29"/>
      <c r="P414" s="29"/>
      <c r="Q414" s="29"/>
      <c r="R414" s="29"/>
      <c r="S414" s="29"/>
      <c r="T414" s="29"/>
      <c r="U414" s="29"/>
      <c r="V414" s="29"/>
      <c r="W414" s="29"/>
      <c r="X414" s="29"/>
    </row>
    <row r="415" spans="1:24" ht="15">
      <c r="A415" s="29"/>
      <c r="B415" s="29"/>
      <c r="C415" s="29"/>
      <c r="D415" s="33"/>
      <c r="E415" s="33"/>
      <c r="G415" s="29"/>
      <c r="H415" s="29"/>
      <c r="I415" s="29"/>
      <c r="J415" s="29"/>
      <c r="K415" s="29"/>
      <c r="L415" s="29"/>
      <c r="M415" s="29"/>
      <c r="N415" s="29"/>
      <c r="O415" s="29"/>
      <c r="P415" s="29"/>
      <c r="Q415" s="29"/>
      <c r="R415" s="29"/>
      <c r="S415" s="29"/>
      <c r="T415" s="29"/>
      <c r="U415" s="29"/>
      <c r="V415" s="29"/>
      <c r="W415" s="29"/>
      <c r="X415" s="29"/>
    </row>
    <row r="416" spans="1:24" ht="15">
      <c r="A416" s="29"/>
      <c r="B416" s="29"/>
      <c r="C416" s="29"/>
      <c r="D416" s="33"/>
      <c r="E416" s="33"/>
      <c r="G416" s="29"/>
      <c r="H416" s="29"/>
      <c r="I416" s="29"/>
      <c r="J416" s="29"/>
      <c r="K416" s="29"/>
      <c r="L416" s="29"/>
      <c r="M416" s="29"/>
      <c r="N416" s="29"/>
      <c r="O416" s="29"/>
      <c r="P416" s="29"/>
      <c r="Q416" s="29"/>
      <c r="R416" s="29"/>
      <c r="S416" s="29"/>
      <c r="T416" s="29"/>
      <c r="U416" s="29"/>
      <c r="V416" s="29"/>
      <c r="W416" s="29"/>
      <c r="X416" s="29"/>
    </row>
    <row r="417" spans="1:24" ht="15">
      <c r="A417" s="29"/>
      <c r="B417" s="29"/>
      <c r="C417" s="29"/>
      <c r="D417" s="33"/>
      <c r="E417" s="33"/>
      <c r="G417" s="29"/>
      <c r="H417" s="29"/>
      <c r="I417" s="29"/>
      <c r="J417" s="29"/>
      <c r="K417" s="29"/>
      <c r="L417" s="29"/>
      <c r="M417" s="29"/>
      <c r="N417" s="29"/>
      <c r="O417" s="29"/>
      <c r="P417" s="29"/>
      <c r="Q417" s="29"/>
      <c r="R417" s="29"/>
      <c r="S417" s="29"/>
      <c r="T417" s="29"/>
      <c r="U417" s="29"/>
      <c r="V417" s="29"/>
      <c r="W417" s="29"/>
      <c r="X417" s="29"/>
    </row>
    <row r="418" spans="1:24" ht="15">
      <c r="A418" s="29"/>
      <c r="B418" s="29"/>
      <c r="C418" s="29"/>
      <c r="D418" s="33"/>
      <c r="E418" s="33"/>
      <c r="G418" s="29"/>
      <c r="H418" s="29"/>
      <c r="I418" s="29"/>
      <c r="J418" s="29"/>
      <c r="K418" s="29"/>
      <c r="L418" s="29"/>
      <c r="M418" s="29"/>
      <c r="N418" s="29"/>
      <c r="O418" s="29"/>
      <c r="P418" s="29"/>
      <c r="Q418" s="29"/>
      <c r="R418" s="29"/>
      <c r="S418" s="29"/>
      <c r="T418" s="29"/>
      <c r="U418" s="29"/>
      <c r="V418" s="29"/>
      <c r="W418" s="29"/>
      <c r="X418" s="29"/>
    </row>
    <row r="419" spans="1:24" ht="15">
      <c r="A419" s="29"/>
      <c r="B419" s="29"/>
      <c r="C419" s="29"/>
      <c r="D419" s="33"/>
      <c r="E419" s="33"/>
      <c r="G419" s="29"/>
      <c r="H419" s="29"/>
      <c r="I419" s="29"/>
      <c r="J419" s="29"/>
      <c r="K419" s="29"/>
      <c r="L419" s="29"/>
      <c r="M419" s="29"/>
      <c r="N419" s="29"/>
      <c r="O419" s="29"/>
      <c r="P419" s="29"/>
      <c r="Q419" s="29"/>
      <c r="R419" s="29"/>
      <c r="S419" s="29"/>
      <c r="T419" s="29"/>
      <c r="U419" s="29"/>
      <c r="V419" s="29"/>
      <c r="W419" s="29"/>
      <c r="X419" s="29"/>
    </row>
    <row r="420" spans="1:24" ht="15">
      <c r="A420" s="29"/>
      <c r="B420" s="29"/>
      <c r="C420" s="29"/>
      <c r="D420" s="33"/>
      <c r="E420" s="33"/>
      <c r="G420" s="29"/>
      <c r="H420" s="29"/>
      <c r="I420" s="29"/>
      <c r="J420" s="29"/>
      <c r="K420" s="29"/>
      <c r="L420" s="29"/>
      <c r="M420" s="29"/>
      <c r="N420" s="29"/>
      <c r="O420" s="29"/>
      <c r="P420" s="29"/>
      <c r="Q420" s="29"/>
      <c r="R420" s="29"/>
      <c r="S420" s="29"/>
      <c r="T420" s="29"/>
      <c r="U420" s="29"/>
      <c r="V420" s="29"/>
      <c r="W420" s="29"/>
      <c r="X420" s="29"/>
    </row>
    <row r="421" spans="1:24" ht="15">
      <c r="A421" s="29"/>
      <c r="B421" s="29"/>
      <c r="C421" s="29"/>
      <c r="D421" s="33"/>
      <c r="E421" s="33"/>
      <c r="G421" s="29"/>
      <c r="H421" s="29"/>
      <c r="I421" s="29"/>
      <c r="J421" s="29"/>
      <c r="K421" s="29"/>
      <c r="L421" s="29"/>
      <c r="M421" s="29"/>
      <c r="N421" s="29"/>
      <c r="O421" s="29"/>
      <c r="P421" s="29"/>
      <c r="Q421" s="29"/>
      <c r="R421" s="29"/>
      <c r="S421" s="29"/>
      <c r="T421" s="29"/>
      <c r="U421" s="29"/>
      <c r="V421" s="29"/>
      <c r="W421" s="29"/>
      <c r="X421" s="29"/>
    </row>
    <row r="422" spans="1:24" ht="15">
      <c r="A422" s="29"/>
      <c r="B422" s="29"/>
      <c r="C422" s="29"/>
      <c r="D422" s="33"/>
      <c r="E422" s="33"/>
      <c r="G422" s="29"/>
      <c r="H422" s="29"/>
      <c r="I422" s="29"/>
      <c r="J422" s="29"/>
      <c r="K422" s="29"/>
      <c r="L422" s="29"/>
      <c r="M422" s="29"/>
      <c r="N422" s="29"/>
      <c r="O422" s="29"/>
      <c r="P422" s="29"/>
      <c r="Q422" s="29"/>
      <c r="R422" s="29"/>
      <c r="S422" s="29"/>
      <c r="T422" s="29"/>
      <c r="U422" s="29"/>
      <c r="V422" s="29"/>
      <c r="W422" s="29"/>
      <c r="X422" s="29"/>
    </row>
    <row r="423" spans="1:24" ht="15">
      <c r="A423" s="29"/>
      <c r="B423" s="29"/>
      <c r="C423" s="29"/>
      <c r="D423" s="33"/>
      <c r="E423" s="33"/>
      <c r="G423" s="29"/>
      <c r="H423" s="29"/>
      <c r="I423" s="29"/>
      <c r="J423" s="29"/>
      <c r="K423" s="29"/>
      <c r="L423" s="29"/>
      <c r="M423" s="29"/>
      <c r="N423" s="29"/>
      <c r="O423" s="29"/>
      <c r="P423" s="29"/>
      <c r="Q423" s="29"/>
      <c r="R423" s="29"/>
      <c r="S423" s="29"/>
      <c r="T423" s="29"/>
      <c r="U423" s="29"/>
      <c r="V423" s="29"/>
      <c r="W423" s="29"/>
      <c r="X423" s="29"/>
    </row>
    <row r="424" spans="1:24" ht="15">
      <c r="A424" s="29"/>
      <c r="B424" s="29"/>
      <c r="C424" s="29"/>
      <c r="D424" s="33"/>
      <c r="E424" s="33"/>
      <c r="G424" s="29"/>
      <c r="H424" s="29"/>
      <c r="I424" s="29"/>
      <c r="J424" s="29"/>
      <c r="K424" s="29"/>
      <c r="L424" s="29"/>
      <c r="M424" s="29"/>
      <c r="N424" s="29"/>
      <c r="O424" s="29"/>
      <c r="P424" s="29"/>
      <c r="Q424" s="29"/>
      <c r="R424" s="29"/>
      <c r="S424" s="29"/>
      <c r="T424" s="29"/>
      <c r="U424" s="29"/>
      <c r="V424" s="29"/>
      <c r="W424" s="29"/>
      <c r="X424" s="29"/>
    </row>
    <row r="425" spans="1:24" ht="15">
      <c r="A425" s="29"/>
      <c r="B425" s="29"/>
      <c r="C425" s="29"/>
      <c r="D425" s="33"/>
      <c r="E425" s="33"/>
      <c r="G425" s="29"/>
      <c r="H425" s="29"/>
      <c r="I425" s="29"/>
      <c r="J425" s="29"/>
      <c r="K425" s="29"/>
      <c r="L425" s="29"/>
      <c r="M425" s="29"/>
      <c r="N425" s="29"/>
      <c r="O425" s="29"/>
      <c r="P425" s="29"/>
      <c r="Q425" s="29"/>
      <c r="R425" s="29"/>
      <c r="S425" s="29"/>
      <c r="T425" s="29"/>
      <c r="U425" s="29"/>
      <c r="V425" s="29"/>
      <c r="W425" s="29"/>
      <c r="X425" s="29"/>
    </row>
    <row r="426" spans="1:24" ht="15">
      <c r="A426" s="29"/>
      <c r="B426" s="29"/>
      <c r="C426" s="29"/>
      <c r="D426" s="33"/>
      <c r="E426" s="33"/>
      <c r="G426" s="29"/>
      <c r="H426" s="29"/>
      <c r="I426" s="29"/>
      <c r="J426" s="29"/>
      <c r="K426" s="29"/>
      <c r="L426" s="29"/>
      <c r="M426" s="29"/>
      <c r="N426" s="29"/>
      <c r="O426" s="29"/>
      <c r="P426" s="29"/>
      <c r="Q426" s="29"/>
      <c r="R426" s="29"/>
      <c r="S426" s="29"/>
      <c r="T426" s="29"/>
      <c r="U426" s="29"/>
      <c r="V426" s="29"/>
      <c r="W426" s="29"/>
      <c r="X426" s="29"/>
    </row>
    <row r="427" spans="1:24" ht="15">
      <c r="A427" s="29"/>
      <c r="B427" s="29"/>
      <c r="C427" s="29"/>
      <c r="D427" s="33"/>
      <c r="E427" s="33"/>
      <c r="G427" s="29"/>
      <c r="H427" s="29"/>
      <c r="I427" s="29"/>
      <c r="J427" s="29"/>
      <c r="K427" s="29"/>
      <c r="L427" s="29"/>
      <c r="M427" s="29"/>
      <c r="N427" s="29"/>
      <c r="O427" s="29"/>
      <c r="P427" s="29"/>
      <c r="Q427" s="29"/>
      <c r="R427" s="29"/>
      <c r="S427" s="29"/>
      <c r="T427" s="29"/>
      <c r="U427" s="29"/>
      <c r="V427" s="29"/>
      <c r="W427" s="29"/>
      <c r="X427" s="29"/>
    </row>
    <row r="428" spans="1:24" ht="15">
      <c r="A428" s="29"/>
      <c r="B428" s="29"/>
      <c r="C428" s="29"/>
      <c r="D428" s="33"/>
      <c r="E428" s="33"/>
      <c r="G428" s="29"/>
      <c r="H428" s="29"/>
      <c r="I428" s="29"/>
      <c r="J428" s="29"/>
      <c r="K428" s="29"/>
      <c r="L428" s="29"/>
      <c r="M428" s="29"/>
      <c r="N428" s="29"/>
      <c r="O428" s="29"/>
      <c r="P428" s="29"/>
      <c r="Q428" s="29"/>
      <c r="R428" s="29"/>
      <c r="S428" s="29"/>
      <c r="T428" s="29"/>
      <c r="U428" s="29"/>
      <c r="V428" s="29"/>
      <c r="W428" s="29"/>
      <c r="X428" s="29"/>
    </row>
    <row r="429" spans="1:24" ht="15">
      <c r="A429" s="29"/>
      <c r="B429" s="29"/>
      <c r="C429" s="29"/>
      <c r="D429" s="33"/>
      <c r="E429" s="33"/>
      <c r="G429" s="29"/>
      <c r="H429" s="29"/>
      <c r="I429" s="29"/>
      <c r="J429" s="29"/>
      <c r="K429" s="29"/>
      <c r="L429" s="29"/>
      <c r="M429" s="29"/>
      <c r="N429" s="29"/>
      <c r="O429" s="29"/>
      <c r="P429" s="29"/>
      <c r="Q429" s="29"/>
      <c r="R429" s="29"/>
      <c r="S429" s="29"/>
      <c r="T429" s="29"/>
      <c r="U429" s="29"/>
      <c r="V429" s="29"/>
      <c r="W429" s="29"/>
      <c r="X429" s="29"/>
    </row>
    <row r="430" spans="1:24" ht="15">
      <c r="A430" s="29"/>
      <c r="B430" s="29"/>
      <c r="C430" s="29"/>
      <c r="D430" s="33"/>
      <c r="E430" s="33"/>
      <c r="G430" s="29"/>
      <c r="H430" s="29"/>
      <c r="I430" s="29"/>
      <c r="J430" s="29"/>
      <c r="K430" s="29"/>
      <c r="L430" s="29"/>
      <c r="M430" s="29"/>
      <c r="N430" s="29"/>
      <c r="O430" s="29"/>
      <c r="P430" s="29"/>
      <c r="Q430" s="29"/>
      <c r="R430" s="29"/>
      <c r="S430" s="29"/>
      <c r="T430" s="29"/>
      <c r="U430" s="29"/>
      <c r="V430" s="29"/>
      <c r="W430" s="29"/>
      <c r="X430" s="29"/>
    </row>
    <row r="431" spans="1:24" ht="15">
      <c r="A431" s="29"/>
      <c r="B431" s="29"/>
      <c r="C431" s="29"/>
      <c r="D431" s="33"/>
      <c r="E431" s="33"/>
      <c r="G431" s="29"/>
      <c r="H431" s="29"/>
      <c r="I431" s="29"/>
      <c r="J431" s="29"/>
      <c r="K431" s="29"/>
      <c r="L431" s="29"/>
      <c r="M431" s="29"/>
      <c r="N431" s="29"/>
      <c r="O431" s="29"/>
      <c r="P431" s="29"/>
      <c r="Q431" s="29"/>
      <c r="R431" s="29"/>
      <c r="S431" s="29"/>
      <c r="T431" s="29"/>
      <c r="U431" s="29"/>
      <c r="V431" s="29"/>
      <c r="W431" s="29"/>
      <c r="X431" s="29"/>
    </row>
    <row r="432" spans="1:24" ht="15">
      <c r="A432" s="29"/>
      <c r="B432" s="29"/>
      <c r="C432" s="29"/>
      <c r="D432" s="33"/>
      <c r="E432" s="33"/>
      <c r="G432" s="29"/>
      <c r="H432" s="29"/>
      <c r="I432" s="29"/>
      <c r="J432" s="29"/>
      <c r="K432" s="29"/>
      <c r="L432" s="29"/>
      <c r="M432" s="29"/>
      <c r="N432" s="29"/>
      <c r="O432" s="29"/>
      <c r="P432" s="29"/>
      <c r="Q432" s="29"/>
      <c r="R432" s="29"/>
      <c r="S432" s="29"/>
      <c r="T432" s="29"/>
      <c r="U432" s="29"/>
      <c r="V432" s="29"/>
      <c r="W432" s="29"/>
      <c r="X432" s="29"/>
    </row>
    <row r="433" spans="1:24" ht="15">
      <c r="A433" s="29"/>
      <c r="B433" s="29"/>
      <c r="C433" s="29"/>
      <c r="D433" s="33"/>
      <c r="E433" s="33"/>
      <c r="G433" s="29"/>
      <c r="H433" s="29"/>
      <c r="I433" s="29"/>
      <c r="J433" s="29"/>
      <c r="K433" s="29"/>
      <c r="L433" s="29"/>
      <c r="M433" s="29"/>
      <c r="N433" s="29"/>
      <c r="O433" s="29"/>
      <c r="P433" s="29"/>
      <c r="Q433" s="29"/>
      <c r="R433" s="29"/>
      <c r="S433" s="29"/>
      <c r="T433" s="29"/>
      <c r="U433" s="29"/>
      <c r="V433" s="29"/>
      <c r="W433" s="29"/>
      <c r="X433" s="29"/>
    </row>
    <row r="434" spans="1:24" ht="15">
      <c r="A434" s="29"/>
      <c r="B434" s="29"/>
      <c r="C434" s="29"/>
      <c r="D434" s="33"/>
      <c r="E434" s="33"/>
      <c r="G434" s="29"/>
      <c r="H434" s="29"/>
      <c r="I434" s="29"/>
      <c r="J434" s="29"/>
      <c r="K434" s="29"/>
      <c r="L434" s="29"/>
      <c r="M434" s="29"/>
      <c r="N434" s="29"/>
      <c r="O434" s="29"/>
      <c r="P434" s="29"/>
      <c r="Q434" s="29"/>
      <c r="R434" s="29"/>
      <c r="S434" s="29"/>
      <c r="T434" s="29"/>
      <c r="U434" s="29"/>
      <c r="V434" s="29"/>
      <c r="W434" s="29"/>
      <c r="X434" s="29"/>
    </row>
    <row r="435" spans="1:24" ht="15">
      <c r="A435" s="29"/>
      <c r="B435" s="29"/>
      <c r="C435" s="29"/>
      <c r="D435" s="33"/>
      <c r="E435" s="33"/>
      <c r="G435" s="29"/>
      <c r="H435" s="29"/>
      <c r="I435" s="29"/>
      <c r="J435" s="29"/>
      <c r="K435" s="29"/>
      <c r="L435" s="29"/>
      <c r="M435" s="29"/>
      <c r="N435" s="29"/>
      <c r="O435" s="29"/>
      <c r="P435" s="29"/>
      <c r="Q435" s="29"/>
      <c r="R435" s="29"/>
      <c r="S435" s="29"/>
      <c r="T435" s="29"/>
      <c r="U435" s="29"/>
      <c r="V435" s="29"/>
      <c r="W435" s="29"/>
      <c r="X435" s="29"/>
    </row>
    <row r="436" spans="1:24" ht="15">
      <c r="A436" s="29"/>
      <c r="B436" s="29"/>
      <c r="C436" s="29"/>
      <c r="D436" s="33"/>
      <c r="E436" s="33"/>
      <c r="G436" s="29"/>
      <c r="H436" s="29"/>
      <c r="I436" s="29"/>
      <c r="J436" s="29"/>
      <c r="K436" s="29"/>
      <c r="L436" s="29"/>
      <c r="M436" s="29"/>
      <c r="N436" s="29"/>
      <c r="O436" s="29"/>
      <c r="P436" s="29"/>
      <c r="Q436" s="29"/>
      <c r="R436" s="29"/>
      <c r="S436" s="29"/>
      <c r="T436" s="29"/>
      <c r="U436" s="29"/>
      <c r="V436" s="29"/>
      <c r="W436" s="29"/>
      <c r="X436" s="29"/>
    </row>
    <row r="437" spans="1:24" ht="15">
      <c r="A437" s="29"/>
      <c r="B437" s="29"/>
      <c r="C437" s="29"/>
      <c r="D437" s="33"/>
      <c r="E437" s="33"/>
      <c r="G437" s="29"/>
      <c r="H437" s="29"/>
      <c r="I437" s="29"/>
      <c r="J437" s="29"/>
      <c r="K437" s="29"/>
      <c r="L437" s="29"/>
      <c r="M437" s="29"/>
      <c r="N437" s="29"/>
      <c r="O437" s="29"/>
      <c r="P437" s="29"/>
      <c r="Q437" s="29"/>
      <c r="R437" s="29"/>
      <c r="S437" s="29"/>
      <c r="T437" s="29"/>
      <c r="U437" s="29"/>
      <c r="V437" s="29"/>
      <c r="W437" s="29"/>
      <c r="X437" s="29"/>
    </row>
    <row r="438" spans="1:24" ht="15">
      <c r="A438" s="29"/>
      <c r="B438" s="29"/>
      <c r="C438" s="29"/>
      <c r="D438" s="33"/>
      <c r="E438" s="33"/>
      <c r="G438" s="29"/>
      <c r="H438" s="29"/>
      <c r="I438" s="29"/>
      <c r="J438" s="29"/>
      <c r="K438" s="29"/>
      <c r="L438" s="29"/>
      <c r="M438" s="29"/>
      <c r="N438" s="29"/>
      <c r="O438" s="29"/>
      <c r="P438" s="29"/>
      <c r="Q438" s="29"/>
      <c r="R438" s="29"/>
      <c r="S438" s="29"/>
      <c r="T438" s="29"/>
      <c r="U438" s="29"/>
      <c r="V438" s="29"/>
      <c r="W438" s="29"/>
      <c r="X438" s="29"/>
    </row>
    <row r="439" spans="1:24" ht="15">
      <c r="A439" s="29"/>
      <c r="B439" s="29"/>
      <c r="C439" s="29"/>
      <c r="D439" s="33"/>
      <c r="E439" s="33"/>
      <c r="G439" s="29"/>
      <c r="H439" s="29"/>
      <c r="I439" s="29"/>
      <c r="J439" s="29"/>
      <c r="K439" s="29"/>
      <c r="L439" s="29"/>
      <c r="M439" s="29"/>
      <c r="N439" s="29"/>
      <c r="O439" s="29"/>
      <c r="P439" s="29"/>
      <c r="Q439" s="29"/>
      <c r="R439" s="29"/>
      <c r="S439" s="29"/>
      <c r="T439" s="29"/>
      <c r="U439" s="29"/>
      <c r="V439" s="29"/>
      <c r="W439" s="29"/>
      <c r="X439" s="29"/>
    </row>
    <row r="440" spans="1:24" ht="15">
      <c r="A440" s="29"/>
      <c r="B440" s="29"/>
      <c r="C440" s="29"/>
      <c r="D440" s="33"/>
      <c r="E440" s="33"/>
      <c r="G440" s="29"/>
      <c r="H440" s="29"/>
      <c r="I440" s="29"/>
      <c r="J440" s="29"/>
      <c r="K440" s="29"/>
      <c r="L440" s="29"/>
      <c r="M440" s="29"/>
      <c r="N440" s="29"/>
      <c r="O440" s="29"/>
      <c r="P440" s="29"/>
      <c r="Q440" s="29"/>
      <c r="R440" s="29"/>
      <c r="S440" s="29"/>
      <c r="T440" s="29"/>
      <c r="U440" s="29"/>
      <c r="V440" s="29"/>
      <c r="W440" s="29"/>
      <c r="X440" s="29"/>
    </row>
    <row r="441" spans="1:24" ht="15">
      <c r="A441" s="29"/>
      <c r="B441" s="29"/>
      <c r="C441" s="29"/>
      <c r="D441" s="33"/>
      <c r="E441" s="33"/>
      <c r="G441" s="29"/>
      <c r="H441" s="29"/>
      <c r="I441" s="29"/>
      <c r="J441" s="29"/>
      <c r="K441" s="29"/>
      <c r="L441" s="29"/>
      <c r="M441" s="29"/>
      <c r="N441" s="29"/>
      <c r="O441" s="29"/>
      <c r="P441" s="29"/>
      <c r="Q441" s="29"/>
      <c r="R441" s="29"/>
      <c r="S441" s="29"/>
      <c r="T441" s="29"/>
      <c r="U441" s="29"/>
      <c r="V441" s="29"/>
      <c r="W441" s="29"/>
      <c r="X441" s="29"/>
    </row>
    <row r="442" spans="1:24" ht="15">
      <c r="A442" s="29"/>
      <c r="B442" s="29"/>
      <c r="C442" s="29"/>
      <c r="D442" s="33"/>
      <c r="E442" s="33"/>
      <c r="G442" s="29"/>
      <c r="H442" s="29"/>
      <c r="I442" s="29"/>
      <c r="J442" s="29"/>
      <c r="K442" s="29"/>
      <c r="L442" s="29"/>
      <c r="M442" s="29"/>
      <c r="N442" s="29"/>
      <c r="O442" s="29"/>
      <c r="P442" s="29"/>
      <c r="Q442" s="29"/>
      <c r="R442" s="29"/>
      <c r="S442" s="29"/>
      <c r="T442" s="29"/>
      <c r="U442" s="29"/>
      <c r="V442" s="29"/>
      <c r="W442" s="29"/>
      <c r="X442" s="29"/>
    </row>
    <row r="443" spans="1:24" ht="15">
      <c r="A443" s="29"/>
      <c r="B443" s="29"/>
      <c r="C443" s="29"/>
      <c r="D443" s="33"/>
      <c r="E443" s="33"/>
      <c r="G443" s="29"/>
      <c r="H443" s="29"/>
      <c r="I443" s="29"/>
      <c r="J443" s="29"/>
      <c r="K443" s="29"/>
      <c r="L443" s="29"/>
      <c r="M443" s="29"/>
      <c r="N443" s="29"/>
      <c r="O443" s="29"/>
      <c r="P443" s="29"/>
      <c r="Q443" s="29"/>
      <c r="R443" s="29"/>
      <c r="S443" s="29"/>
      <c r="T443" s="29"/>
      <c r="U443" s="29"/>
      <c r="V443" s="29"/>
      <c r="W443" s="29"/>
      <c r="X443" s="29"/>
    </row>
    <row r="444" spans="1:24" ht="15">
      <c r="A444" s="29"/>
      <c r="B444" s="29"/>
      <c r="C444" s="29"/>
      <c r="D444" s="33"/>
      <c r="E444" s="33"/>
      <c r="G444" s="29"/>
      <c r="H444" s="29"/>
      <c r="I444" s="29"/>
      <c r="J444" s="29"/>
      <c r="K444" s="29"/>
      <c r="L444" s="29"/>
      <c r="M444" s="29"/>
      <c r="N444" s="29"/>
      <c r="O444" s="29"/>
      <c r="P444" s="29"/>
      <c r="Q444" s="29"/>
      <c r="R444" s="29"/>
      <c r="S444" s="29"/>
      <c r="T444" s="29"/>
      <c r="U444" s="29"/>
      <c r="V444" s="29"/>
      <c r="W444" s="29"/>
      <c r="X444" s="29"/>
    </row>
    <row r="445" spans="1:24" ht="15">
      <c r="A445" s="29"/>
      <c r="B445" s="29"/>
      <c r="C445" s="29"/>
      <c r="D445" s="33"/>
      <c r="E445" s="33"/>
      <c r="G445" s="29"/>
      <c r="H445" s="29"/>
      <c r="I445" s="29"/>
      <c r="J445" s="29"/>
      <c r="K445" s="29"/>
      <c r="L445" s="29"/>
      <c r="M445" s="29"/>
      <c r="N445" s="29"/>
      <c r="O445" s="29"/>
      <c r="P445" s="29"/>
      <c r="Q445" s="29"/>
      <c r="R445" s="29"/>
      <c r="S445" s="29"/>
      <c r="T445" s="29"/>
      <c r="U445" s="29"/>
      <c r="V445" s="29"/>
      <c r="W445" s="29"/>
      <c r="X445" s="29"/>
    </row>
    <row r="446" spans="1:24" ht="15">
      <c r="A446" s="29"/>
      <c r="B446" s="29"/>
      <c r="C446" s="29"/>
      <c r="D446" s="33"/>
      <c r="E446" s="33"/>
      <c r="G446" s="29"/>
      <c r="H446" s="29"/>
      <c r="I446" s="29"/>
      <c r="J446" s="29"/>
      <c r="K446" s="29"/>
      <c r="L446" s="29"/>
      <c r="M446" s="29"/>
      <c r="N446" s="29"/>
      <c r="O446" s="29"/>
      <c r="P446" s="29"/>
      <c r="Q446" s="29"/>
      <c r="R446" s="29"/>
      <c r="S446" s="29"/>
      <c r="T446" s="29"/>
      <c r="U446" s="29"/>
      <c r="V446" s="29"/>
      <c r="W446" s="29"/>
      <c r="X446" s="29"/>
    </row>
    <row r="447" spans="1:24" ht="15">
      <c r="A447" s="29"/>
      <c r="B447" s="29"/>
      <c r="C447" s="29"/>
      <c r="D447" s="33"/>
      <c r="E447" s="33"/>
      <c r="G447" s="29"/>
      <c r="H447" s="29"/>
      <c r="I447" s="29"/>
      <c r="J447" s="29"/>
      <c r="K447" s="29"/>
      <c r="L447" s="29"/>
      <c r="M447" s="29"/>
      <c r="N447" s="29"/>
      <c r="O447" s="29"/>
      <c r="P447" s="29"/>
      <c r="Q447" s="29"/>
      <c r="R447" s="29"/>
      <c r="S447" s="29"/>
      <c r="T447" s="29"/>
      <c r="U447" s="29"/>
      <c r="V447" s="29"/>
      <c r="W447" s="29"/>
      <c r="X447" s="29"/>
    </row>
    <row r="448" spans="1:24" ht="15">
      <c r="A448" s="29"/>
      <c r="B448" s="29"/>
      <c r="C448" s="29"/>
      <c r="D448" s="33"/>
      <c r="E448" s="33"/>
      <c r="G448" s="29"/>
      <c r="H448" s="29"/>
      <c r="I448" s="29"/>
      <c r="J448" s="29"/>
      <c r="K448" s="29"/>
      <c r="L448" s="29"/>
      <c r="M448" s="29"/>
      <c r="N448" s="29"/>
      <c r="O448" s="29"/>
      <c r="P448" s="29"/>
      <c r="Q448" s="29"/>
      <c r="R448" s="29"/>
      <c r="S448" s="29"/>
      <c r="T448" s="29"/>
      <c r="U448" s="29"/>
      <c r="V448" s="29"/>
      <c r="W448" s="29"/>
      <c r="X448" s="29"/>
    </row>
    <row r="449" spans="1:24" ht="15">
      <c r="A449" s="29"/>
      <c r="B449" s="29"/>
      <c r="C449" s="29"/>
      <c r="D449" s="33"/>
      <c r="E449" s="33"/>
      <c r="G449" s="29"/>
      <c r="H449" s="29"/>
      <c r="I449" s="29"/>
      <c r="J449" s="29"/>
      <c r="K449" s="29"/>
      <c r="L449" s="29"/>
      <c r="M449" s="29"/>
      <c r="N449" s="29"/>
      <c r="O449" s="29"/>
      <c r="P449" s="29"/>
      <c r="Q449" s="29"/>
      <c r="R449" s="29"/>
      <c r="S449" s="29"/>
      <c r="T449" s="29"/>
      <c r="U449" s="29"/>
      <c r="V449" s="29"/>
      <c r="W449" s="29"/>
      <c r="X449" s="29"/>
    </row>
    <row r="450" spans="1:24" ht="15">
      <c r="A450" s="29"/>
      <c r="B450" s="29"/>
      <c r="C450" s="29"/>
      <c r="D450" s="33"/>
      <c r="E450" s="33"/>
      <c r="G450" s="29"/>
      <c r="H450" s="29"/>
      <c r="I450" s="29"/>
      <c r="J450" s="29"/>
      <c r="K450" s="29"/>
      <c r="L450" s="29"/>
      <c r="M450" s="29"/>
      <c r="N450" s="29"/>
      <c r="O450" s="29"/>
      <c r="P450" s="29"/>
      <c r="Q450" s="29"/>
      <c r="R450" s="29"/>
      <c r="S450" s="29"/>
      <c r="T450" s="29"/>
      <c r="U450" s="29"/>
      <c r="V450" s="29"/>
      <c r="W450" s="29"/>
      <c r="X450" s="29"/>
    </row>
    <row r="451" spans="1:24" ht="15">
      <c r="A451" s="29"/>
      <c r="B451" s="29"/>
      <c r="C451" s="29"/>
      <c r="D451" s="33"/>
      <c r="E451" s="33"/>
      <c r="G451" s="29"/>
      <c r="H451" s="29"/>
      <c r="I451" s="29"/>
      <c r="J451" s="29"/>
      <c r="K451" s="29"/>
      <c r="L451" s="29"/>
      <c r="M451" s="29"/>
      <c r="N451" s="29"/>
      <c r="O451" s="29"/>
      <c r="P451" s="29"/>
      <c r="Q451" s="29"/>
      <c r="R451" s="29"/>
      <c r="S451" s="29"/>
      <c r="T451" s="29"/>
      <c r="U451" s="29"/>
      <c r="V451" s="29"/>
      <c r="W451" s="29"/>
      <c r="X451" s="29"/>
    </row>
    <row r="452" spans="1:24" ht="15">
      <c r="A452" s="29"/>
      <c r="B452" s="29"/>
      <c r="C452" s="29"/>
      <c r="D452" s="33"/>
      <c r="E452" s="33"/>
      <c r="G452" s="29"/>
      <c r="H452" s="29"/>
      <c r="I452" s="29"/>
      <c r="J452" s="29"/>
      <c r="K452" s="29"/>
      <c r="L452" s="29"/>
      <c r="M452" s="29"/>
      <c r="N452" s="29"/>
      <c r="O452" s="29"/>
      <c r="P452" s="29"/>
      <c r="Q452" s="29"/>
      <c r="R452" s="29"/>
      <c r="S452" s="29"/>
      <c r="T452" s="29"/>
      <c r="U452" s="29"/>
      <c r="V452" s="29"/>
      <c r="W452" s="29"/>
      <c r="X452" s="29"/>
    </row>
    <row r="453" spans="1:24" ht="15">
      <c r="A453" s="29"/>
      <c r="B453" s="29"/>
      <c r="C453" s="29"/>
      <c r="D453" s="33"/>
      <c r="E453" s="33"/>
      <c r="G453" s="29"/>
      <c r="H453" s="29"/>
      <c r="I453" s="29"/>
      <c r="J453" s="29"/>
      <c r="K453" s="29"/>
      <c r="L453" s="29"/>
      <c r="M453" s="29"/>
      <c r="N453" s="29"/>
      <c r="O453" s="29"/>
      <c r="P453" s="29"/>
      <c r="Q453" s="29"/>
      <c r="R453" s="29"/>
      <c r="S453" s="29"/>
      <c r="T453" s="29"/>
      <c r="U453" s="29"/>
      <c r="V453" s="29"/>
      <c r="W453" s="29"/>
      <c r="X453" s="29"/>
    </row>
    <row r="454" spans="1:24" ht="15">
      <c r="A454" s="29"/>
      <c r="B454" s="29"/>
      <c r="C454" s="29"/>
      <c r="D454" s="33"/>
      <c r="E454" s="33"/>
      <c r="G454" s="29"/>
      <c r="H454" s="29"/>
      <c r="I454" s="29"/>
      <c r="J454" s="29"/>
      <c r="K454" s="29"/>
      <c r="L454" s="29"/>
      <c r="M454" s="29"/>
      <c r="N454" s="29"/>
      <c r="O454" s="29"/>
      <c r="P454" s="29"/>
      <c r="Q454" s="29"/>
      <c r="R454" s="29"/>
      <c r="S454" s="29"/>
      <c r="T454" s="29"/>
      <c r="U454" s="29"/>
      <c r="V454" s="29"/>
      <c r="W454" s="29"/>
      <c r="X454" s="29"/>
    </row>
    <row r="455" spans="1:24" ht="15">
      <c r="A455" s="29"/>
      <c r="B455" s="29"/>
      <c r="C455" s="29"/>
      <c r="D455" s="33"/>
      <c r="E455" s="33"/>
      <c r="G455" s="29"/>
      <c r="H455" s="29"/>
      <c r="I455" s="29"/>
      <c r="J455" s="29"/>
      <c r="K455" s="29"/>
      <c r="L455" s="29"/>
      <c r="M455" s="29"/>
      <c r="N455" s="29"/>
      <c r="O455" s="29"/>
      <c r="P455" s="29"/>
      <c r="Q455" s="29"/>
      <c r="R455" s="29"/>
      <c r="S455" s="29"/>
      <c r="T455" s="29"/>
      <c r="U455" s="29"/>
      <c r="V455" s="29"/>
      <c r="W455" s="29"/>
      <c r="X455" s="29"/>
    </row>
    <row r="456" spans="1:24" ht="15">
      <c r="A456" s="29"/>
      <c r="B456" s="29"/>
      <c r="C456" s="29"/>
      <c r="D456" s="33"/>
      <c r="E456" s="33"/>
      <c r="G456" s="29"/>
      <c r="H456" s="29"/>
      <c r="I456" s="29"/>
      <c r="J456" s="29"/>
      <c r="K456" s="29"/>
      <c r="L456" s="29"/>
      <c r="M456" s="29"/>
      <c r="N456" s="29"/>
      <c r="O456" s="29"/>
      <c r="P456" s="29"/>
      <c r="Q456" s="29"/>
      <c r="R456" s="29"/>
      <c r="S456" s="29"/>
      <c r="T456" s="29"/>
      <c r="U456" s="29"/>
      <c r="V456" s="29"/>
      <c r="W456" s="29"/>
      <c r="X456" s="29"/>
    </row>
    <row r="457" spans="1:24" ht="15">
      <c r="A457" s="29"/>
      <c r="B457" s="29"/>
      <c r="C457" s="29"/>
      <c r="D457" s="33"/>
      <c r="E457" s="33"/>
      <c r="G457" s="29"/>
      <c r="H457" s="29"/>
      <c r="I457" s="29"/>
      <c r="J457" s="29"/>
      <c r="K457" s="29"/>
      <c r="L457" s="29"/>
      <c r="M457" s="29"/>
      <c r="N457" s="29"/>
      <c r="O457" s="29"/>
      <c r="P457" s="29"/>
      <c r="Q457" s="29"/>
      <c r="R457" s="29"/>
      <c r="S457" s="29"/>
      <c r="T457" s="29"/>
      <c r="U457" s="29"/>
      <c r="V457" s="29"/>
      <c r="W457" s="29"/>
      <c r="X457" s="29"/>
    </row>
    <row r="458" spans="1:24" ht="15">
      <c r="A458" s="29"/>
      <c r="B458" s="29"/>
      <c r="C458" s="29"/>
      <c r="D458" s="33"/>
      <c r="E458" s="33"/>
      <c r="G458" s="29"/>
      <c r="H458" s="29"/>
      <c r="I458" s="29"/>
      <c r="J458" s="29"/>
      <c r="K458" s="29"/>
      <c r="L458" s="29"/>
      <c r="M458" s="29"/>
      <c r="N458" s="29"/>
      <c r="O458" s="29"/>
      <c r="P458" s="29"/>
      <c r="Q458" s="29"/>
      <c r="R458" s="29"/>
      <c r="S458" s="29"/>
      <c r="T458" s="29"/>
      <c r="U458" s="29"/>
      <c r="V458" s="29"/>
      <c r="W458" s="29"/>
      <c r="X458" s="29"/>
    </row>
    <row r="459" spans="1:24" ht="15">
      <c r="A459" s="29"/>
      <c r="B459" s="29"/>
      <c r="C459" s="29"/>
      <c r="D459" s="33"/>
      <c r="E459" s="33"/>
      <c r="G459" s="29"/>
      <c r="H459" s="29"/>
      <c r="I459" s="29"/>
      <c r="J459" s="29"/>
      <c r="K459" s="29"/>
      <c r="L459" s="29"/>
      <c r="M459" s="29"/>
      <c r="N459" s="29"/>
      <c r="O459" s="29"/>
      <c r="P459" s="29"/>
      <c r="Q459" s="29"/>
      <c r="R459" s="29"/>
      <c r="S459" s="29"/>
      <c r="T459" s="29"/>
      <c r="U459" s="29"/>
      <c r="V459" s="29"/>
      <c r="W459" s="29"/>
      <c r="X459" s="29"/>
    </row>
    <row r="460" spans="1:24" ht="15">
      <c r="A460" s="29"/>
      <c r="B460" s="29"/>
      <c r="C460" s="29"/>
      <c r="D460" s="33"/>
      <c r="E460" s="33"/>
      <c r="G460" s="29"/>
      <c r="H460" s="29"/>
      <c r="I460" s="29"/>
      <c r="J460" s="29"/>
      <c r="K460" s="29"/>
      <c r="L460" s="29"/>
      <c r="M460" s="29"/>
      <c r="N460" s="29"/>
      <c r="O460" s="29"/>
      <c r="P460" s="29"/>
      <c r="Q460" s="29"/>
      <c r="R460" s="29"/>
      <c r="S460" s="29"/>
      <c r="T460" s="29"/>
      <c r="U460" s="29"/>
      <c r="V460" s="29"/>
      <c r="W460" s="29"/>
      <c r="X460" s="29"/>
    </row>
    <row r="461" spans="1:24" ht="15">
      <c r="A461" s="29"/>
      <c r="B461" s="29"/>
      <c r="C461" s="29"/>
      <c r="D461" s="33"/>
      <c r="E461" s="33"/>
      <c r="G461" s="29"/>
      <c r="H461" s="29"/>
      <c r="I461" s="29"/>
      <c r="J461" s="29"/>
      <c r="K461" s="29"/>
      <c r="L461" s="29"/>
      <c r="M461" s="29"/>
      <c r="N461" s="29"/>
      <c r="O461" s="29"/>
      <c r="P461" s="29"/>
      <c r="Q461" s="29"/>
      <c r="R461" s="29"/>
      <c r="S461" s="29"/>
      <c r="T461" s="29"/>
      <c r="U461" s="29"/>
      <c r="V461" s="29"/>
      <c r="W461" s="29"/>
      <c r="X461" s="29"/>
    </row>
    <row r="462" spans="1:24" ht="15">
      <c r="A462" s="29"/>
      <c r="B462" s="29"/>
      <c r="C462" s="29"/>
      <c r="D462" s="33"/>
      <c r="E462" s="33"/>
      <c r="G462" s="29"/>
      <c r="H462" s="29"/>
      <c r="I462" s="29"/>
      <c r="J462" s="29"/>
      <c r="K462" s="29"/>
      <c r="L462" s="29"/>
      <c r="M462" s="29"/>
      <c r="N462" s="29"/>
      <c r="O462" s="29"/>
      <c r="P462" s="29"/>
      <c r="Q462" s="29"/>
      <c r="R462" s="29"/>
      <c r="S462" s="29"/>
      <c r="T462" s="29"/>
      <c r="U462" s="29"/>
      <c r="V462" s="29"/>
      <c r="W462" s="29"/>
      <c r="X462" s="29"/>
    </row>
    <row r="463" spans="1:24" ht="15">
      <c r="A463" s="29"/>
      <c r="B463" s="29"/>
      <c r="C463" s="29"/>
      <c r="D463" s="33"/>
      <c r="E463" s="33"/>
      <c r="G463" s="29"/>
      <c r="H463" s="29"/>
      <c r="I463" s="29"/>
      <c r="J463" s="29"/>
      <c r="K463" s="29"/>
      <c r="L463" s="29"/>
      <c r="M463" s="29"/>
      <c r="N463" s="29"/>
      <c r="O463" s="29"/>
      <c r="P463" s="29"/>
      <c r="Q463" s="29"/>
      <c r="R463" s="29"/>
      <c r="S463" s="29"/>
      <c r="T463" s="29"/>
      <c r="U463" s="29"/>
      <c r="V463" s="29"/>
      <c r="W463" s="29"/>
      <c r="X463" s="29"/>
    </row>
    <row r="464" spans="1:24" ht="15">
      <c r="A464" s="29"/>
      <c r="B464" s="29"/>
      <c r="C464" s="29"/>
      <c r="D464" s="33"/>
      <c r="E464" s="33"/>
      <c r="G464" s="29"/>
      <c r="H464" s="29"/>
      <c r="I464" s="29"/>
      <c r="J464" s="29"/>
      <c r="K464" s="29"/>
      <c r="L464" s="29"/>
      <c r="M464" s="29"/>
      <c r="N464" s="29"/>
      <c r="O464" s="29"/>
      <c r="P464" s="29"/>
      <c r="Q464" s="29"/>
      <c r="R464" s="29"/>
      <c r="S464" s="29"/>
      <c r="T464" s="29"/>
      <c r="U464" s="29"/>
      <c r="V464" s="29"/>
      <c r="W464" s="29"/>
      <c r="X464" s="29"/>
    </row>
    <row r="465" spans="1:24" ht="15">
      <c r="A465" s="29"/>
      <c r="B465" s="29"/>
      <c r="C465" s="29"/>
      <c r="D465" s="33"/>
      <c r="E465" s="33"/>
      <c r="G465" s="29"/>
      <c r="H465" s="29"/>
      <c r="I465" s="29"/>
      <c r="J465" s="29"/>
      <c r="K465" s="29"/>
      <c r="L465" s="29"/>
      <c r="M465" s="29"/>
      <c r="N465" s="29"/>
      <c r="O465" s="29"/>
      <c r="P465" s="29"/>
      <c r="Q465" s="29"/>
      <c r="R465" s="29"/>
      <c r="S465" s="29"/>
      <c r="T465" s="29"/>
      <c r="U465" s="29"/>
      <c r="V465" s="29"/>
      <c r="W465" s="29"/>
      <c r="X465" s="29"/>
    </row>
    <row r="466" spans="1:24" ht="15">
      <c r="A466" s="29"/>
      <c r="B466" s="29"/>
      <c r="C466" s="29"/>
      <c r="D466" s="33"/>
      <c r="E466" s="33"/>
      <c r="G466" s="29"/>
      <c r="H466" s="29"/>
      <c r="I466" s="29"/>
      <c r="J466" s="29"/>
      <c r="K466" s="29"/>
      <c r="L466" s="29"/>
      <c r="M466" s="29"/>
      <c r="N466" s="29"/>
      <c r="O466" s="29"/>
      <c r="P466" s="29"/>
      <c r="Q466" s="29"/>
      <c r="R466" s="29"/>
      <c r="S466" s="29"/>
      <c r="T466" s="29"/>
      <c r="U466" s="29"/>
      <c r="V466" s="29"/>
      <c r="W466" s="29"/>
      <c r="X466" s="29"/>
    </row>
    <row r="467" spans="1:24" ht="15">
      <c r="A467" s="29"/>
      <c r="B467" s="29"/>
      <c r="C467" s="29"/>
      <c r="D467" s="33"/>
      <c r="E467" s="33"/>
      <c r="G467" s="29"/>
      <c r="H467" s="29"/>
      <c r="I467" s="29"/>
      <c r="J467" s="29"/>
      <c r="K467" s="29"/>
      <c r="L467" s="29"/>
      <c r="M467" s="29"/>
      <c r="N467" s="29"/>
      <c r="O467" s="29"/>
      <c r="P467" s="29"/>
      <c r="Q467" s="29"/>
      <c r="R467" s="29"/>
      <c r="S467" s="29"/>
      <c r="T467" s="29"/>
      <c r="U467" s="29"/>
      <c r="V467" s="29"/>
      <c r="W467" s="29"/>
      <c r="X467" s="29"/>
    </row>
    <row r="468" spans="1:24" ht="15">
      <c r="A468" s="29"/>
      <c r="B468" s="29"/>
      <c r="C468" s="29"/>
      <c r="D468" s="33"/>
      <c r="E468" s="33"/>
      <c r="G468" s="29"/>
      <c r="H468" s="29"/>
      <c r="I468" s="29"/>
      <c r="J468" s="29"/>
      <c r="K468" s="29"/>
      <c r="L468" s="29"/>
      <c r="M468" s="29"/>
      <c r="N468" s="29"/>
      <c r="O468" s="29"/>
      <c r="P468" s="29"/>
      <c r="Q468" s="29"/>
      <c r="R468" s="29"/>
      <c r="S468" s="29"/>
      <c r="T468" s="29"/>
      <c r="U468" s="29"/>
      <c r="V468" s="29"/>
      <c r="W468" s="29"/>
      <c r="X468" s="29"/>
    </row>
    <row r="469" spans="1:24" ht="15">
      <c r="A469" s="29"/>
      <c r="B469" s="29"/>
      <c r="C469" s="29"/>
      <c r="D469" s="33"/>
      <c r="E469" s="33"/>
      <c r="G469" s="29"/>
      <c r="H469" s="29"/>
      <c r="I469" s="29"/>
      <c r="J469" s="29"/>
      <c r="K469" s="29"/>
      <c r="L469" s="29"/>
      <c r="M469" s="29"/>
      <c r="N469" s="29"/>
      <c r="O469" s="29"/>
      <c r="P469" s="29"/>
      <c r="Q469" s="29"/>
      <c r="R469" s="29"/>
      <c r="S469" s="29"/>
      <c r="T469" s="29"/>
      <c r="U469" s="29"/>
      <c r="V469" s="29"/>
      <c r="W469" s="29"/>
      <c r="X469" s="29"/>
    </row>
    <row r="470" spans="1:24" ht="15">
      <c r="A470" s="29"/>
      <c r="B470" s="29"/>
      <c r="C470" s="29"/>
      <c r="D470" s="33"/>
      <c r="E470" s="33"/>
      <c r="G470" s="29"/>
      <c r="H470" s="29"/>
      <c r="I470" s="29"/>
      <c r="J470" s="29"/>
      <c r="K470" s="29"/>
      <c r="L470" s="29"/>
      <c r="M470" s="29"/>
      <c r="N470" s="29"/>
      <c r="O470" s="29"/>
      <c r="P470" s="29"/>
      <c r="Q470" s="29"/>
      <c r="R470" s="29"/>
      <c r="S470" s="29"/>
      <c r="T470" s="29"/>
      <c r="U470" s="29"/>
      <c r="V470" s="29"/>
      <c r="W470" s="29"/>
      <c r="X470" s="29"/>
    </row>
    <row r="471" spans="1:24" ht="15">
      <c r="A471" s="29"/>
      <c r="B471" s="29"/>
      <c r="C471" s="29"/>
      <c r="D471" s="33"/>
      <c r="E471" s="33"/>
      <c r="G471" s="29"/>
      <c r="H471" s="29"/>
      <c r="I471" s="29"/>
      <c r="J471" s="29"/>
      <c r="K471" s="29"/>
      <c r="L471" s="29"/>
      <c r="M471" s="29"/>
      <c r="N471" s="29"/>
      <c r="O471" s="29"/>
      <c r="P471" s="29"/>
      <c r="Q471" s="29"/>
      <c r="R471" s="29"/>
      <c r="S471" s="29"/>
      <c r="T471" s="29"/>
      <c r="U471" s="29"/>
      <c r="V471" s="29"/>
      <c r="W471" s="29"/>
      <c r="X471" s="29"/>
    </row>
    <row r="472" spans="1:24" ht="15">
      <c r="A472" s="29"/>
      <c r="B472" s="29"/>
      <c r="C472" s="29"/>
      <c r="D472" s="33"/>
      <c r="E472" s="33"/>
      <c r="G472" s="29"/>
      <c r="H472" s="29"/>
      <c r="I472" s="29"/>
      <c r="J472" s="29"/>
      <c r="K472" s="29"/>
      <c r="L472" s="29"/>
      <c r="M472" s="29"/>
      <c r="N472" s="29"/>
      <c r="O472" s="29"/>
      <c r="P472" s="29"/>
      <c r="Q472" s="29"/>
      <c r="R472" s="29"/>
      <c r="S472" s="29"/>
      <c r="T472" s="29"/>
      <c r="U472" s="29"/>
      <c r="V472" s="29"/>
      <c r="W472" s="29"/>
      <c r="X472" s="29"/>
    </row>
    <row r="473" spans="1:24" ht="15">
      <c r="A473" s="29"/>
      <c r="B473" s="29"/>
      <c r="C473" s="29"/>
      <c r="D473" s="33"/>
      <c r="E473" s="33"/>
      <c r="G473" s="29"/>
      <c r="H473" s="29"/>
      <c r="I473" s="29"/>
      <c r="J473" s="29"/>
      <c r="K473" s="29"/>
      <c r="L473" s="29"/>
      <c r="M473" s="29"/>
      <c r="N473" s="29"/>
      <c r="O473" s="29"/>
      <c r="P473" s="29"/>
      <c r="Q473" s="29"/>
      <c r="R473" s="29"/>
      <c r="S473" s="29"/>
      <c r="T473" s="29"/>
      <c r="U473" s="29"/>
      <c r="V473" s="29"/>
      <c r="W473" s="29"/>
      <c r="X473" s="29"/>
    </row>
    <row r="474" spans="1:24" ht="15">
      <c r="A474" s="29"/>
      <c r="B474" s="29"/>
      <c r="C474" s="29"/>
      <c r="D474" s="33"/>
      <c r="E474" s="33"/>
      <c r="G474" s="29"/>
      <c r="H474" s="29"/>
      <c r="I474" s="29"/>
      <c r="J474" s="29"/>
      <c r="K474" s="29"/>
      <c r="L474" s="29"/>
      <c r="M474" s="29"/>
      <c r="N474" s="29"/>
      <c r="O474" s="29"/>
      <c r="P474" s="29"/>
      <c r="Q474" s="29"/>
      <c r="R474" s="29"/>
      <c r="S474" s="29"/>
      <c r="T474" s="29"/>
      <c r="U474" s="29"/>
      <c r="V474" s="29"/>
      <c r="W474" s="29"/>
      <c r="X474" s="29"/>
    </row>
    <row r="475" spans="1:24" ht="15">
      <c r="A475" s="29"/>
      <c r="B475" s="29"/>
      <c r="C475" s="29"/>
      <c r="D475" s="33"/>
      <c r="E475" s="33"/>
      <c r="G475" s="29"/>
      <c r="H475" s="29"/>
      <c r="I475" s="29"/>
      <c r="J475" s="29"/>
      <c r="K475" s="29"/>
      <c r="L475" s="29"/>
      <c r="M475" s="29"/>
      <c r="N475" s="29"/>
      <c r="O475" s="29"/>
      <c r="P475" s="29"/>
      <c r="Q475" s="29"/>
      <c r="R475" s="29"/>
      <c r="S475" s="29"/>
      <c r="T475" s="29"/>
      <c r="U475" s="29"/>
      <c r="V475" s="29"/>
      <c r="W475" s="29"/>
      <c r="X475" s="29"/>
    </row>
    <row r="476" spans="1:24" ht="15">
      <c r="A476" s="29"/>
      <c r="B476" s="29"/>
      <c r="C476" s="29"/>
      <c r="D476" s="33"/>
      <c r="E476" s="33"/>
      <c r="G476" s="29"/>
      <c r="H476" s="29"/>
      <c r="I476" s="29"/>
      <c r="J476" s="29"/>
      <c r="K476" s="29"/>
      <c r="L476" s="29"/>
      <c r="M476" s="29"/>
      <c r="N476" s="29"/>
      <c r="O476" s="29"/>
      <c r="P476" s="29"/>
      <c r="Q476" s="29"/>
      <c r="R476" s="29"/>
      <c r="S476" s="29"/>
      <c r="T476" s="29"/>
      <c r="U476" s="29"/>
      <c r="V476" s="29"/>
      <c r="W476" s="29"/>
      <c r="X476" s="29"/>
    </row>
    <row r="477" spans="1:24" ht="15">
      <c r="A477" s="29"/>
      <c r="B477" s="29"/>
      <c r="C477" s="29"/>
      <c r="D477" s="33"/>
      <c r="E477" s="33"/>
      <c r="G477" s="29"/>
      <c r="H477" s="29"/>
      <c r="I477" s="29"/>
      <c r="J477" s="29"/>
      <c r="K477" s="29"/>
      <c r="L477" s="29"/>
      <c r="M477" s="29"/>
      <c r="N477" s="29"/>
      <c r="O477" s="29"/>
      <c r="P477" s="29"/>
      <c r="Q477" s="29"/>
      <c r="R477" s="29"/>
      <c r="S477" s="29"/>
      <c r="T477" s="29"/>
      <c r="U477" s="29"/>
      <c r="V477" s="29"/>
      <c r="W477" s="29"/>
      <c r="X477" s="29"/>
    </row>
    <row r="478" spans="1:24" ht="15">
      <c r="A478" s="29"/>
      <c r="B478" s="29"/>
      <c r="C478" s="29"/>
      <c r="D478" s="33"/>
      <c r="E478" s="33"/>
      <c r="G478" s="29"/>
      <c r="H478" s="29"/>
      <c r="I478" s="29"/>
      <c r="J478" s="29"/>
      <c r="K478" s="29"/>
      <c r="L478" s="29"/>
      <c r="M478" s="29"/>
      <c r="N478" s="29"/>
      <c r="O478" s="29"/>
      <c r="P478" s="29"/>
      <c r="Q478" s="29"/>
      <c r="R478" s="29"/>
      <c r="S478" s="29"/>
      <c r="T478" s="29"/>
      <c r="U478" s="29"/>
      <c r="V478" s="29"/>
      <c r="W478" s="29"/>
      <c r="X478" s="29"/>
    </row>
    <row r="479" spans="1:24" ht="15">
      <c r="A479" s="29"/>
      <c r="B479" s="29"/>
      <c r="C479" s="29"/>
      <c r="D479" s="33"/>
      <c r="E479" s="33"/>
      <c r="G479" s="29"/>
      <c r="H479" s="29"/>
      <c r="I479" s="29"/>
      <c r="J479" s="29"/>
      <c r="K479" s="29"/>
      <c r="L479" s="29"/>
      <c r="M479" s="29"/>
      <c r="N479" s="29"/>
      <c r="O479" s="29"/>
      <c r="P479" s="29"/>
      <c r="Q479" s="29"/>
      <c r="R479" s="29"/>
      <c r="S479" s="29"/>
      <c r="T479" s="29"/>
      <c r="U479" s="29"/>
      <c r="V479" s="29"/>
      <c r="W479" s="29"/>
      <c r="X479" s="29"/>
    </row>
    <row r="480" spans="1:24" ht="15">
      <c r="A480" s="29"/>
      <c r="B480" s="29"/>
      <c r="C480" s="29"/>
      <c r="D480" s="33"/>
      <c r="E480" s="33"/>
      <c r="G480" s="29"/>
      <c r="H480" s="29"/>
      <c r="I480" s="29"/>
      <c r="J480" s="29"/>
      <c r="K480" s="29"/>
      <c r="L480" s="29"/>
      <c r="M480" s="29"/>
      <c r="N480" s="29"/>
      <c r="O480" s="29"/>
      <c r="P480" s="29"/>
      <c r="Q480" s="29"/>
      <c r="R480" s="29"/>
      <c r="S480" s="29"/>
      <c r="T480" s="29"/>
      <c r="U480" s="29"/>
      <c r="V480" s="29"/>
      <c r="W480" s="29"/>
      <c r="X480" s="29"/>
    </row>
    <row r="481" spans="1:24" ht="15">
      <c r="A481" s="29"/>
      <c r="B481" s="29"/>
      <c r="C481" s="29"/>
      <c r="D481" s="33"/>
      <c r="E481" s="33"/>
      <c r="G481" s="29"/>
      <c r="H481" s="29"/>
      <c r="I481" s="29"/>
      <c r="J481" s="29"/>
      <c r="K481" s="29"/>
      <c r="L481" s="29"/>
      <c r="M481" s="29"/>
      <c r="N481" s="29"/>
      <c r="O481" s="29"/>
      <c r="P481" s="29"/>
      <c r="Q481" s="29"/>
      <c r="R481" s="29"/>
      <c r="S481" s="29"/>
      <c r="T481" s="29"/>
      <c r="U481" s="29"/>
      <c r="V481" s="29"/>
      <c r="W481" s="29"/>
      <c r="X481" s="29"/>
    </row>
    <row r="482" spans="1:24" ht="15">
      <c r="A482" s="29"/>
      <c r="B482" s="29"/>
      <c r="C482" s="29"/>
      <c r="D482" s="33"/>
      <c r="E482" s="33"/>
      <c r="G482" s="29"/>
      <c r="H482" s="29"/>
      <c r="I482" s="29"/>
      <c r="J482" s="29"/>
      <c r="K482" s="29"/>
      <c r="L482" s="29"/>
      <c r="M482" s="29"/>
      <c r="N482" s="29"/>
      <c r="O482" s="29"/>
      <c r="P482" s="29"/>
      <c r="Q482" s="29"/>
      <c r="R482" s="29"/>
      <c r="S482" s="29"/>
      <c r="T482" s="29"/>
      <c r="U482" s="29"/>
      <c r="V482" s="29"/>
      <c r="W482" s="29"/>
      <c r="X482" s="29"/>
    </row>
    <row r="483" spans="1:24" ht="15">
      <c r="A483" s="29"/>
      <c r="B483" s="29"/>
      <c r="C483" s="29"/>
      <c r="D483" s="33"/>
      <c r="E483" s="33"/>
      <c r="G483" s="29"/>
      <c r="H483" s="29"/>
      <c r="I483" s="29"/>
      <c r="J483" s="29"/>
      <c r="K483" s="29"/>
      <c r="L483" s="29"/>
      <c r="M483" s="29"/>
      <c r="N483" s="29"/>
      <c r="O483" s="29"/>
      <c r="P483" s="29"/>
      <c r="Q483" s="29"/>
      <c r="R483" s="29"/>
      <c r="S483" s="29"/>
      <c r="T483" s="29"/>
      <c r="U483" s="29"/>
      <c r="V483" s="29"/>
      <c r="W483" s="29"/>
      <c r="X483" s="29"/>
    </row>
    <row r="484" spans="1:24" ht="15">
      <c r="A484" s="29"/>
      <c r="B484" s="29"/>
      <c r="C484" s="29"/>
      <c r="D484" s="33"/>
      <c r="E484" s="33"/>
      <c r="G484" s="29"/>
      <c r="H484" s="29"/>
      <c r="I484" s="29"/>
      <c r="J484" s="29"/>
      <c r="K484" s="29"/>
      <c r="L484" s="29"/>
      <c r="M484" s="29"/>
      <c r="N484" s="29"/>
      <c r="O484" s="29"/>
      <c r="P484" s="29"/>
      <c r="Q484" s="29"/>
      <c r="R484" s="29"/>
      <c r="S484" s="29"/>
      <c r="T484" s="29"/>
      <c r="U484" s="29"/>
      <c r="V484" s="29"/>
      <c r="W484" s="29"/>
      <c r="X484" s="29"/>
    </row>
    <row r="485" spans="1:24" ht="15">
      <c r="A485" s="29"/>
      <c r="B485" s="29"/>
      <c r="C485" s="29"/>
      <c r="D485" s="33"/>
      <c r="E485" s="33"/>
      <c r="G485" s="29"/>
      <c r="H485" s="29"/>
      <c r="I485" s="29"/>
      <c r="J485" s="29"/>
      <c r="K485" s="29"/>
      <c r="L485" s="29"/>
      <c r="M485" s="29"/>
      <c r="N485" s="29"/>
      <c r="O485" s="29"/>
      <c r="P485" s="29"/>
      <c r="Q485" s="29"/>
      <c r="R485" s="29"/>
      <c r="S485" s="29"/>
      <c r="T485" s="29"/>
      <c r="U485" s="29"/>
      <c r="V485" s="29"/>
      <c r="W485" s="29"/>
      <c r="X485" s="29"/>
    </row>
    <row r="486" spans="1:24" ht="15">
      <c r="A486" s="29"/>
      <c r="B486" s="29"/>
      <c r="C486" s="29"/>
      <c r="D486" s="33"/>
      <c r="E486" s="33"/>
      <c r="G486" s="29"/>
      <c r="H486" s="29"/>
      <c r="I486" s="29"/>
      <c r="J486" s="29"/>
      <c r="K486" s="29"/>
      <c r="L486" s="29"/>
      <c r="M486" s="29"/>
      <c r="N486" s="29"/>
      <c r="O486" s="29"/>
      <c r="P486" s="29"/>
      <c r="Q486" s="29"/>
      <c r="R486" s="29"/>
      <c r="S486" s="29"/>
      <c r="T486" s="29"/>
      <c r="U486" s="29"/>
      <c r="V486" s="29"/>
      <c r="W486" s="29"/>
      <c r="X486" s="29"/>
    </row>
    <row r="487" spans="1:24" ht="15">
      <c r="A487" s="29"/>
      <c r="B487" s="29"/>
      <c r="C487" s="29"/>
      <c r="D487" s="33"/>
      <c r="E487" s="33"/>
      <c r="G487" s="29"/>
      <c r="H487" s="29"/>
      <c r="I487" s="29"/>
      <c r="J487" s="29"/>
      <c r="K487" s="29"/>
      <c r="L487" s="29"/>
      <c r="M487" s="29"/>
      <c r="N487" s="29"/>
      <c r="O487" s="29"/>
      <c r="P487" s="29"/>
      <c r="Q487" s="29"/>
      <c r="R487" s="29"/>
      <c r="S487" s="29"/>
      <c r="T487" s="29"/>
      <c r="U487" s="29"/>
      <c r="V487" s="29"/>
      <c r="W487" s="29"/>
      <c r="X487" s="29"/>
    </row>
    <row r="488" spans="1:24" ht="15">
      <c r="A488" s="29"/>
      <c r="B488" s="29"/>
      <c r="C488" s="29"/>
      <c r="D488" s="33"/>
      <c r="E488" s="33"/>
      <c r="G488" s="29"/>
      <c r="H488" s="29"/>
      <c r="I488" s="29"/>
      <c r="J488" s="29"/>
      <c r="K488" s="29"/>
      <c r="L488" s="29"/>
      <c r="M488" s="29"/>
      <c r="N488" s="29"/>
      <c r="O488" s="29"/>
      <c r="P488" s="29"/>
      <c r="Q488" s="29"/>
      <c r="R488" s="29"/>
      <c r="S488" s="29"/>
      <c r="T488" s="29"/>
      <c r="U488" s="29"/>
      <c r="V488" s="29"/>
      <c r="W488" s="29"/>
      <c r="X488" s="29"/>
    </row>
    <row r="489" spans="1:24" ht="15">
      <c r="A489" s="29"/>
      <c r="B489" s="29"/>
      <c r="C489" s="29"/>
      <c r="D489" s="33"/>
      <c r="E489" s="33"/>
      <c r="G489" s="29"/>
      <c r="H489" s="29"/>
      <c r="I489" s="29"/>
      <c r="J489" s="29"/>
      <c r="K489" s="29"/>
      <c r="L489" s="29"/>
      <c r="M489" s="29"/>
      <c r="N489" s="29"/>
      <c r="O489" s="29"/>
      <c r="P489" s="29"/>
      <c r="Q489" s="29"/>
      <c r="R489" s="29"/>
      <c r="S489" s="29"/>
      <c r="T489" s="29"/>
      <c r="U489" s="29"/>
      <c r="V489" s="29"/>
      <c r="W489" s="29"/>
      <c r="X489" s="29"/>
    </row>
    <row r="490" spans="1:24" ht="15">
      <c r="A490" s="29"/>
      <c r="B490" s="29"/>
      <c r="C490" s="29"/>
      <c r="D490" s="33"/>
      <c r="E490" s="33"/>
      <c r="G490" s="29"/>
      <c r="H490" s="29"/>
      <c r="I490" s="29"/>
      <c r="J490" s="29"/>
      <c r="K490" s="29"/>
      <c r="L490" s="29"/>
      <c r="M490" s="29"/>
      <c r="N490" s="29"/>
      <c r="O490" s="29"/>
      <c r="P490" s="29"/>
      <c r="Q490" s="29"/>
      <c r="R490" s="29"/>
      <c r="S490" s="29"/>
      <c r="T490" s="29"/>
      <c r="U490" s="29"/>
      <c r="V490" s="29"/>
      <c r="W490" s="29"/>
      <c r="X490" s="29"/>
    </row>
    <row r="491" spans="1:24" ht="15">
      <c r="A491" s="29"/>
      <c r="B491" s="29"/>
      <c r="C491" s="29"/>
      <c r="D491" s="33"/>
      <c r="E491" s="33"/>
      <c r="G491" s="29"/>
      <c r="H491" s="29"/>
      <c r="I491" s="29"/>
      <c r="J491" s="29"/>
      <c r="K491" s="29"/>
      <c r="L491" s="29"/>
      <c r="M491" s="29"/>
      <c r="N491" s="29"/>
      <c r="O491" s="29"/>
      <c r="P491" s="29"/>
      <c r="Q491" s="29"/>
      <c r="R491" s="29"/>
      <c r="S491" s="29"/>
      <c r="T491" s="29"/>
      <c r="U491" s="29"/>
      <c r="V491" s="29"/>
      <c r="W491" s="29"/>
      <c r="X491" s="29"/>
    </row>
    <row r="492" spans="1:24" ht="15">
      <c r="A492" s="29"/>
      <c r="B492" s="29"/>
      <c r="C492" s="29"/>
      <c r="D492" s="33"/>
      <c r="E492" s="33"/>
      <c r="G492" s="29"/>
      <c r="H492" s="29"/>
      <c r="I492" s="29"/>
      <c r="J492" s="29"/>
      <c r="K492" s="29"/>
      <c r="L492" s="29"/>
      <c r="M492" s="29"/>
      <c r="N492" s="29"/>
      <c r="O492" s="29"/>
      <c r="P492" s="29"/>
      <c r="Q492" s="29"/>
      <c r="R492" s="29"/>
      <c r="S492" s="29"/>
      <c r="T492" s="29"/>
      <c r="U492" s="29"/>
      <c r="V492" s="29"/>
      <c r="W492" s="29"/>
      <c r="X492" s="29"/>
    </row>
    <row r="493" spans="1:24" ht="15">
      <c r="A493" s="29"/>
      <c r="B493" s="29"/>
      <c r="C493" s="29"/>
      <c r="D493" s="33"/>
      <c r="E493" s="33"/>
      <c r="G493" s="29"/>
      <c r="H493" s="29"/>
      <c r="I493" s="29"/>
      <c r="J493" s="29"/>
      <c r="K493" s="29"/>
      <c r="L493" s="29"/>
      <c r="M493" s="29"/>
      <c r="N493" s="29"/>
      <c r="O493" s="29"/>
      <c r="P493" s="29"/>
      <c r="Q493" s="29"/>
      <c r="R493" s="29"/>
      <c r="S493" s="29"/>
      <c r="T493" s="29"/>
      <c r="U493" s="29"/>
      <c r="V493" s="29"/>
      <c r="W493" s="29"/>
      <c r="X493" s="29"/>
    </row>
    <row r="494" spans="1:24" ht="15">
      <c r="A494" s="29"/>
      <c r="B494" s="29"/>
      <c r="C494" s="29"/>
      <c r="D494" s="33"/>
      <c r="E494" s="33"/>
      <c r="G494" s="29"/>
      <c r="H494" s="29"/>
      <c r="I494" s="29"/>
      <c r="J494" s="29"/>
      <c r="K494" s="29"/>
      <c r="L494" s="29"/>
      <c r="M494" s="29"/>
      <c r="N494" s="29"/>
      <c r="O494" s="29"/>
      <c r="P494" s="29"/>
      <c r="Q494" s="29"/>
      <c r="R494" s="29"/>
      <c r="S494" s="29"/>
      <c r="T494" s="29"/>
      <c r="U494" s="29"/>
      <c r="V494" s="29"/>
      <c r="W494" s="29"/>
      <c r="X494" s="29"/>
    </row>
    <row r="495" spans="1:24" ht="15">
      <c r="A495" s="29"/>
      <c r="B495" s="29"/>
      <c r="C495" s="29"/>
      <c r="D495" s="33"/>
      <c r="E495" s="33"/>
      <c r="G495" s="29"/>
      <c r="H495" s="29"/>
      <c r="I495" s="29"/>
      <c r="J495" s="29"/>
      <c r="K495" s="29"/>
      <c r="L495" s="29"/>
      <c r="M495" s="29"/>
      <c r="N495" s="29"/>
      <c r="O495" s="29"/>
      <c r="P495" s="29"/>
      <c r="Q495" s="29"/>
      <c r="R495" s="29"/>
      <c r="S495" s="29"/>
      <c r="T495" s="29"/>
      <c r="U495" s="29"/>
      <c r="V495" s="29"/>
      <c r="W495" s="29"/>
      <c r="X495" s="29"/>
    </row>
    <row r="496" spans="1:24" ht="15">
      <c r="A496" s="29"/>
      <c r="B496" s="29"/>
      <c r="C496" s="29"/>
      <c r="D496" s="33"/>
      <c r="E496" s="33"/>
      <c r="G496" s="29"/>
      <c r="H496" s="29"/>
      <c r="I496" s="29"/>
      <c r="J496" s="29"/>
      <c r="K496" s="29"/>
      <c r="L496" s="29"/>
      <c r="M496" s="29"/>
      <c r="N496" s="29"/>
      <c r="O496" s="29"/>
      <c r="P496" s="29"/>
      <c r="Q496" s="29"/>
      <c r="R496" s="29"/>
      <c r="S496" s="29"/>
      <c r="T496" s="29"/>
      <c r="U496" s="29"/>
      <c r="V496" s="29"/>
      <c r="W496" s="29"/>
      <c r="X496" s="29"/>
    </row>
    <row r="497" spans="1:24" ht="15">
      <c r="A497" s="29"/>
      <c r="B497" s="29"/>
      <c r="C497" s="29"/>
      <c r="D497" s="33"/>
      <c r="E497" s="33"/>
      <c r="G497" s="29"/>
      <c r="H497" s="29"/>
      <c r="I497" s="29"/>
      <c r="J497" s="29"/>
      <c r="K497" s="29"/>
      <c r="L497" s="29"/>
      <c r="M497" s="29"/>
      <c r="N497" s="29"/>
      <c r="O497" s="29"/>
      <c r="P497" s="29"/>
      <c r="Q497" s="29"/>
      <c r="R497" s="29"/>
      <c r="S497" s="29"/>
      <c r="T497" s="29"/>
      <c r="U497" s="29"/>
      <c r="V497" s="29"/>
      <c r="W497" s="29"/>
      <c r="X497" s="29"/>
    </row>
    <row r="498" spans="1:24" ht="15">
      <c r="A498" s="29"/>
      <c r="B498" s="29"/>
      <c r="C498" s="29"/>
      <c r="D498" s="33"/>
      <c r="E498" s="33"/>
      <c r="G498" s="29"/>
      <c r="H498" s="29"/>
      <c r="I498" s="29"/>
      <c r="J498" s="29"/>
      <c r="K498" s="29"/>
      <c r="L498" s="29"/>
      <c r="M498" s="29"/>
      <c r="N498" s="29"/>
      <c r="O498" s="29"/>
      <c r="P498" s="29"/>
      <c r="Q498" s="29"/>
      <c r="R498" s="29"/>
      <c r="S498" s="29"/>
      <c r="T498" s="29"/>
      <c r="U498" s="29"/>
      <c r="V498" s="29"/>
      <c r="W498" s="29"/>
      <c r="X498" s="29"/>
    </row>
    <row r="499" spans="1:24" ht="15">
      <c r="A499" s="29"/>
      <c r="B499" s="29"/>
      <c r="C499" s="29"/>
      <c r="D499" s="33"/>
      <c r="E499" s="33"/>
      <c r="G499" s="29"/>
      <c r="H499" s="29"/>
      <c r="I499" s="29"/>
      <c r="J499" s="29"/>
      <c r="K499" s="29"/>
      <c r="L499" s="29"/>
      <c r="M499" s="29"/>
      <c r="N499" s="29"/>
      <c r="O499" s="29"/>
      <c r="P499" s="29"/>
      <c r="Q499" s="29"/>
      <c r="R499" s="29"/>
      <c r="S499" s="29"/>
      <c r="T499" s="29"/>
      <c r="U499" s="29"/>
      <c r="V499" s="29"/>
      <c r="W499" s="29"/>
      <c r="X499" s="29"/>
    </row>
    <row r="500" spans="1:24" ht="15">
      <c r="A500" s="29"/>
      <c r="B500" s="29"/>
      <c r="C500" s="29"/>
      <c r="D500" s="33"/>
      <c r="E500" s="33"/>
      <c r="G500" s="29"/>
      <c r="H500" s="29"/>
      <c r="I500" s="29"/>
      <c r="J500" s="29"/>
      <c r="K500" s="29"/>
      <c r="L500" s="29"/>
      <c r="M500" s="29"/>
      <c r="N500" s="29"/>
      <c r="O500" s="29"/>
      <c r="P500" s="29"/>
      <c r="Q500" s="29"/>
      <c r="R500" s="29"/>
      <c r="S500" s="29"/>
      <c r="T500" s="29"/>
      <c r="U500" s="29"/>
      <c r="V500" s="29"/>
      <c r="W500" s="29"/>
      <c r="X500" s="29"/>
    </row>
    <row r="501" spans="1:24" ht="15">
      <c r="A501" s="29"/>
      <c r="B501" s="29"/>
      <c r="C501" s="29"/>
      <c r="D501" s="33"/>
      <c r="E501" s="33"/>
      <c r="G501" s="29"/>
      <c r="H501" s="29"/>
      <c r="I501" s="29"/>
      <c r="J501" s="29"/>
      <c r="K501" s="29"/>
      <c r="L501" s="29"/>
      <c r="M501" s="29"/>
      <c r="N501" s="29"/>
      <c r="O501" s="29"/>
      <c r="P501" s="29"/>
      <c r="Q501" s="29"/>
      <c r="R501" s="29"/>
      <c r="S501" s="29"/>
      <c r="T501" s="29"/>
      <c r="U501" s="29"/>
      <c r="V501" s="29"/>
      <c r="W501" s="29"/>
      <c r="X501" s="29"/>
    </row>
    <row r="502" spans="1:24" ht="15">
      <c r="A502" s="29"/>
      <c r="B502" s="29"/>
      <c r="C502" s="29"/>
      <c r="D502" s="33"/>
      <c r="E502" s="33"/>
      <c r="G502" s="29"/>
      <c r="H502" s="29"/>
      <c r="I502" s="29"/>
      <c r="J502" s="29"/>
      <c r="K502" s="29"/>
      <c r="L502" s="29"/>
      <c r="M502" s="29"/>
      <c r="N502" s="29"/>
      <c r="O502" s="29"/>
      <c r="P502" s="29"/>
      <c r="Q502" s="29"/>
      <c r="R502" s="29"/>
      <c r="S502" s="29"/>
      <c r="T502" s="29"/>
      <c r="U502" s="29"/>
      <c r="V502" s="29"/>
      <c r="W502" s="29"/>
      <c r="X502" s="29"/>
    </row>
    <row r="503" spans="1:24" ht="15">
      <c r="A503" s="29"/>
      <c r="B503" s="29"/>
      <c r="C503" s="29"/>
      <c r="D503" s="33"/>
      <c r="E503" s="33"/>
      <c r="G503" s="29"/>
      <c r="H503" s="29"/>
      <c r="I503" s="29"/>
      <c r="J503" s="29"/>
      <c r="K503" s="29"/>
      <c r="L503" s="29"/>
      <c r="M503" s="29"/>
      <c r="N503" s="29"/>
      <c r="O503" s="29"/>
      <c r="P503" s="29"/>
      <c r="Q503" s="29"/>
      <c r="R503" s="29"/>
      <c r="S503" s="29"/>
      <c r="T503" s="29"/>
      <c r="U503" s="29"/>
      <c r="V503" s="29"/>
      <c r="W503" s="29"/>
      <c r="X503" s="29"/>
    </row>
    <row r="504" spans="1:24" ht="15">
      <c r="A504" s="29"/>
      <c r="B504" s="29"/>
      <c r="C504" s="29"/>
      <c r="D504" s="33"/>
      <c r="E504" s="33"/>
      <c r="G504" s="29"/>
      <c r="H504" s="29"/>
      <c r="I504" s="29"/>
      <c r="J504" s="29"/>
      <c r="K504" s="29"/>
      <c r="L504" s="29"/>
      <c r="M504" s="29"/>
      <c r="N504" s="29"/>
      <c r="O504" s="29"/>
      <c r="P504" s="29"/>
      <c r="Q504" s="29"/>
      <c r="R504" s="29"/>
      <c r="S504" s="29"/>
      <c r="T504" s="29"/>
      <c r="U504" s="29"/>
      <c r="V504" s="29"/>
      <c r="W504" s="29"/>
      <c r="X504" s="29"/>
    </row>
    <row r="505" spans="1:24" ht="15">
      <c r="A505" s="29"/>
      <c r="B505" s="29"/>
      <c r="C505" s="29"/>
      <c r="D505" s="33"/>
      <c r="E505" s="33"/>
      <c r="G505" s="29"/>
      <c r="H505" s="29"/>
      <c r="I505" s="29"/>
      <c r="J505" s="29"/>
      <c r="K505" s="29"/>
      <c r="L505" s="29"/>
      <c r="M505" s="29"/>
      <c r="N505" s="29"/>
      <c r="O505" s="29"/>
      <c r="P505" s="29"/>
      <c r="Q505" s="29"/>
      <c r="R505" s="29"/>
      <c r="S505" s="29"/>
      <c r="T505" s="29"/>
      <c r="U505" s="29"/>
      <c r="V505" s="29"/>
      <c r="W505" s="29"/>
      <c r="X505" s="29"/>
    </row>
    <row r="506" spans="1:24" ht="15">
      <c r="A506" s="29"/>
      <c r="B506" s="29"/>
      <c r="C506" s="29"/>
      <c r="D506" s="33"/>
      <c r="E506" s="33"/>
      <c r="G506" s="29"/>
      <c r="H506" s="29"/>
      <c r="I506" s="29"/>
      <c r="J506" s="29"/>
      <c r="K506" s="29"/>
      <c r="L506" s="29"/>
      <c r="M506" s="29"/>
      <c r="N506" s="29"/>
      <c r="O506" s="29"/>
      <c r="P506" s="29"/>
      <c r="Q506" s="29"/>
      <c r="R506" s="29"/>
      <c r="S506" s="29"/>
      <c r="T506" s="29"/>
      <c r="U506" s="29"/>
      <c r="V506" s="29"/>
      <c r="W506" s="29"/>
      <c r="X506" s="29"/>
    </row>
    <row r="507" spans="1:24" ht="15">
      <c r="A507" s="29"/>
      <c r="B507" s="29"/>
      <c r="C507" s="29"/>
      <c r="D507" s="33"/>
      <c r="E507" s="33"/>
      <c r="G507" s="29"/>
      <c r="H507" s="29"/>
      <c r="I507" s="29"/>
      <c r="J507" s="29"/>
      <c r="K507" s="29"/>
      <c r="L507" s="29"/>
      <c r="M507" s="29"/>
      <c r="N507" s="29"/>
      <c r="O507" s="29"/>
      <c r="P507" s="29"/>
      <c r="Q507" s="29"/>
      <c r="R507" s="29"/>
      <c r="S507" s="29"/>
      <c r="T507" s="29"/>
      <c r="U507" s="29"/>
      <c r="V507" s="29"/>
      <c r="W507" s="29"/>
      <c r="X507" s="29"/>
    </row>
    <row r="508" spans="1:24" ht="15">
      <c r="A508" s="29"/>
      <c r="B508" s="29"/>
      <c r="C508" s="29"/>
      <c r="D508" s="33"/>
      <c r="E508" s="33"/>
      <c r="G508" s="29"/>
      <c r="H508" s="29"/>
      <c r="I508" s="29"/>
      <c r="J508" s="29"/>
      <c r="K508" s="29"/>
      <c r="L508" s="29"/>
      <c r="M508" s="29"/>
      <c r="N508" s="29"/>
      <c r="O508" s="29"/>
      <c r="P508" s="29"/>
      <c r="Q508" s="29"/>
      <c r="R508" s="29"/>
      <c r="S508" s="29"/>
      <c r="T508" s="29"/>
      <c r="U508" s="29"/>
      <c r="V508" s="29"/>
      <c r="W508" s="29"/>
      <c r="X508" s="29"/>
    </row>
    <row r="509" spans="1:24" ht="15">
      <c r="A509" s="29"/>
      <c r="B509" s="29"/>
      <c r="C509" s="29"/>
      <c r="D509" s="33"/>
      <c r="E509" s="33"/>
      <c r="G509" s="29"/>
      <c r="H509" s="29"/>
      <c r="I509" s="29"/>
      <c r="J509" s="29"/>
      <c r="K509" s="29"/>
      <c r="L509" s="29"/>
      <c r="M509" s="29"/>
      <c r="N509" s="29"/>
      <c r="O509" s="29"/>
      <c r="P509" s="29"/>
      <c r="Q509" s="29"/>
      <c r="R509" s="29"/>
      <c r="S509" s="29"/>
      <c r="T509" s="29"/>
      <c r="U509" s="29"/>
      <c r="V509" s="29"/>
      <c r="W509" s="29"/>
      <c r="X509" s="29"/>
    </row>
    <row r="510" spans="1:24" ht="15">
      <c r="A510" s="29"/>
      <c r="B510" s="29"/>
      <c r="C510" s="29"/>
      <c r="D510" s="33"/>
      <c r="E510" s="33"/>
      <c r="G510" s="29"/>
      <c r="H510" s="29"/>
      <c r="I510" s="29"/>
      <c r="J510" s="29"/>
      <c r="K510" s="29"/>
      <c r="L510" s="29"/>
      <c r="M510" s="29"/>
      <c r="N510" s="29"/>
      <c r="O510" s="29"/>
      <c r="P510" s="29"/>
      <c r="Q510" s="29"/>
      <c r="R510" s="29"/>
      <c r="S510" s="29"/>
      <c r="T510" s="29"/>
      <c r="U510" s="29"/>
      <c r="V510" s="29"/>
      <c r="W510" s="29"/>
      <c r="X510" s="29"/>
    </row>
    <row r="511" spans="1:24" ht="15">
      <c r="A511" s="29"/>
      <c r="B511" s="29"/>
      <c r="C511" s="29"/>
      <c r="D511" s="33"/>
      <c r="E511" s="33"/>
      <c r="G511" s="29"/>
      <c r="H511" s="29"/>
      <c r="I511" s="29"/>
      <c r="J511" s="29"/>
      <c r="K511" s="29"/>
      <c r="L511" s="29"/>
      <c r="M511" s="29"/>
      <c r="N511" s="29"/>
      <c r="O511" s="29"/>
      <c r="P511" s="29"/>
      <c r="Q511" s="29"/>
      <c r="R511" s="29"/>
      <c r="S511" s="29"/>
      <c r="T511" s="29"/>
      <c r="U511" s="29"/>
      <c r="V511" s="29"/>
      <c r="W511" s="29"/>
      <c r="X511" s="29"/>
    </row>
    <row r="512" spans="1:24" ht="15">
      <c r="A512" s="29"/>
      <c r="B512" s="29"/>
      <c r="C512" s="29"/>
      <c r="D512" s="33"/>
      <c r="E512" s="33"/>
      <c r="G512" s="29"/>
      <c r="H512" s="29"/>
      <c r="I512" s="29"/>
      <c r="J512" s="29"/>
      <c r="K512" s="29"/>
      <c r="L512" s="29"/>
      <c r="M512" s="29"/>
      <c r="N512" s="29"/>
      <c r="O512" s="29"/>
      <c r="P512" s="29"/>
      <c r="Q512" s="29"/>
      <c r="R512" s="29"/>
      <c r="S512" s="29"/>
      <c r="T512" s="29"/>
      <c r="U512" s="29"/>
      <c r="V512" s="29"/>
      <c r="W512" s="29"/>
      <c r="X512" s="29"/>
    </row>
    <row r="513" spans="1:24" ht="15">
      <c r="A513" s="29"/>
      <c r="B513" s="29"/>
      <c r="C513" s="29"/>
      <c r="D513" s="33"/>
      <c r="E513" s="33"/>
      <c r="G513" s="29"/>
      <c r="H513" s="29"/>
      <c r="I513" s="29"/>
      <c r="J513" s="29"/>
      <c r="K513" s="29"/>
      <c r="L513" s="29"/>
      <c r="M513" s="29"/>
      <c r="N513" s="29"/>
      <c r="O513" s="29"/>
      <c r="P513" s="29"/>
      <c r="Q513" s="29"/>
      <c r="R513" s="29"/>
      <c r="S513" s="29"/>
      <c r="T513" s="29"/>
      <c r="U513" s="29"/>
      <c r="V513" s="29"/>
      <c r="W513" s="29"/>
      <c r="X513" s="29"/>
    </row>
    <row r="514" spans="1:24" ht="15">
      <c r="A514" s="29"/>
      <c r="B514" s="29"/>
      <c r="C514" s="29"/>
      <c r="D514" s="33"/>
      <c r="E514" s="33"/>
      <c r="G514" s="29"/>
      <c r="H514" s="29"/>
      <c r="I514" s="29"/>
      <c r="J514" s="29"/>
      <c r="K514" s="29"/>
      <c r="L514" s="29"/>
      <c r="M514" s="29"/>
      <c r="N514" s="29"/>
      <c r="O514" s="29"/>
      <c r="P514" s="29"/>
      <c r="Q514" s="29"/>
      <c r="R514" s="29"/>
      <c r="S514" s="29"/>
      <c r="T514" s="29"/>
      <c r="U514" s="29"/>
      <c r="V514" s="29"/>
      <c r="W514" s="29"/>
      <c r="X514" s="29"/>
    </row>
    <row r="515" spans="1:24" ht="15">
      <c r="A515" s="29"/>
      <c r="B515" s="29"/>
      <c r="C515" s="29"/>
      <c r="D515" s="33"/>
      <c r="E515" s="33"/>
      <c r="G515" s="29"/>
      <c r="H515" s="29"/>
      <c r="I515" s="29"/>
      <c r="J515" s="29"/>
      <c r="K515" s="29"/>
      <c r="L515" s="29"/>
      <c r="M515" s="29"/>
      <c r="N515" s="29"/>
      <c r="O515" s="29"/>
      <c r="P515" s="29"/>
      <c r="Q515" s="29"/>
      <c r="R515" s="29"/>
      <c r="S515" s="29"/>
      <c r="T515" s="29"/>
      <c r="U515" s="29"/>
      <c r="V515" s="29"/>
      <c r="W515" s="29"/>
      <c r="X515" s="29"/>
    </row>
    <row r="516" spans="1:24" ht="15">
      <c r="A516" s="29"/>
      <c r="B516" s="29"/>
      <c r="C516" s="29"/>
      <c r="D516" s="33"/>
      <c r="E516" s="33"/>
      <c r="G516" s="29"/>
      <c r="H516" s="29"/>
      <c r="I516" s="29"/>
      <c r="J516" s="29"/>
      <c r="K516" s="29"/>
      <c r="L516" s="29"/>
      <c r="M516" s="29"/>
      <c r="N516" s="29"/>
      <c r="O516" s="29"/>
      <c r="P516" s="29"/>
      <c r="Q516" s="29"/>
      <c r="R516" s="29"/>
      <c r="S516" s="29"/>
      <c r="T516" s="29"/>
      <c r="U516" s="29"/>
      <c r="V516" s="29"/>
      <c r="W516" s="29"/>
      <c r="X516" s="29"/>
    </row>
    <row r="517" spans="1:24" ht="15">
      <c r="A517" s="29"/>
      <c r="B517" s="29"/>
      <c r="C517" s="29"/>
      <c r="D517" s="33"/>
      <c r="E517" s="33"/>
      <c r="G517" s="29"/>
      <c r="H517" s="29"/>
      <c r="I517" s="29"/>
      <c r="J517" s="29"/>
      <c r="K517" s="29"/>
      <c r="L517" s="29"/>
      <c r="M517" s="29"/>
      <c r="N517" s="29"/>
      <c r="O517" s="29"/>
      <c r="P517" s="29"/>
      <c r="Q517" s="29"/>
      <c r="R517" s="29"/>
      <c r="S517" s="29"/>
      <c r="T517" s="29"/>
      <c r="U517" s="29"/>
      <c r="V517" s="29"/>
      <c r="W517" s="29"/>
      <c r="X517" s="29"/>
    </row>
    <row r="518" spans="1:24" ht="15">
      <c r="A518" s="29"/>
      <c r="B518" s="29"/>
      <c r="C518" s="29"/>
      <c r="D518" s="33"/>
      <c r="E518" s="33"/>
      <c r="G518" s="29"/>
      <c r="H518" s="29"/>
      <c r="I518" s="29"/>
      <c r="J518" s="29"/>
      <c r="K518" s="29"/>
      <c r="L518" s="29"/>
      <c r="M518" s="29"/>
      <c r="N518" s="29"/>
      <c r="O518" s="29"/>
      <c r="P518" s="29"/>
      <c r="Q518" s="29"/>
      <c r="R518" s="29"/>
      <c r="S518" s="29"/>
      <c r="T518" s="29"/>
      <c r="U518" s="29"/>
      <c r="V518" s="29"/>
      <c r="W518" s="29"/>
      <c r="X518" s="29"/>
    </row>
    <row r="519" spans="1:24" ht="15">
      <c r="A519" s="29"/>
      <c r="B519" s="29"/>
      <c r="C519" s="29"/>
      <c r="D519" s="33"/>
      <c r="E519" s="33"/>
      <c r="G519" s="29"/>
      <c r="H519" s="29"/>
      <c r="I519" s="29"/>
      <c r="J519" s="29"/>
      <c r="K519" s="29"/>
      <c r="L519" s="29"/>
      <c r="M519" s="29"/>
      <c r="N519" s="29"/>
      <c r="O519" s="29"/>
      <c r="P519" s="29"/>
      <c r="Q519" s="29"/>
      <c r="R519" s="29"/>
      <c r="S519" s="29"/>
      <c r="T519" s="29"/>
      <c r="U519" s="29"/>
      <c r="V519" s="29"/>
      <c r="W519" s="29"/>
      <c r="X519" s="29"/>
    </row>
    <row r="520" spans="1:24" ht="15">
      <c r="A520" s="29"/>
      <c r="B520" s="29"/>
      <c r="C520" s="29"/>
      <c r="D520" s="33"/>
      <c r="E520" s="33"/>
      <c r="G520" s="29"/>
      <c r="H520" s="29"/>
      <c r="I520" s="29"/>
      <c r="J520" s="29"/>
      <c r="K520" s="29"/>
      <c r="L520" s="29"/>
      <c r="M520" s="29"/>
      <c r="N520" s="29"/>
      <c r="O520" s="29"/>
      <c r="P520" s="29"/>
      <c r="Q520" s="29"/>
      <c r="R520" s="29"/>
      <c r="S520" s="29"/>
      <c r="T520" s="29"/>
      <c r="U520" s="29"/>
      <c r="V520" s="29"/>
      <c r="W520" s="29"/>
      <c r="X520" s="29"/>
    </row>
    <row r="521" spans="1:24" ht="15">
      <c r="A521" s="29"/>
      <c r="B521" s="29"/>
      <c r="C521" s="29"/>
      <c r="D521" s="33"/>
      <c r="E521" s="33"/>
      <c r="G521" s="29"/>
      <c r="H521" s="29"/>
      <c r="I521" s="29"/>
      <c r="J521" s="29"/>
      <c r="K521" s="29"/>
      <c r="L521" s="29"/>
      <c r="M521" s="29"/>
      <c r="N521" s="29"/>
      <c r="O521" s="29"/>
      <c r="P521" s="29"/>
      <c r="Q521" s="29"/>
      <c r="R521" s="29"/>
      <c r="S521" s="29"/>
      <c r="T521" s="29"/>
      <c r="U521" s="29"/>
      <c r="V521" s="29"/>
      <c r="W521" s="29"/>
      <c r="X521" s="29"/>
    </row>
    <row r="522" spans="1:24" ht="15">
      <c r="A522" s="29"/>
      <c r="B522" s="29"/>
      <c r="C522" s="29"/>
      <c r="D522" s="33"/>
      <c r="E522" s="33"/>
      <c r="G522" s="29"/>
      <c r="H522" s="29"/>
      <c r="I522" s="29"/>
      <c r="J522" s="29"/>
      <c r="K522" s="29"/>
      <c r="L522" s="29"/>
      <c r="M522" s="29"/>
      <c r="N522" s="29"/>
      <c r="O522" s="29"/>
      <c r="P522" s="29"/>
      <c r="Q522" s="29"/>
      <c r="R522" s="29"/>
      <c r="S522" s="29"/>
      <c r="T522" s="29"/>
      <c r="U522" s="29"/>
      <c r="V522" s="29"/>
      <c r="W522" s="29"/>
      <c r="X522" s="29"/>
    </row>
    <row r="523" spans="1:24" ht="15">
      <c r="A523" s="29"/>
      <c r="B523" s="29"/>
      <c r="C523" s="29"/>
      <c r="D523" s="33"/>
      <c r="E523" s="33"/>
      <c r="G523" s="29"/>
      <c r="H523" s="29"/>
      <c r="I523" s="29"/>
      <c r="J523" s="29"/>
      <c r="K523" s="29"/>
      <c r="L523" s="29"/>
      <c r="M523" s="29"/>
      <c r="N523" s="29"/>
      <c r="O523" s="29"/>
      <c r="P523" s="29"/>
      <c r="Q523" s="29"/>
      <c r="R523" s="29"/>
      <c r="S523" s="29"/>
      <c r="T523" s="29"/>
      <c r="U523" s="29"/>
      <c r="V523" s="29"/>
      <c r="W523" s="29"/>
      <c r="X523" s="29"/>
    </row>
    <row r="524" spans="1:24" ht="15">
      <c r="A524" s="29"/>
      <c r="B524" s="29"/>
      <c r="C524" s="29"/>
      <c r="D524" s="33"/>
      <c r="E524" s="33"/>
      <c r="G524" s="29"/>
      <c r="H524" s="29"/>
      <c r="I524" s="29"/>
      <c r="J524" s="29"/>
      <c r="K524" s="29"/>
      <c r="L524" s="29"/>
      <c r="M524" s="29"/>
      <c r="N524" s="29"/>
      <c r="O524" s="29"/>
      <c r="P524" s="29"/>
      <c r="Q524" s="29"/>
      <c r="R524" s="29"/>
      <c r="S524" s="29"/>
      <c r="T524" s="29"/>
      <c r="U524" s="29"/>
      <c r="V524" s="29"/>
      <c r="W524" s="29"/>
      <c r="X524" s="29"/>
    </row>
    <row r="525" spans="1:24" ht="15">
      <c r="A525" s="29"/>
      <c r="B525" s="29"/>
      <c r="C525" s="29"/>
      <c r="D525" s="33"/>
      <c r="E525" s="33"/>
      <c r="G525" s="29"/>
      <c r="H525" s="29"/>
      <c r="I525" s="29"/>
      <c r="J525" s="29"/>
      <c r="K525" s="29"/>
      <c r="L525" s="29"/>
      <c r="M525" s="29"/>
      <c r="N525" s="29"/>
      <c r="O525" s="29"/>
      <c r="P525" s="29"/>
      <c r="Q525" s="29"/>
      <c r="R525" s="29"/>
      <c r="S525" s="29"/>
      <c r="T525" s="29"/>
      <c r="U525" s="29"/>
      <c r="V525" s="29"/>
      <c r="W525" s="29"/>
      <c r="X525" s="29"/>
    </row>
    <row r="526" spans="1:24" ht="15">
      <c r="A526" s="29"/>
      <c r="B526" s="29"/>
      <c r="C526" s="29"/>
      <c r="D526" s="33"/>
      <c r="E526" s="33"/>
      <c r="G526" s="29"/>
      <c r="H526" s="29"/>
      <c r="I526" s="29"/>
      <c r="J526" s="29"/>
      <c r="K526" s="29"/>
      <c r="L526" s="29"/>
      <c r="M526" s="29"/>
      <c r="N526" s="29"/>
      <c r="O526" s="29"/>
      <c r="P526" s="29"/>
      <c r="Q526" s="29"/>
      <c r="R526" s="29"/>
      <c r="S526" s="29"/>
      <c r="T526" s="29"/>
      <c r="U526" s="29"/>
      <c r="V526" s="29"/>
      <c r="W526" s="29"/>
      <c r="X526" s="29"/>
    </row>
    <row r="527" spans="1:24" ht="15">
      <c r="A527" s="29"/>
      <c r="B527" s="29"/>
      <c r="C527" s="29"/>
      <c r="D527" s="33"/>
      <c r="E527" s="33"/>
      <c r="G527" s="29"/>
      <c r="H527" s="29"/>
      <c r="I527" s="29"/>
      <c r="J527" s="29"/>
      <c r="K527" s="29"/>
      <c r="L527" s="29"/>
      <c r="M527" s="29"/>
      <c r="N527" s="29"/>
      <c r="O527" s="29"/>
      <c r="P527" s="29"/>
      <c r="Q527" s="29"/>
      <c r="R527" s="29"/>
      <c r="S527" s="29"/>
      <c r="T527" s="29"/>
      <c r="U527" s="29"/>
      <c r="V527" s="29"/>
      <c r="W527" s="29"/>
      <c r="X527" s="29"/>
    </row>
    <row r="528" spans="1:24" ht="15">
      <c r="A528" s="29"/>
      <c r="B528" s="29"/>
      <c r="C528" s="29"/>
      <c r="D528" s="33"/>
      <c r="E528" s="33"/>
      <c r="G528" s="29"/>
      <c r="H528" s="29"/>
      <c r="I528" s="29"/>
      <c r="J528" s="29"/>
      <c r="K528" s="29"/>
      <c r="L528" s="29"/>
      <c r="M528" s="29"/>
      <c r="N528" s="29"/>
      <c r="O528" s="29"/>
      <c r="P528" s="29"/>
      <c r="Q528" s="29"/>
      <c r="R528" s="29"/>
      <c r="S528" s="29"/>
      <c r="T528" s="29"/>
      <c r="U528" s="29"/>
      <c r="V528" s="29"/>
      <c r="W528" s="29"/>
      <c r="X528" s="29"/>
    </row>
    <row r="529" spans="1:24" ht="15">
      <c r="A529" s="29"/>
      <c r="B529" s="29"/>
      <c r="C529" s="29"/>
      <c r="D529" s="33"/>
      <c r="E529" s="33"/>
      <c r="G529" s="29"/>
      <c r="H529" s="29"/>
      <c r="I529" s="29"/>
      <c r="J529" s="29"/>
      <c r="K529" s="29"/>
      <c r="L529" s="29"/>
      <c r="M529" s="29"/>
      <c r="N529" s="29"/>
      <c r="O529" s="29"/>
      <c r="P529" s="29"/>
      <c r="Q529" s="29"/>
      <c r="R529" s="29"/>
      <c r="S529" s="29"/>
      <c r="T529" s="29"/>
      <c r="U529" s="29"/>
      <c r="V529" s="29"/>
      <c r="W529" s="29"/>
      <c r="X529" s="29"/>
    </row>
    <row r="530" spans="1:24" ht="15">
      <c r="A530" s="29"/>
      <c r="B530" s="29"/>
      <c r="C530" s="29"/>
      <c r="D530" s="33"/>
      <c r="E530" s="33"/>
      <c r="G530" s="29"/>
      <c r="H530" s="29"/>
      <c r="I530" s="29"/>
      <c r="J530" s="29"/>
      <c r="K530" s="29"/>
      <c r="L530" s="29"/>
      <c r="M530" s="29"/>
      <c r="N530" s="29"/>
      <c r="O530" s="29"/>
      <c r="P530" s="29"/>
      <c r="Q530" s="29"/>
      <c r="R530" s="29"/>
      <c r="S530" s="29"/>
      <c r="T530" s="29"/>
      <c r="U530" s="29"/>
      <c r="V530" s="29"/>
      <c r="W530" s="29"/>
      <c r="X530" s="29"/>
    </row>
    <row r="531" spans="1:24" ht="15">
      <c r="A531" s="29"/>
      <c r="B531" s="29"/>
      <c r="C531" s="29"/>
      <c r="D531" s="33"/>
      <c r="E531" s="33"/>
      <c r="G531" s="29"/>
      <c r="H531" s="29"/>
      <c r="I531" s="29"/>
      <c r="J531" s="29"/>
      <c r="K531" s="29"/>
      <c r="L531" s="29"/>
      <c r="M531" s="29"/>
      <c r="N531" s="29"/>
      <c r="O531" s="29"/>
      <c r="P531" s="29"/>
      <c r="Q531" s="29"/>
      <c r="R531" s="29"/>
      <c r="S531" s="29"/>
      <c r="T531" s="29"/>
      <c r="U531" s="29"/>
      <c r="V531" s="29"/>
      <c r="W531" s="29"/>
      <c r="X531" s="29"/>
    </row>
    <row r="532" spans="1:24" ht="15">
      <c r="A532" s="29"/>
      <c r="B532" s="29"/>
      <c r="C532" s="29"/>
      <c r="D532" s="33"/>
      <c r="E532" s="33"/>
      <c r="G532" s="29"/>
      <c r="H532" s="29"/>
      <c r="I532" s="29"/>
      <c r="J532" s="29"/>
      <c r="K532" s="29"/>
      <c r="L532" s="29"/>
      <c r="M532" s="29"/>
      <c r="N532" s="29"/>
      <c r="O532" s="29"/>
      <c r="P532" s="29"/>
      <c r="Q532" s="29"/>
      <c r="R532" s="29"/>
      <c r="S532" s="29"/>
      <c r="T532" s="29"/>
      <c r="U532" s="29"/>
      <c r="V532" s="29"/>
      <c r="W532" s="29"/>
      <c r="X532" s="29"/>
    </row>
    <row r="533" spans="1:24" ht="15">
      <c r="A533" s="29"/>
      <c r="B533" s="29"/>
      <c r="C533" s="29"/>
      <c r="D533" s="33"/>
      <c r="E533" s="33"/>
      <c r="G533" s="29"/>
      <c r="H533" s="29"/>
      <c r="I533" s="29"/>
      <c r="J533" s="29"/>
      <c r="K533" s="29"/>
      <c r="L533" s="29"/>
      <c r="M533" s="29"/>
      <c r="N533" s="29"/>
      <c r="O533" s="29"/>
      <c r="P533" s="29"/>
      <c r="Q533" s="29"/>
      <c r="R533" s="29"/>
      <c r="S533" s="29"/>
      <c r="T533" s="29"/>
      <c r="U533" s="29"/>
      <c r="V533" s="29"/>
      <c r="W533" s="29"/>
      <c r="X533" s="29"/>
    </row>
    <row r="534" spans="1:24" ht="15">
      <c r="A534" s="29"/>
      <c r="B534" s="29"/>
      <c r="C534" s="29"/>
      <c r="D534" s="33"/>
      <c r="E534" s="33"/>
      <c r="G534" s="29"/>
      <c r="H534" s="29"/>
      <c r="I534" s="29"/>
      <c r="J534" s="29"/>
      <c r="K534" s="29"/>
      <c r="L534" s="29"/>
      <c r="M534" s="29"/>
      <c r="N534" s="29"/>
      <c r="O534" s="29"/>
      <c r="P534" s="29"/>
      <c r="Q534" s="29"/>
      <c r="R534" s="29"/>
      <c r="S534" s="29"/>
      <c r="T534" s="29"/>
      <c r="U534" s="29"/>
      <c r="V534" s="29"/>
      <c r="W534" s="29"/>
      <c r="X534" s="29"/>
    </row>
    <row r="535" spans="1:24" ht="15">
      <c r="A535" s="29"/>
      <c r="B535" s="29"/>
      <c r="C535" s="29"/>
      <c r="D535" s="33"/>
      <c r="E535" s="33"/>
      <c r="G535" s="29"/>
      <c r="H535" s="29"/>
      <c r="I535" s="29"/>
      <c r="J535" s="29"/>
      <c r="K535" s="29"/>
      <c r="L535" s="29"/>
      <c r="M535" s="29"/>
      <c r="N535" s="29"/>
      <c r="O535" s="29"/>
      <c r="P535" s="29"/>
      <c r="Q535" s="29"/>
      <c r="R535" s="29"/>
      <c r="S535" s="29"/>
      <c r="T535" s="29"/>
      <c r="U535" s="29"/>
      <c r="V535" s="29"/>
      <c r="W535" s="29"/>
      <c r="X535" s="29"/>
    </row>
    <row r="536" spans="1:24" ht="15">
      <c r="A536" s="29"/>
      <c r="B536" s="29"/>
      <c r="C536" s="29"/>
      <c r="D536" s="33"/>
      <c r="E536" s="33"/>
      <c r="G536" s="29"/>
      <c r="H536" s="29"/>
      <c r="I536" s="29"/>
      <c r="J536" s="29"/>
      <c r="K536" s="29"/>
      <c r="L536" s="29"/>
      <c r="M536" s="29"/>
      <c r="N536" s="29"/>
      <c r="O536" s="29"/>
      <c r="P536" s="29"/>
      <c r="Q536" s="29"/>
      <c r="R536" s="29"/>
      <c r="S536" s="29"/>
      <c r="T536" s="29"/>
      <c r="U536" s="29"/>
      <c r="V536" s="29"/>
      <c r="W536" s="29"/>
      <c r="X536" s="29"/>
    </row>
    <row r="537" spans="1:24" ht="15">
      <c r="A537" s="29"/>
      <c r="B537" s="29"/>
      <c r="C537" s="29"/>
      <c r="D537" s="33"/>
      <c r="E537" s="33"/>
      <c r="G537" s="29"/>
      <c r="H537" s="29"/>
      <c r="I537" s="29"/>
      <c r="J537" s="29"/>
      <c r="K537" s="29"/>
      <c r="L537" s="29"/>
      <c r="M537" s="29"/>
      <c r="N537" s="29"/>
      <c r="O537" s="29"/>
      <c r="P537" s="29"/>
      <c r="Q537" s="29"/>
      <c r="R537" s="29"/>
      <c r="S537" s="29"/>
      <c r="T537" s="29"/>
      <c r="U537" s="29"/>
      <c r="V537" s="29"/>
      <c r="W537" s="29"/>
      <c r="X537" s="29"/>
    </row>
    <row r="538" spans="1:24" ht="15">
      <c r="A538" s="29"/>
      <c r="B538" s="29"/>
      <c r="C538" s="29"/>
      <c r="D538" s="33"/>
      <c r="E538" s="33"/>
      <c r="G538" s="29"/>
      <c r="H538" s="29"/>
      <c r="I538" s="29"/>
      <c r="J538" s="29"/>
      <c r="K538" s="29"/>
      <c r="L538" s="29"/>
      <c r="M538" s="29"/>
      <c r="N538" s="29"/>
      <c r="O538" s="29"/>
      <c r="P538" s="29"/>
      <c r="Q538" s="29"/>
      <c r="R538" s="29"/>
      <c r="S538" s="29"/>
      <c r="T538" s="29"/>
      <c r="U538" s="29"/>
      <c r="V538" s="29"/>
      <c r="W538" s="29"/>
      <c r="X538" s="29"/>
    </row>
    <row r="539" spans="1:24" ht="15">
      <c r="A539" s="29"/>
      <c r="B539" s="29"/>
      <c r="C539" s="29"/>
      <c r="D539" s="33"/>
      <c r="E539" s="33"/>
      <c r="G539" s="29"/>
      <c r="H539" s="29"/>
      <c r="I539" s="29"/>
      <c r="J539" s="29"/>
      <c r="K539" s="29"/>
      <c r="L539" s="29"/>
      <c r="M539" s="29"/>
      <c r="N539" s="29"/>
      <c r="O539" s="29"/>
      <c r="P539" s="29"/>
      <c r="Q539" s="29"/>
      <c r="R539" s="29"/>
      <c r="S539" s="29"/>
      <c r="T539" s="29"/>
      <c r="U539" s="29"/>
      <c r="V539" s="29"/>
      <c r="W539" s="29"/>
      <c r="X539" s="29"/>
    </row>
    <row r="540" spans="1:24" ht="15">
      <c r="A540" s="29"/>
      <c r="B540" s="29"/>
      <c r="C540" s="29"/>
      <c r="D540" s="33"/>
      <c r="E540" s="33"/>
      <c r="G540" s="29"/>
      <c r="H540" s="29"/>
      <c r="I540" s="29"/>
      <c r="J540" s="29"/>
      <c r="K540" s="29"/>
      <c r="L540" s="29"/>
      <c r="M540" s="29"/>
      <c r="N540" s="29"/>
      <c r="O540" s="29"/>
      <c r="P540" s="29"/>
      <c r="Q540" s="29"/>
      <c r="R540" s="29"/>
      <c r="S540" s="29"/>
      <c r="T540" s="29"/>
      <c r="U540" s="29"/>
      <c r="V540" s="29"/>
      <c r="W540" s="29"/>
      <c r="X540" s="29"/>
    </row>
    <row r="541" spans="1:24" ht="15">
      <c r="A541" s="29"/>
      <c r="B541" s="29"/>
      <c r="C541" s="29"/>
      <c r="D541" s="33"/>
      <c r="E541" s="33"/>
      <c r="G541" s="29"/>
      <c r="H541" s="29"/>
      <c r="I541" s="29"/>
      <c r="J541" s="29"/>
      <c r="K541" s="29"/>
      <c r="L541" s="29"/>
      <c r="M541" s="29"/>
      <c r="N541" s="29"/>
      <c r="O541" s="29"/>
      <c r="P541" s="29"/>
      <c r="Q541" s="29"/>
      <c r="R541" s="29"/>
      <c r="S541" s="29"/>
      <c r="T541" s="29"/>
      <c r="U541" s="29"/>
      <c r="V541" s="29"/>
      <c r="W541" s="29"/>
      <c r="X541" s="29"/>
    </row>
    <row r="542" spans="1:24" ht="15">
      <c r="A542" s="29"/>
      <c r="B542" s="29"/>
      <c r="C542" s="29"/>
      <c r="D542" s="33"/>
      <c r="E542" s="33"/>
      <c r="G542" s="29"/>
      <c r="H542" s="29"/>
      <c r="I542" s="29"/>
      <c r="J542" s="29"/>
      <c r="K542" s="29"/>
      <c r="L542" s="29"/>
      <c r="M542" s="29"/>
      <c r="N542" s="29"/>
      <c r="O542" s="29"/>
      <c r="P542" s="29"/>
      <c r="Q542" s="29"/>
      <c r="R542" s="29"/>
      <c r="S542" s="29"/>
      <c r="T542" s="29"/>
      <c r="U542" s="29"/>
      <c r="V542" s="29"/>
      <c r="W542" s="29"/>
      <c r="X542" s="29"/>
    </row>
    <row r="543" spans="1:24" ht="15">
      <c r="A543" s="29"/>
      <c r="B543" s="29"/>
      <c r="C543" s="29"/>
      <c r="D543" s="33"/>
      <c r="E543" s="33"/>
      <c r="G543" s="29"/>
      <c r="H543" s="29"/>
      <c r="I543" s="29"/>
      <c r="J543" s="29"/>
      <c r="K543" s="29"/>
      <c r="L543" s="29"/>
      <c r="M543" s="29"/>
      <c r="N543" s="29"/>
      <c r="O543" s="29"/>
      <c r="P543" s="29"/>
      <c r="Q543" s="29"/>
      <c r="R543" s="29"/>
      <c r="S543" s="29"/>
      <c r="T543" s="29"/>
      <c r="U543" s="29"/>
      <c r="V543" s="29"/>
      <c r="W543" s="29"/>
      <c r="X543" s="29"/>
    </row>
    <row r="544" spans="1:24" ht="15">
      <c r="A544" s="29"/>
      <c r="B544" s="29"/>
      <c r="C544" s="29"/>
      <c r="D544" s="33"/>
      <c r="E544" s="33"/>
      <c r="G544" s="29"/>
      <c r="H544" s="29"/>
      <c r="I544" s="29"/>
      <c r="J544" s="29"/>
      <c r="K544" s="29"/>
      <c r="L544" s="29"/>
      <c r="M544" s="29"/>
      <c r="N544" s="29"/>
      <c r="O544" s="29"/>
      <c r="P544" s="29"/>
      <c r="Q544" s="29"/>
      <c r="R544" s="29"/>
      <c r="S544" s="29"/>
      <c r="T544" s="29"/>
      <c r="U544" s="29"/>
      <c r="V544" s="29"/>
      <c r="W544" s="29"/>
      <c r="X544" s="29"/>
    </row>
    <row r="545" spans="1:24" ht="15">
      <c r="A545" s="29"/>
      <c r="B545" s="29"/>
      <c r="C545" s="29"/>
      <c r="D545" s="33"/>
      <c r="E545" s="33"/>
      <c r="G545" s="29"/>
      <c r="H545" s="29"/>
      <c r="I545" s="29"/>
      <c r="J545" s="29"/>
      <c r="K545" s="29"/>
      <c r="L545" s="29"/>
      <c r="M545" s="29"/>
      <c r="N545" s="29"/>
      <c r="O545" s="29"/>
      <c r="P545" s="29"/>
      <c r="Q545" s="29"/>
      <c r="R545" s="29"/>
      <c r="S545" s="29"/>
      <c r="T545" s="29"/>
      <c r="U545" s="29"/>
      <c r="V545" s="29"/>
      <c r="W545" s="29"/>
      <c r="X545" s="29"/>
    </row>
    <row r="546" spans="1:24" ht="15">
      <c r="A546" s="29"/>
      <c r="B546" s="29"/>
      <c r="C546" s="29"/>
      <c r="D546" s="33"/>
      <c r="E546" s="33"/>
      <c r="G546" s="29"/>
      <c r="H546" s="29"/>
      <c r="I546" s="29"/>
      <c r="J546" s="29"/>
      <c r="K546" s="29"/>
      <c r="L546" s="29"/>
      <c r="M546" s="29"/>
      <c r="N546" s="29"/>
      <c r="O546" s="29"/>
      <c r="P546" s="29"/>
      <c r="Q546" s="29"/>
      <c r="R546" s="29"/>
      <c r="S546" s="29"/>
      <c r="T546" s="29"/>
      <c r="U546" s="29"/>
      <c r="V546" s="29"/>
      <c r="W546" s="29"/>
      <c r="X546" s="29"/>
    </row>
    <row r="547" spans="1:24" ht="15">
      <c r="A547" s="29"/>
      <c r="B547" s="29"/>
      <c r="C547" s="29"/>
      <c r="D547" s="33"/>
      <c r="E547" s="33"/>
      <c r="G547" s="29"/>
      <c r="H547" s="29"/>
      <c r="I547" s="29"/>
      <c r="J547" s="29"/>
      <c r="K547" s="29"/>
      <c r="L547" s="29"/>
      <c r="M547" s="29"/>
      <c r="N547" s="29"/>
      <c r="O547" s="29"/>
      <c r="P547" s="29"/>
      <c r="Q547" s="29"/>
      <c r="R547" s="29"/>
      <c r="S547" s="29"/>
      <c r="T547" s="29"/>
      <c r="U547" s="29"/>
      <c r="V547" s="29"/>
      <c r="W547" s="29"/>
      <c r="X547" s="29"/>
    </row>
    <row r="548" spans="1:24" ht="15">
      <c r="A548" s="29"/>
      <c r="B548" s="29"/>
      <c r="C548" s="29"/>
      <c r="D548" s="33"/>
      <c r="E548" s="33"/>
      <c r="G548" s="29"/>
      <c r="H548" s="29"/>
      <c r="I548" s="29"/>
      <c r="J548" s="29"/>
      <c r="K548" s="29"/>
      <c r="L548" s="29"/>
      <c r="M548" s="29"/>
      <c r="N548" s="29"/>
      <c r="O548" s="29"/>
      <c r="P548" s="29"/>
      <c r="Q548" s="29"/>
      <c r="R548" s="29"/>
      <c r="S548" s="29"/>
      <c r="T548" s="29"/>
      <c r="U548" s="29"/>
      <c r="V548" s="29"/>
      <c r="W548" s="29"/>
      <c r="X548" s="29"/>
    </row>
    <row r="549" spans="1:24" ht="15">
      <c r="A549" s="29"/>
      <c r="B549" s="29"/>
      <c r="C549" s="29"/>
      <c r="D549" s="33"/>
      <c r="E549" s="33"/>
      <c r="G549" s="29"/>
      <c r="H549" s="29"/>
      <c r="I549" s="29"/>
      <c r="J549" s="29"/>
      <c r="K549" s="29"/>
      <c r="L549" s="29"/>
      <c r="M549" s="29"/>
      <c r="N549" s="29"/>
      <c r="O549" s="29"/>
      <c r="P549" s="29"/>
      <c r="Q549" s="29"/>
      <c r="R549" s="29"/>
      <c r="S549" s="29"/>
      <c r="T549" s="29"/>
      <c r="U549" s="29"/>
      <c r="V549" s="29"/>
      <c r="W549" s="29"/>
      <c r="X549" s="29"/>
    </row>
    <row r="550" spans="1:24" ht="15">
      <c r="A550" s="29"/>
      <c r="B550" s="29"/>
      <c r="C550" s="29"/>
      <c r="D550" s="33"/>
      <c r="E550" s="33"/>
      <c r="G550" s="29"/>
      <c r="H550" s="29"/>
      <c r="I550" s="29"/>
      <c r="J550" s="29"/>
      <c r="K550" s="29"/>
      <c r="L550" s="29"/>
      <c r="M550" s="29"/>
      <c r="N550" s="29"/>
      <c r="O550" s="29"/>
      <c r="P550" s="29"/>
      <c r="Q550" s="29"/>
      <c r="R550" s="29"/>
      <c r="S550" s="29"/>
      <c r="T550" s="29"/>
      <c r="U550" s="29"/>
      <c r="V550" s="29"/>
      <c r="W550" s="29"/>
      <c r="X550" s="29"/>
    </row>
    <row r="551" spans="1:24" ht="15">
      <c r="A551" s="29"/>
      <c r="B551" s="29"/>
      <c r="C551" s="29"/>
      <c r="D551" s="33"/>
      <c r="E551" s="33"/>
      <c r="G551" s="29"/>
      <c r="H551" s="29"/>
      <c r="I551" s="29"/>
      <c r="J551" s="29"/>
      <c r="K551" s="29"/>
      <c r="L551" s="29"/>
      <c r="M551" s="29"/>
      <c r="N551" s="29"/>
      <c r="O551" s="29"/>
      <c r="P551" s="29"/>
      <c r="Q551" s="29"/>
      <c r="R551" s="29"/>
      <c r="S551" s="29"/>
      <c r="T551" s="29"/>
      <c r="U551" s="29"/>
      <c r="V551" s="29"/>
      <c r="W551" s="29"/>
      <c r="X551" s="29"/>
    </row>
    <row r="552" spans="1:24" ht="15">
      <c r="A552" s="29"/>
      <c r="B552" s="29"/>
      <c r="C552" s="29"/>
      <c r="D552" s="33"/>
      <c r="E552" s="33"/>
      <c r="G552" s="29"/>
      <c r="H552" s="29"/>
      <c r="I552" s="29"/>
      <c r="J552" s="29"/>
      <c r="K552" s="29"/>
      <c r="L552" s="29"/>
      <c r="M552" s="29"/>
      <c r="N552" s="29"/>
      <c r="O552" s="29"/>
      <c r="P552" s="29"/>
      <c r="Q552" s="29"/>
      <c r="R552" s="29"/>
      <c r="S552" s="29"/>
      <c r="T552" s="29"/>
      <c r="U552" s="29"/>
      <c r="V552" s="29"/>
      <c r="W552" s="29"/>
      <c r="X552" s="29"/>
    </row>
    <row r="553" spans="1:24" ht="15">
      <c r="A553" s="29"/>
      <c r="B553" s="29"/>
      <c r="C553" s="29"/>
      <c r="D553" s="33"/>
      <c r="E553" s="33"/>
      <c r="G553" s="29"/>
      <c r="H553" s="29"/>
      <c r="I553" s="29"/>
      <c r="J553" s="29"/>
      <c r="K553" s="29"/>
      <c r="L553" s="29"/>
      <c r="M553" s="29"/>
      <c r="N553" s="29"/>
      <c r="O553" s="29"/>
      <c r="P553" s="29"/>
      <c r="Q553" s="29"/>
      <c r="R553" s="29"/>
      <c r="S553" s="29"/>
      <c r="T553" s="29"/>
      <c r="U553" s="29"/>
      <c r="V553" s="29"/>
      <c r="W553" s="29"/>
      <c r="X553" s="29"/>
    </row>
    <row r="554" spans="1:24" ht="15">
      <c r="A554" s="29"/>
      <c r="B554" s="29"/>
      <c r="C554" s="29"/>
      <c r="D554" s="33"/>
      <c r="E554" s="33"/>
      <c r="G554" s="29"/>
      <c r="H554" s="29"/>
      <c r="I554" s="29"/>
      <c r="J554" s="29"/>
      <c r="K554" s="29"/>
      <c r="L554" s="29"/>
      <c r="M554" s="29"/>
      <c r="N554" s="29"/>
      <c r="O554" s="29"/>
      <c r="P554" s="29"/>
      <c r="Q554" s="29"/>
      <c r="R554" s="29"/>
      <c r="S554" s="29"/>
      <c r="T554" s="29"/>
      <c r="U554" s="29"/>
      <c r="V554" s="29"/>
      <c r="W554" s="29"/>
      <c r="X554" s="29"/>
    </row>
    <row r="555" spans="1:24" ht="15">
      <c r="A555" s="29"/>
      <c r="B555" s="29"/>
      <c r="C555" s="29"/>
      <c r="D555" s="33"/>
      <c r="E555" s="33"/>
      <c r="G555" s="29"/>
      <c r="H555" s="29"/>
      <c r="I555" s="29"/>
      <c r="J555" s="29"/>
      <c r="K555" s="29"/>
      <c r="L555" s="29"/>
      <c r="M555" s="29"/>
      <c r="N555" s="29"/>
      <c r="O555" s="29"/>
      <c r="P555" s="29"/>
      <c r="Q555" s="29"/>
      <c r="R555" s="29"/>
      <c r="S555" s="29"/>
      <c r="T555" s="29"/>
      <c r="U555" s="29"/>
      <c r="V555" s="29"/>
      <c r="W555" s="29"/>
      <c r="X555" s="29"/>
    </row>
    <row r="556" spans="1:24" ht="15">
      <c r="A556" s="29"/>
      <c r="B556" s="29"/>
      <c r="C556" s="29"/>
      <c r="D556" s="33"/>
      <c r="E556" s="33"/>
      <c r="G556" s="29"/>
      <c r="H556" s="29"/>
      <c r="I556" s="29"/>
      <c r="J556" s="29"/>
      <c r="K556" s="29"/>
      <c r="L556" s="29"/>
      <c r="M556" s="29"/>
      <c r="N556" s="29"/>
      <c r="O556" s="29"/>
      <c r="P556" s="29"/>
      <c r="Q556" s="29"/>
      <c r="R556" s="29"/>
      <c r="S556" s="29"/>
      <c r="T556" s="29"/>
      <c r="U556" s="29"/>
      <c r="V556" s="29"/>
      <c r="W556" s="29"/>
      <c r="X556" s="29"/>
    </row>
    <row r="557" spans="1:24" ht="15">
      <c r="A557" s="29"/>
      <c r="B557" s="29"/>
      <c r="C557" s="29"/>
      <c r="D557" s="33"/>
      <c r="E557" s="33"/>
      <c r="G557" s="29"/>
      <c r="H557" s="29"/>
      <c r="I557" s="29"/>
      <c r="J557" s="29"/>
      <c r="K557" s="29"/>
      <c r="L557" s="29"/>
      <c r="M557" s="29"/>
      <c r="N557" s="29"/>
      <c r="O557" s="29"/>
      <c r="P557" s="29"/>
      <c r="Q557" s="29"/>
      <c r="R557" s="29"/>
      <c r="S557" s="29"/>
      <c r="T557" s="29"/>
      <c r="U557" s="29"/>
      <c r="V557" s="29"/>
      <c r="W557" s="29"/>
      <c r="X557" s="29"/>
    </row>
    <row r="558" spans="1:24" ht="15">
      <c r="A558" s="29"/>
      <c r="B558" s="29"/>
      <c r="C558" s="29"/>
      <c r="D558" s="33"/>
      <c r="E558" s="33"/>
      <c r="G558" s="29"/>
      <c r="H558" s="29"/>
      <c r="I558" s="29"/>
      <c r="J558" s="29"/>
      <c r="K558" s="29"/>
      <c r="L558" s="29"/>
      <c r="M558" s="29"/>
      <c r="N558" s="29"/>
      <c r="O558" s="29"/>
      <c r="P558" s="29"/>
      <c r="Q558" s="29"/>
      <c r="R558" s="29"/>
      <c r="S558" s="29"/>
      <c r="T558" s="29"/>
      <c r="U558" s="29"/>
      <c r="V558" s="29"/>
      <c r="W558" s="29"/>
      <c r="X558" s="29"/>
    </row>
    <row r="559" spans="1:24" ht="15">
      <c r="A559" s="29"/>
      <c r="B559" s="29"/>
      <c r="C559" s="29"/>
      <c r="D559" s="33"/>
      <c r="E559" s="33"/>
      <c r="G559" s="29"/>
      <c r="H559" s="29"/>
      <c r="I559" s="29"/>
      <c r="J559" s="29"/>
      <c r="K559" s="29"/>
      <c r="L559" s="29"/>
      <c r="M559" s="29"/>
      <c r="N559" s="29"/>
      <c r="O559" s="29"/>
      <c r="P559" s="29"/>
      <c r="Q559" s="29"/>
      <c r="R559" s="29"/>
      <c r="S559" s="29"/>
      <c r="T559" s="29"/>
      <c r="U559" s="29"/>
      <c r="V559" s="29"/>
      <c r="W559" s="29"/>
      <c r="X559" s="29"/>
    </row>
    <row r="560" spans="1:24" ht="15">
      <c r="A560" s="29"/>
      <c r="B560" s="29"/>
      <c r="C560" s="29"/>
      <c r="D560" s="33"/>
      <c r="E560" s="33"/>
      <c r="G560" s="29"/>
      <c r="H560" s="29"/>
      <c r="I560" s="29"/>
      <c r="J560" s="29"/>
      <c r="K560" s="29"/>
      <c r="L560" s="29"/>
      <c r="M560" s="29"/>
      <c r="N560" s="29"/>
      <c r="O560" s="29"/>
      <c r="P560" s="29"/>
      <c r="Q560" s="29"/>
      <c r="R560" s="29"/>
      <c r="S560" s="29"/>
      <c r="T560" s="29"/>
      <c r="U560" s="29"/>
      <c r="V560" s="29"/>
      <c r="W560" s="29"/>
      <c r="X560" s="29"/>
    </row>
    <row r="561" spans="1:24" ht="15">
      <c r="A561" s="29"/>
      <c r="B561" s="29"/>
      <c r="C561" s="29"/>
      <c r="D561" s="33"/>
      <c r="E561" s="33"/>
      <c r="G561" s="29"/>
      <c r="H561" s="29"/>
      <c r="I561" s="29"/>
      <c r="J561" s="29"/>
      <c r="K561" s="29"/>
      <c r="L561" s="29"/>
      <c r="M561" s="29"/>
      <c r="N561" s="29"/>
      <c r="O561" s="29"/>
      <c r="P561" s="29"/>
      <c r="Q561" s="29"/>
      <c r="R561" s="29"/>
      <c r="S561" s="29"/>
      <c r="T561" s="29"/>
      <c r="U561" s="29"/>
      <c r="V561" s="29"/>
      <c r="W561" s="29"/>
      <c r="X561" s="29"/>
    </row>
    <row r="562" spans="1:24" ht="15">
      <c r="A562" s="29"/>
      <c r="B562" s="29"/>
      <c r="C562" s="29"/>
      <c r="D562" s="33"/>
      <c r="E562" s="33"/>
      <c r="G562" s="29"/>
      <c r="H562" s="29"/>
      <c r="I562" s="29"/>
      <c r="J562" s="29"/>
      <c r="K562" s="29"/>
      <c r="L562" s="29"/>
      <c r="M562" s="29"/>
      <c r="N562" s="29"/>
      <c r="O562" s="29"/>
      <c r="P562" s="29"/>
      <c r="Q562" s="29"/>
      <c r="R562" s="29"/>
      <c r="S562" s="29"/>
      <c r="T562" s="29"/>
      <c r="U562" s="29"/>
      <c r="V562" s="29"/>
      <c r="W562" s="29"/>
      <c r="X562" s="29"/>
    </row>
    <row r="563" spans="1:24" ht="15">
      <c r="A563" s="29"/>
      <c r="B563" s="29"/>
      <c r="C563" s="29"/>
      <c r="D563" s="33"/>
      <c r="E563" s="33"/>
      <c r="G563" s="29"/>
      <c r="H563" s="29"/>
      <c r="I563" s="29"/>
      <c r="J563" s="29"/>
      <c r="K563" s="29"/>
      <c r="L563" s="29"/>
      <c r="M563" s="29"/>
      <c r="N563" s="29"/>
      <c r="O563" s="29"/>
      <c r="P563" s="29"/>
      <c r="Q563" s="29"/>
      <c r="R563" s="29"/>
      <c r="S563" s="29"/>
      <c r="T563" s="29"/>
      <c r="U563" s="29"/>
      <c r="V563" s="29"/>
      <c r="W563" s="29"/>
      <c r="X563" s="29"/>
    </row>
    <row r="564" spans="1:24" ht="15">
      <c r="A564" s="29"/>
      <c r="B564" s="29"/>
      <c r="C564" s="29"/>
      <c r="D564" s="33"/>
      <c r="E564" s="33"/>
      <c r="G564" s="29"/>
      <c r="H564" s="29"/>
      <c r="I564" s="29"/>
      <c r="J564" s="29"/>
      <c r="K564" s="29"/>
      <c r="L564" s="29"/>
      <c r="M564" s="29"/>
      <c r="N564" s="29"/>
      <c r="O564" s="29"/>
      <c r="P564" s="29"/>
      <c r="Q564" s="29"/>
      <c r="R564" s="29"/>
      <c r="S564" s="29"/>
      <c r="T564" s="29"/>
      <c r="U564" s="29"/>
      <c r="V564" s="29"/>
      <c r="W564" s="29"/>
      <c r="X564" s="29"/>
    </row>
    <row r="565" spans="1:24" ht="15">
      <c r="A565" s="29"/>
      <c r="B565" s="29"/>
      <c r="C565" s="29"/>
      <c r="D565" s="33"/>
      <c r="E565" s="33"/>
      <c r="G565" s="29"/>
      <c r="H565" s="29"/>
      <c r="I565" s="29"/>
      <c r="J565" s="29"/>
      <c r="K565" s="29"/>
      <c r="L565" s="29"/>
      <c r="M565" s="29"/>
      <c r="N565" s="29"/>
      <c r="O565" s="29"/>
      <c r="P565" s="29"/>
      <c r="Q565" s="29"/>
      <c r="R565" s="29"/>
      <c r="S565" s="29"/>
      <c r="T565" s="29"/>
      <c r="U565" s="29"/>
      <c r="V565" s="29"/>
      <c r="W565" s="29"/>
      <c r="X565" s="29"/>
    </row>
    <row r="566" spans="1:24" ht="15">
      <c r="A566" s="29"/>
      <c r="B566" s="29"/>
      <c r="C566" s="29"/>
      <c r="D566" s="33"/>
      <c r="E566" s="33"/>
      <c r="G566" s="29"/>
      <c r="H566" s="29"/>
      <c r="I566" s="29"/>
      <c r="J566" s="29"/>
      <c r="K566" s="29"/>
      <c r="L566" s="29"/>
      <c r="M566" s="29"/>
      <c r="N566" s="29"/>
      <c r="O566" s="29"/>
      <c r="P566" s="29"/>
      <c r="Q566" s="29"/>
      <c r="R566" s="29"/>
      <c r="S566" s="29"/>
      <c r="T566" s="29"/>
      <c r="U566" s="29"/>
      <c r="V566" s="29"/>
      <c r="W566" s="29"/>
      <c r="X566" s="29"/>
    </row>
    <row r="567" spans="1:24" ht="15">
      <c r="A567" s="29"/>
      <c r="B567" s="29"/>
      <c r="C567" s="29"/>
      <c r="D567" s="33"/>
      <c r="E567" s="33"/>
      <c r="G567" s="29"/>
      <c r="H567" s="29"/>
      <c r="I567" s="29"/>
      <c r="J567" s="29"/>
      <c r="K567" s="29"/>
      <c r="L567" s="29"/>
      <c r="M567" s="29"/>
      <c r="N567" s="29"/>
      <c r="O567" s="29"/>
      <c r="P567" s="29"/>
      <c r="Q567" s="29"/>
      <c r="R567" s="29"/>
      <c r="S567" s="29"/>
      <c r="T567" s="29"/>
      <c r="U567" s="29"/>
      <c r="V567" s="29"/>
      <c r="W567" s="29"/>
      <c r="X567" s="29"/>
    </row>
    <row r="568" spans="1:24" ht="15">
      <c r="A568" s="29"/>
      <c r="B568" s="29"/>
      <c r="C568" s="29"/>
      <c r="D568" s="33"/>
      <c r="E568" s="33"/>
      <c r="G568" s="29"/>
      <c r="H568" s="29"/>
      <c r="I568" s="29"/>
      <c r="J568" s="29"/>
      <c r="K568" s="29"/>
      <c r="L568" s="29"/>
      <c r="M568" s="29"/>
      <c r="N568" s="29"/>
      <c r="O568" s="29"/>
      <c r="P568" s="29"/>
      <c r="Q568" s="29"/>
      <c r="R568" s="29"/>
      <c r="S568" s="29"/>
      <c r="T568" s="29"/>
      <c r="U568" s="29"/>
      <c r="V568" s="29"/>
      <c r="W568" s="29"/>
      <c r="X568" s="29"/>
    </row>
    <row r="569" spans="1:24" ht="15">
      <c r="A569" s="29"/>
      <c r="B569" s="29"/>
      <c r="C569" s="29"/>
      <c r="D569" s="33"/>
      <c r="E569" s="33"/>
      <c r="G569" s="29"/>
      <c r="H569" s="29"/>
      <c r="I569" s="29"/>
      <c r="J569" s="29"/>
      <c r="K569" s="29"/>
      <c r="L569" s="29"/>
      <c r="M569" s="29"/>
      <c r="N569" s="29"/>
      <c r="O569" s="29"/>
      <c r="P569" s="29"/>
      <c r="Q569" s="29"/>
      <c r="R569" s="29"/>
      <c r="S569" s="29"/>
      <c r="T569" s="29"/>
      <c r="U569" s="29"/>
      <c r="V569" s="29"/>
      <c r="W569" s="29"/>
      <c r="X569" s="29"/>
    </row>
    <row r="570" spans="1:24" ht="15">
      <c r="A570" s="29"/>
      <c r="B570" s="29"/>
      <c r="C570" s="29"/>
      <c r="D570" s="33"/>
      <c r="E570" s="33"/>
      <c r="G570" s="29"/>
      <c r="H570" s="29"/>
      <c r="I570" s="29"/>
      <c r="J570" s="29"/>
      <c r="K570" s="29"/>
      <c r="L570" s="29"/>
      <c r="M570" s="29"/>
      <c r="N570" s="29"/>
      <c r="O570" s="29"/>
      <c r="P570" s="29"/>
      <c r="Q570" s="29"/>
      <c r="R570" s="29"/>
      <c r="S570" s="29"/>
      <c r="T570" s="29"/>
      <c r="U570" s="29"/>
      <c r="V570" s="29"/>
      <c r="W570" s="29"/>
      <c r="X570" s="29"/>
    </row>
    <row r="571" spans="1:24" ht="15">
      <c r="A571" s="29"/>
      <c r="B571" s="29"/>
      <c r="C571" s="29"/>
      <c r="D571" s="33"/>
      <c r="E571" s="33"/>
      <c r="G571" s="29"/>
      <c r="H571" s="29"/>
      <c r="I571" s="29"/>
      <c r="J571" s="29"/>
      <c r="K571" s="29"/>
      <c r="L571" s="29"/>
      <c r="M571" s="29"/>
      <c r="N571" s="29"/>
      <c r="O571" s="29"/>
      <c r="P571" s="29"/>
      <c r="Q571" s="29"/>
      <c r="R571" s="29"/>
      <c r="S571" s="29"/>
      <c r="T571" s="29"/>
      <c r="U571" s="29"/>
      <c r="V571" s="29"/>
      <c r="W571" s="29"/>
      <c r="X571" s="29"/>
    </row>
    <row r="572" spans="1:24" ht="15">
      <c r="A572" s="29"/>
      <c r="B572" s="29"/>
      <c r="C572" s="29"/>
      <c r="D572" s="33"/>
      <c r="E572" s="33"/>
      <c r="G572" s="29"/>
      <c r="H572" s="29"/>
      <c r="I572" s="29"/>
      <c r="J572" s="29"/>
      <c r="K572" s="29"/>
      <c r="L572" s="29"/>
      <c r="M572" s="29"/>
      <c r="N572" s="29"/>
      <c r="O572" s="29"/>
      <c r="P572" s="29"/>
      <c r="Q572" s="29"/>
      <c r="R572" s="29"/>
      <c r="S572" s="29"/>
      <c r="T572" s="29"/>
      <c r="U572" s="29"/>
      <c r="V572" s="29"/>
      <c r="W572" s="29"/>
      <c r="X572" s="29"/>
    </row>
    <row r="573" spans="1:24" ht="15">
      <c r="A573" s="29"/>
      <c r="B573" s="29"/>
      <c r="C573" s="29"/>
      <c r="D573" s="33"/>
      <c r="E573" s="33"/>
      <c r="G573" s="29"/>
      <c r="H573" s="29"/>
      <c r="I573" s="29"/>
      <c r="J573" s="29"/>
      <c r="K573" s="29"/>
      <c r="L573" s="29"/>
      <c r="M573" s="29"/>
      <c r="N573" s="29"/>
      <c r="O573" s="29"/>
      <c r="P573" s="29"/>
      <c r="Q573" s="29"/>
      <c r="R573" s="29"/>
      <c r="S573" s="29"/>
      <c r="T573" s="29"/>
      <c r="U573" s="29"/>
      <c r="V573" s="29"/>
      <c r="W573" s="29"/>
      <c r="X573" s="29"/>
    </row>
    <row r="574" spans="1:24" ht="15">
      <c r="A574" s="29"/>
      <c r="B574" s="29"/>
      <c r="C574" s="29"/>
      <c r="D574" s="33"/>
      <c r="E574" s="33"/>
      <c r="G574" s="29"/>
      <c r="H574" s="29"/>
      <c r="I574" s="29"/>
      <c r="J574" s="29"/>
      <c r="K574" s="29"/>
      <c r="L574" s="29"/>
      <c r="M574" s="29"/>
      <c r="N574" s="29"/>
      <c r="O574" s="29"/>
      <c r="P574" s="29"/>
      <c r="Q574" s="29"/>
      <c r="R574" s="29"/>
      <c r="S574" s="29"/>
      <c r="T574" s="29"/>
      <c r="U574" s="29"/>
      <c r="V574" s="29"/>
      <c r="W574" s="29"/>
      <c r="X574" s="29"/>
    </row>
    <row r="575" spans="1:24" ht="15">
      <c r="A575" s="29"/>
      <c r="B575" s="29"/>
      <c r="C575" s="29"/>
      <c r="D575" s="33"/>
      <c r="E575" s="33"/>
      <c r="G575" s="29"/>
      <c r="H575" s="29"/>
      <c r="I575" s="29"/>
      <c r="J575" s="29"/>
      <c r="K575" s="29"/>
      <c r="L575" s="29"/>
      <c r="M575" s="29"/>
      <c r="N575" s="29"/>
      <c r="O575" s="29"/>
      <c r="P575" s="29"/>
      <c r="Q575" s="29"/>
      <c r="R575" s="29"/>
      <c r="S575" s="29"/>
      <c r="T575" s="29"/>
      <c r="U575" s="29"/>
      <c r="V575" s="29"/>
      <c r="W575" s="29"/>
      <c r="X575" s="29"/>
    </row>
    <row r="576" spans="1:24" ht="15">
      <c r="A576" s="29"/>
      <c r="B576" s="29"/>
      <c r="C576" s="29"/>
      <c r="D576" s="33"/>
      <c r="E576" s="33"/>
      <c r="G576" s="29"/>
      <c r="H576" s="29"/>
      <c r="I576" s="29"/>
      <c r="J576" s="29"/>
      <c r="K576" s="29"/>
      <c r="L576" s="29"/>
      <c r="M576" s="29"/>
      <c r="N576" s="29"/>
      <c r="O576" s="29"/>
      <c r="P576" s="29"/>
      <c r="Q576" s="29"/>
      <c r="R576" s="29"/>
      <c r="S576" s="29"/>
      <c r="T576" s="29"/>
      <c r="U576" s="29"/>
      <c r="V576" s="29"/>
      <c r="W576" s="29"/>
      <c r="X576" s="29"/>
    </row>
    <row r="577" spans="1:24" ht="15">
      <c r="A577" s="29"/>
      <c r="B577" s="29"/>
      <c r="C577" s="29"/>
      <c r="D577" s="33"/>
      <c r="E577" s="33"/>
      <c r="G577" s="29"/>
      <c r="H577" s="29"/>
      <c r="I577" s="29"/>
      <c r="J577" s="29"/>
      <c r="K577" s="29"/>
      <c r="L577" s="29"/>
      <c r="M577" s="29"/>
      <c r="N577" s="29"/>
      <c r="O577" s="29"/>
      <c r="P577" s="29"/>
      <c r="Q577" s="29"/>
      <c r="R577" s="29"/>
      <c r="S577" s="29"/>
      <c r="T577" s="29"/>
      <c r="U577" s="29"/>
      <c r="V577" s="29"/>
      <c r="W577" s="29"/>
      <c r="X577" s="29"/>
    </row>
    <row r="578" spans="1:24" ht="15">
      <c r="A578" s="29"/>
      <c r="B578" s="29"/>
      <c r="C578" s="29"/>
      <c r="D578" s="33"/>
      <c r="E578" s="33"/>
      <c r="G578" s="29"/>
      <c r="H578" s="29"/>
      <c r="I578" s="29"/>
      <c r="J578" s="29"/>
      <c r="K578" s="29"/>
      <c r="L578" s="29"/>
      <c r="M578" s="29"/>
      <c r="N578" s="29"/>
      <c r="O578" s="29"/>
      <c r="P578" s="29"/>
      <c r="Q578" s="29"/>
      <c r="R578" s="29"/>
      <c r="S578" s="29"/>
      <c r="T578" s="29"/>
      <c r="U578" s="29"/>
      <c r="V578" s="29"/>
      <c r="W578" s="29"/>
      <c r="X578" s="29"/>
    </row>
    <row r="579" spans="1:24" ht="15">
      <c r="A579" s="29"/>
      <c r="B579" s="29"/>
      <c r="C579" s="29"/>
      <c r="D579" s="33"/>
      <c r="E579" s="33"/>
      <c r="G579" s="29"/>
      <c r="H579" s="29"/>
      <c r="I579" s="29"/>
      <c r="J579" s="29"/>
      <c r="K579" s="29"/>
      <c r="L579" s="29"/>
      <c r="M579" s="29"/>
      <c r="N579" s="29"/>
      <c r="O579" s="29"/>
      <c r="P579" s="29"/>
      <c r="Q579" s="29"/>
      <c r="R579" s="29"/>
      <c r="S579" s="29"/>
      <c r="T579" s="29"/>
      <c r="U579" s="29"/>
      <c r="V579" s="29"/>
      <c r="W579" s="29"/>
      <c r="X579" s="29"/>
    </row>
    <row r="580" spans="1:24" ht="15">
      <c r="A580" s="29"/>
      <c r="B580" s="29"/>
      <c r="C580" s="29"/>
      <c r="D580" s="33"/>
      <c r="E580" s="33"/>
      <c r="G580" s="29"/>
      <c r="H580" s="29"/>
      <c r="I580" s="29"/>
      <c r="J580" s="29"/>
      <c r="K580" s="29"/>
      <c r="L580" s="29"/>
      <c r="M580" s="29"/>
      <c r="N580" s="29"/>
      <c r="O580" s="29"/>
      <c r="P580" s="29"/>
      <c r="Q580" s="29"/>
      <c r="R580" s="29"/>
      <c r="S580" s="29"/>
      <c r="T580" s="29"/>
      <c r="U580" s="29"/>
      <c r="V580" s="29"/>
      <c r="W580" s="29"/>
      <c r="X580" s="29"/>
    </row>
    <row r="581" spans="1:24" ht="15">
      <c r="A581" s="29"/>
      <c r="B581" s="29"/>
      <c r="C581" s="29"/>
      <c r="D581" s="33"/>
      <c r="E581" s="33"/>
      <c r="G581" s="29"/>
      <c r="H581" s="29"/>
      <c r="I581" s="29"/>
      <c r="J581" s="29"/>
      <c r="K581" s="29"/>
      <c r="L581" s="29"/>
      <c r="M581" s="29"/>
      <c r="N581" s="29"/>
      <c r="O581" s="29"/>
      <c r="P581" s="29"/>
      <c r="Q581" s="29"/>
      <c r="R581" s="29"/>
      <c r="S581" s="29"/>
      <c r="T581" s="29"/>
      <c r="U581" s="29"/>
      <c r="V581" s="29"/>
      <c r="W581" s="29"/>
      <c r="X581" s="29"/>
    </row>
    <row r="582" spans="1:24" ht="15">
      <c r="A582" s="29"/>
      <c r="B582" s="29"/>
      <c r="C582" s="29"/>
      <c r="D582" s="33"/>
      <c r="E582" s="33"/>
      <c r="G582" s="29"/>
      <c r="H582" s="29"/>
      <c r="I582" s="29"/>
      <c r="J582" s="29"/>
      <c r="K582" s="29"/>
      <c r="L582" s="29"/>
      <c r="M582" s="29"/>
      <c r="N582" s="29"/>
      <c r="O582" s="29"/>
      <c r="P582" s="29"/>
      <c r="Q582" s="29"/>
      <c r="R582" s="29"/>
      <c r="S582" s="29"/>
      <c r="T582" s="29"/>
      <c r="U582" s="29"/>
      <c r="V582" s="29"/>
      <c r="W582" s="29"/>
      <c r="X582" s="29"/>
    </row>
    <row r="583" spans="1:24" ht="15">
      <c r="A583" s="29"/>
      <c r="B583" s="29"/>
      <c r="C583" s="29"/>
      <c r="D583" s="33"/>
      <c r="E583" s="33"/>
      <c r="G583" s="29"/>
      <c r="H583" s="29"/>
      <c r="I583" s="29"/>
      <c r="J583" s="29"/>
      <c r="K583" s="29"/>
      <c r="L583" s="29"/>
      <c r="M583" s="29"/>
      <c r="N583" s="29"/>
      <c r="O583" s="29"/>
      <c r="P583" s="29"/>
      <c r="Q583" s="29"/>
      <c r="R583" s="29"/>
      <c r="S583" s="29"/>
      <c r="T583" s="29"/>
      <c r="U583" s="29"/>
      <c r="V583" s="29"/>
      <c r="W583" s="29"/>
      <c r="X583" s="29"/>
    </row>
    <row r="584" spans="1:24" ht="15">
      <c r="A584" s="29"/>
      <c r="B584" s="29"/>
      <c r="C584" s="29"/>
      <c r="D584" s="33"/>
      <c r="E584" s="33"/>
      <c r="G584" s="29"/>
      <c r="H584" s="29"/>
      <c r="I584" s="29"/>
      <c r="J584" s="29"/>
      <c r="K584" s="29"/>
      <c r="L584" s="29"/>
      <c r="M584" s="29"/>
      <c r="N584" s="29"/>
      <c r="O584" s="29"/>
      <c r="P584" s="29"/>
      <c r="Q584" s="29"/>
      <c r="R584" s="29"/>
      <c r="S584" s="29"/>
      <c r="T584" s="29"/>
      <c r="U584" s="29"/>
      <c r="V584" s="29"/>
      <c r="W584" s="29"/>
      <c r="X584" s="29"/>
    </row>
    <row r="585" spans="1:24" ht="15">
      <c r="A585" s="29"/>
      <c r="B585" s="29"/>
      <c r="C585" s="29"/>
      <c r="D585" s="33"/>
      <c r="E585" s="33"/>
      <c r="G585" s="29"/>
      <c r="H585" s="29"/>
      <c r="I585" s="29"/>
      <c r="J585" s="29"/>
      <c r="K585" s="29"/>
      <c r="L585" s="29"/>
      <c r="M585" s="29"/>
      <c r="N585" s="29"/>
      <c r="O585" s="29"/>
      <c r="P585" s="29"/>
      <c r="Q585" s="29"/>
      <c r="R585" s="29"/>
      <c r="S585" s="29"/>
      <c r="T585" s="29"/>
      <c r="U585" s="29"/>
      <c r="V585" s="29"/>
      <c r="W585" s="29"/>
      <c r="X585" s="29"/>
    </row>
    <row r="586" spans="1:24" ht="15">
      <c r="A586" s="29"/>
      <c r="B586" s="29"/>
      <c r="C586" s="29"/>
      <c r="D586" s="33"/>
      <c r="E586" s="33"/>
      <c r="G586" s="29"/>
      <c r="H586" s="29"/>
      <c r="I586" s="29"/>
      <c r="J586" s="29"/>
      <c r="K586" s="29"/>
      <c r="L586" s="29"/>
      <c r="M586" s="29"/>
      <c r="N586" s="29"/>
      <c r="O586" s="29"/>
      <c r="P586" s="29"/>
      <c r="Q586" s="29"/>
      <c r="R586" s="29"/>
      <c r="S586" s="29"/>
      <c r="T586" s="29"/>
      <c r="U586" s="29"/>
      <c r="V586" s="29"/>
      <c r="W586" s="29"/>
      <c r="X586" s="29"/>
    </row>
    <row r="587" spans="1:24" ht="15">
      <c r="A587" s="29"/>
      <c r="B587" s="29"/>
      <c r="C587" s="29"/>
      <c r="D587" s="33"/>
      <c r="E587" s="33"/>
      <c r="G587" s="29"/>
      <c r="H587" s="29"/>
      <c r="I587" s="29"/>
      <c r="J587" s="29"/>
      <c r="K587" s="29"/>
      <c r="L587" s="29"/>
      <c r="M587" s="29"/>
      <c r="N587" s="29"/>
      <c r="O587" s="29"/>
      <c r="P587" s="29"/>
      <c r="Q587" s="29"/>
      <c r="R587" s="29"/>
      <c r="S587" s="29"/>
      <c r="T587" s="29"/>
      <c r="U587" s="29"/>
      <c r="V587" s="29"/>
      <c r="W587" s="29"/>
      <c r="X587" s="29"/>
    </row>
    <row r="588" spans="1:24" ht="15">
      <c r="A588" s="29"/>
      <c r="B588" s="29"/>
      <c r="C588" s="29"/>
      <c r="D588" s="33"/>
      <c r="E588" s="33"/>
      <c r="G588" s="29"/>
      <c r="H588" s="29"/>
      <c r="I588" s="29"/>
      <c r="J588" s="29"/>
      <c r="K588" s="29"/>
      <c r="L588" s="29"/>
      <c r="M588" s="29"/>
      <c r="N588" s="29"/>
      <c r="O588" s="29"/>
      <c r="P588" s="29"/>
      <c r="Q588" s="29"/>
      <c r="R588" s="29"/>
      <c r="S588" s="29"/>
      <c r="T588" s="29"/>
      <c r="U588" s="29"/>
      <c r="V588" s="29"/>
      <c r="W588" s="29"/>
      <c r="X588" s="29"/>
    </row>
    <row r="589" spans="1:24" ht="15">
      <c r="A589" s="29"/>
      <c r="B589" s="29"/>
      <c r="C589" s="29"/>
      <c r="D589" s="33"/>
      <c r="E589" s="33"/>
      <c r="G589" s="29"/>
      <c r="H589" s="29"/>
      <c r="I589" s="29"/>
      <c r="J589" s="29"/>
      <c r="K589" s="29"/>
      <c r="L589" s="29"/>
      <c r="M589" s="29"/>
      <c r="N589" s="29"/>
      <c r="O589" s="29"/>
      <c r="P589" s="29"/>
      <c r="Q589" s="29"/>
      <c r="R589" s="29"/>
      <c r="S589" s="29"/>
      <c r="T589" s="29"/>
      <c r="U589" s="29"/>
      <c r="V589" s="29"/>
      <c r="W589" s="29"/>
      <c r="X589" s="29"/>
    </row>
    <row r="590" spans="1:24" ht="15">
      <c r="A590" s="29"/>
      <c r="B590" s="29"/>
      <c r="C590" s="29"/>
      <c r="D590" s="33"/>
      <c r="E590" s="33"/>
      <c r="G590" s="29"/>
      <c r="H590" s="29"/>
      <c r="I590" s="29"/>
      <c r="J590" s="29"/>
      <c r="K590" s="29"/>
      <c r="L590" s="29"/>
      <c r="M590" s="29"/>
      <c r="N590" s="29"/>
      <c r="O590" s="29"/>
      <c r="P590" s="29"/>
      <c r="Q590" s="29"/>
      <c r="R590" s="29"/>
      <c r="S590" s="29"/>
      <c r="T590" s="29"/>
      <c r="U590" s="29"/>
      <c r="V590" s="29"/>
      <c r="W590" s="29"/>
      <c r="X590" s="29"/>
    </row>
    <row r="591" spans="1:24" ht="15">
      <c r="A591" s="29"/>
      <c r="B591" s="29"/>
      <c r="C591" s="29"/>
      <c r="D591" s="33"/>
      <c r="E591" s="33"/>
      <c r="G591" s="29"/>
      <c r="H591" s="29"/>
      <c r="I591" s="29"/>
      <c r="J591" s="29"/>
      <c r="K591" s="29"/>
      <c r="L591" s="29"/>
      <c r="M591" s="29"/>
      <c r="N591" s="29"/>
      <c r="O591" s="29"/>
      <c r="P591" s="29"/>
      <c r="Q591" s="29"/>
      <c r="R591" s="29"/>
      <c r="S591" s="29"/>
      <c r="T591" s="29"/>
      <c r="U591" s="29"/>
      <c r="V591" s="29"/>
      <c r="W591" s="29"/>
      <c r="X591" s="29"/>
    </row>
    <row r="592" spans="1:24" ht="15">
      <c r="A592" s="29"/>
      <c r="B592" s="29"/>
      <c r="C592" s="29"/>
      <c r="D592" s="33"/>
      <c r="E592" s="33"/>
      <c r="G592" s="29"/>
      <c r="H592" s="29"/>
      <c r="I592" s="29"/>
      <c r="J592" s="29"/>
      <c r="K592" s="29"/>
      <c r="L592" s="29"/>
      <c r="M592" s="29"/>
      <c r="N592" s="29"/>
      <c r="O592" s="29"/>
      <c r="P592" s="29"/>
      <c r="Q592" s="29"/>
      <c r="R592" s="29"/>
      <c r="S592" s="29"/>
      <c r="T592" s="29"/>
      <c r="U592" s="29"/>
      <c r="V592" s="29"/>
      <c r="W592" s="29"/>
      <c r="X592" s="29"/>
    </row>
    <row r="593" spans="1:24" ht="15">
      <c r="A593" s="29"/>
      <c r="B593" s="29"/>
      <c r="C593" s="29"/>
      <c r="D593" s="33"/>
      <c r="E593" s="33"/>
      <c r="G593" s="29"/>
      <c r="H593" s="29"/>
      <c r="I593" s="29"/>
      <c r="J593" s="29"/>
      <c r="K593" s="29"/>
      <c r="L593" s="29"/>
      <c r="M593" s="29"/>
      <c r="N593" s="29"/>
      <c r="O593" s="29"/>
      <c r="P593" s="29"/>
      <c r="Q593" s="29"/>
      <c r="R593" s="29"/>
      <c r="S593" s="29"/>
      <c r="T593" s="29"/>
      <c r="U593" s="29"/>
      <c r="V593" s="29"/>
      <c r="W593" s="29"/>
      <c r="X593" s="29"/>
    </row>
    <row r="594" spans="1:24" ht="15">
      <c r="A594" s="29"/>
      <c r="B594" s="29"/>
      <c r="C594" s="29"/>
      <c r="D594" s="33"/>
      <c r="E594" s="33"/>
      <c r="G594" s="29"/>
      <c r="H594" s="29"/>
      <c r="I594" s="29"/>
      <c r="J594" s="29"/>
      <c r="K594" s="29"/>
      <c r="L594" s="29"/>
      <c r="M594" s="29"/>
      <c r="N594" s="29"/>
      <c r="O594" s="29"/>
      <c r="P594" s="29"/>
      <c r="Q594" s="29"/>
      <c r="R594" s="29"/>
      <c r="S594" s="29"/>
      <c r="T594" s="29"/>
      <c r="U594" s="29"/>
      <c r="V594" s="29"/>
      <c r="W594" s="29"/>
      <c r="X594" s="29"/>
    </row>
    <row r="595" spans="1:24" ht="15">
      <c r="A595" s="29"/>
      <c r="B595" s="29"/>
      <c r="C595" s="29"/>
      <c r="D595" s="33"/>
      <c r="E595" s="33"/>
      <c r="G595" s="29"/>
      <c r="H595" s="29"/>
      <c r="I595" s="29"/>
      <c r="J595" s="29"/>
      <c r="K595" s="29"/>
      <c r="L595" s="29"/>
      <c r="M595" s="29"/>
      <c r="N595" s="29"/>
      <c r="O595" s="29"/>
      <c r="P595" s="29"/>
      <c r="Q595" s="29"/>
      <c r="R595" s="29"/>
      <c r="S595" s="29"/>
      <c r="T595" s="29"/>
      <c r="U595" s="29"/>
      <c r="V595" s="29"/>
      <c r="W595" s="29"/>
      <c r="X595" s="29"/>
    </row>
    <row r="596" spans="1:24" ht="15">
      <c r="A596" s="29"/>
      <c r="B596" s="29"/>
      <c r="C596" s="29"/>
      <c r="D596" s="33"/>
      <c r="E596" s="33"/>
      <c r="G596" s="29"/>
      <c r="H596" s="29"/>
      <c r="I596" s="29"/>
      <c r="J596" s="29"/>
      <c r="K596" s="29"/>
      <c r="L596" s="29"/>
      <c r="M596" s="29"/>
      <c r="N596" s="29"/>
      <c r="O596" s="29"/>
      <c r="P596" s="29"/>
      <c r="Q596" s="29"/>
      <c r="R596" s="29"/>
      <c r="S596" s="29"/>
      <c r="T596" s="29"/>
      <c r="U596" s="29"/>
      <c r="V596" s="29"/>
      <c r="W596" s="29"/>
      <c r="X596" s="29"/>
    </row>
    <row r="597" spans="1:24" ht="15">
      <c r="A597" s="29"/>
      <c r="B597" s="29"/>
      <c r="C597" s="29"/>
      <c r="D597" s="33"/>
      <c r="E597" s="33"/>
      <c r="G597" s="29"/>
      <c r="H597" s="29"/>
      <c r="I597" s="29"/>
      <c r="J597" s="29"/>
      <c r="K597" s="29"/>
      <c r="L597" s="29"/>
      <c r="M597" s="29"/>
      <c r="N597" s="29"/>
      <c r="O597" s="29"/>
      <c r="P597" s="29"/>
      <c r="Q597" s="29"/>
      <c r="R597" s="29"/>
      <c r="S597" s="29"/>
      <c r="T597" s="29"/>
      <c r="U597" s="29"/>
      <c r="V597" s="29"/>
      <c r="W597" s="29"/>
      <c r="X597" s="29"/>
    </row>
    <row r="598" spans="1:24" ht="15">
      <c r="A598" s="29"/>
      <c r="B598" s="29"/>
      <c r="C598" s="29"/>
      <c r="D598" s="33"/>
      <c r="E598" s="33"/>
      <c r="G598" s="29"/>
      <c r="H598" s="29"/>
      <c r="I598" s="29"/>
      <c r="J598" s="29"/>
      <c r="K598" s="29"/>
      <c r="L598" s="29"/>
      <c r="M598" s="29"/>
      <c r="N598" s="29"/>
      <c r="O598" s="29"/>
      <c r="P598" s="29"/>
      <c r="Q598" s="29"/>
      <c r="R598" s="29"/>
      <c r="S598" s="29"/>
      <c r="T598" s="29"/>
      <c r="U598" s="29"/>
      <c r="V598" s="29"/>
      <c r="W598" s="29"/>
      <c r="X598" s="29"/>
    </row>
    <row r="599" spans="1:24" ht="15">
      <c r="A599" s="29"/>
      <c r="B599" s="29"/>
      <c r="C599" s="29"/>
      <c r="D599" s="33"/>
      <c r="E599" s="33"/>
      <c r="G599" s="29"/>
      <c r="H599" s="29"/>
      <c r="I599" s="29"/>
      <c r="J599" s="29"/>
      <c r="K599" s="29"/>
      <c r="L599" s="29"/>
      <c r="M599" s="29"/>
      <c r="N599" s="29"/>
      <c r="O599" s="29"/>
      <c r="P599" s="29"/>
      <c r="Q599" s="29"/>
      <c r="R599" s="29"/>
      <c r="S599" s="29"/>
      <c r="T599" s="29"/>
      <c r="U599" s="29"/>
      <c r="V599" s="29"/>
      <c r="W599" s="29"/>
      <c r="X599" s="29"/>
    </row>
    <row r="600" spans="1:24" ht="15">
      <c r="A600" s="29"/>
      <c r="B600" s="29"/>
      <c r="C600" s="29"/>
      <c r="D600" s="33"/>
      <c r="E600" s="33"/>
      <c r="G600" s="29"/>
      <c r="H600" s="29"/>
      <c r="I600" s="29"/>
      <c r="J600" s="29"/>
      <c r="K600" s="29"/>
      <c r="L600" s="29"/>
      <c r="M600" s="29"/>
      <c r="N600" s="29"/>
      <c r="O600" s="29"/>
      <c r="P600" s="29"/>
      <c r="Q600" s="29"/>
      <c r="R600" s="29"/>
      <c r="S600" s="29"/>
      <c r="T600" s="29"/>
      <c r="U600" s="29"/>
      <c r="V600" s="29"/>
      <c r="W600" s="29"/>
      <c r="X600" s="29"/>
    </row>
    <row r="601" spans="1:24" ht="15">
      <c r="A601" s="29"/>
      <c r="B601" s="29"/>
      <c r="C601" s="29"/>
      <c r="D601" s="33"/>
      <c r="E601" s="33"/>
      <c r="G601" s="29"/>
      <c r="H601" s="29"/>
      <c r="I601" s="29"/>
      <c r="J601" s="29"/>
      <c r="K601" s="29"/>
      <c r="L601" s="29"/>
      <c r="M601" s="29"/>
      <c r="N601" s="29"/>
      <c r="O601" s="29"/>
      <c r="P601" s="29"/>
      <c r="Q601" s="29"/>
      <c r="R601" s="29"/>
      <c r="S601" s="29"/>
      <c r="T601" s="29"/>
      <c r="U601" s="29"/>
      <c r="V601" s="29"/>
      <c r="W601" s="29"/>
      <c r="X601" s="29"/>
    </row>
    <row r="602" spans="1:24" ht="15">
      <c r="A602" s="29"/>
      <c r="B602" s="29"/>
      <c r="C602" s="29"/>
      <c r="D602" s="33"/>
      <c r="E602" s="33"/>
      <c r="G602" s="29"/>
      <c r="H602" s="29"/>
      <c r="I602" s="29"/>
      <c r="J602" s="29"/>
      <c r="K602" s="29"/>
      <c r="L602" s="29"/>
      <c r="M602" s="29"/>
      <c r="N602" s="29"/>
      <c r="O602" s="29"/>
      <c r="P602" s="29"/>
      <c r="Q602" s="29"/>
      <c r="R602" s="29"/>
      <c r="S602" s="29"/>
      <c r="T602" s="29"/>
      <c r="U602" s="29"/>
      <c r="V602" s="29"/>
      <c r="W602" s="29"/>
      <c r="X602" s="29"/>
    </row>
    <row r="603" spans="1:24" ht="15">
      <c r="A603" s="29"/>
      <c r="B603" s="29"/>
      <c r="C603" s="29"/>
      <c r="D603" s="33"/>
      <c r="E603" s="33"/>
      <c r="G603" s="29"/>
      <c r="H603" s="29"/>
      <c r="I603" s="29"/>
      <c r="J603" s="29"/>
      <c r="K603" s="29"/>
      <c r="L603" s="29"/>
      <c r="M603" s="29"/>
      <c r="N603" s="29"/>
      <c r="O603" s="29"/>
      <c r="P603" s="29"/>
      <c r="Q603" s="29"/>
      <c r="R603" s="29"/>
      <c r="S603" s="29"/>
      <c r="T603" s="29"/>
      <c r="U603" s="29"/>
      <c r="V603" s="29"/>
      <c r="W603" s="29"/>
      <c r="X603" s="29"/>
    </row>
    <row r="604" spans="1:24" ht="15">
      <c r="A604" s="29"/>
      <c r="B604" s="29"/>
      <c r="C604" s="29"/>
      <c r="D604" s="33"/>
      <c r="E604" s="33"/>
      <c r="G604" s="29"/>
      <c r="H604" s="29"/>
      <c r="I604" s="29"/>
      <c r="J604" s="29"/>
      <c r="K604" s="29"/>
      <c r="L604" s="29"/>
      <c r="M604" s="29"/>
      <c r="N604" s="29"/>
      <c r="O604" s="29"/>
      <c r="P604" s="29"/>
      <c r="Q604" s="29"/>
      <c r="R604" s="29"/>
      <c r="S604" s="29"/>
      <c r="T604" s="29"/>
      <c r="U604" s="29"/>
      <c r="V604" s="29"/>
      <c r="W604" s="29"/>
      <c r="X604" s="29"/>
    </row>
    <row r="605" spans="1:24" ht="15">
      <c r="A605" s="29"/>
      <c r="B605" s="29"/>
      <c r="C605" s="29"/>
      <c r="D605" s="33"/>
      <c r="E605" s="33"/>
      <c r="G605" s="29"/>
      <c r="H605" s="29"/>
      <c r="I605" s="29"/>
      <c r="J605" s="29"/>
      <c r="K605" s="29"/>
      <c r="L605" s="29"/>
      <c r="M605" s="29"/>
      <c r="N605" s="29"/>
      <c r="O605" s="29"/>
      <c r="P605" s="29"/>
      <c r="Q605" s="29"/>
      <c r="R605" s="29"/>
      <c r="S605" s="29"/>
      <c r="T605" s="29"/>
      <c r="U605" s="29"/>
      <c r="V605" s="29"/>
      <c r="W605" s="29"/>
      <c r="X605" s="29"/>
    </row>
  </sheetData>
  <mergeCells count="2">
    <mergeCell ref="D2:E2"/>
    <mergeCell ref="D1:E1"/>
  </mergeCells>
  <dataValidations count="1">
    <dataValidation type="list" allowBlank="1" showErrorMessage="1" errorTitle="The value you entered is not valid." error="The value entered violates data validation rules set in cell" sqref="F9" xr:uid="{00000000-0002-0000-0400-000000000000}">
      <formula1>"Experian,CIBIL"</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tabColor rgb="FF0F243F"/>
  </sheetPr>
  <dimension ref="A1:AMJ212"/>
  <sheetViews>
    <sheetView workbookViewId="0"/>
  </sheetViews>
  <sheetFormatPr defaultRowHeight="15.75" customHeight="1" outlineLevelRow="1"/>
  <cols>
    <col min="1" max="1" width="1.85546875" style="69"/>
    <col min="2" max="2" width="4.7109375" style="70"/>
    <col min="3" max="3" width="24.140625" style="70"/>
    <col min="4" max="4" width="22.28515625" style="70"/>
    <col min="5" max="5" width="15.28515625" style="70"/>
    <col min="6" max="7" width="12.5703125" style="70"/>
    <col min="8" max="8" width="12" style="70"/>
    <col min="9" max="9" width="15.28515625" style="70"/>
    <col min="10" max="11" width="8.28515625" style="70"/>
    <col min="12" max="12" width="4.28515625" style="70"/>
    <col min="13" max="13" width="10.42578125" style="70"/>
    <col min="14" max="14" width="13" style="70"/>
    <col min="15" max="15" width="6.140625" style="70"/>
    <col min="16" max="16" width="7.85546875" style="70"/>
    <col min="17" max="17" width="10.42578125" style="70"/>
    <col min="18" max="18" width="14.7109375" style="70"/>
    <col min="19" max="19" width="5.5703125" style="70"/>
    <col min="20" max="20" width="10.42578125" style="70"/>
    <col min="21" max="21" width="13.42578125" style="70"/>
    <col min="22" max="22" width="5.5703125" style="70"/>
    <col min="23" max="23" width="10.42578125" style="70"/>
    <col min="24" max="24" width="13.7109375" style="70"/>
    <col min="25" max="25" width="5.5703125" style="70"/>
    <col min="26" max="26" width="10.42578125" style="70"/>
    <col min="27" max="27" width="13.7109375" style="70"/>
    <col min="28" max="28" width="5.5703125" style="70"/>
    <col min="29" max="29" width="10.42578125" style="70"/>
    <col min="30" max="30" width="13.7109375" style="70"/>
    <col min="31" max="31" width="5.5703125" style="70"/>
    <col min="32" max="32" width="10.42578125" style="70"/>
    <col min="33" max="33" width="13.7109375" style="70"/>
    <col min="34" max="34" width="5.5703125" style="70"/>
    <col min="35" max="35" width="10.42578125" style="70"/>
    <col min="36" max="36" width="13.7109375" style="70"/>
    <col min="37" max="37" width="5.5703125" style="70"/>
    <col min="38" max="38" width="10.42578125" style="70"/>
    <col min="39" max="39" width="13.7109375" style="70"/>
    <col min="40" max="40" width="5.5703125" style="70"/>
    <col min="41" max="41" width="10.42578125" style="70"/>
    <col min="42" max="42" width="13.7109375" style="70"/>
    <col min="43" max="43" width="5.5703125" style="70"/>
    <col min="44" max="44" width="10.42578125" style="70"/>
    <col min="45" max="45" width="13.7109375" style="70"/>
    <col min="46" max="46" width="5.5703125" style="70"/>
    <col min="47" max="47" width="10.42578125" style="70"/>
    <col min="48" max="48" width="13.7109375" style="70"/>
    <col min="49" max="49" width="5.5703125" style="70"/>
    <col min="50" max="50" width="10.42578125" style="70"/>
    <col min="51" max="51" width="13.7109375" style="70"/>
    <col min="52" max="52" width="5.5703125" style="70"/>
    <col min="53" max="53" width="10.42578125" style="70"/>
    <col min="54" max="54" width="13.7109375" style="70"/>
    <col min="55" max="55" width="40.7109375" style="70"/>
    <col min="56" max="56" width="9.85546875" style="70"/>
    <col min="57" max="60" width="9.85546875" style="71"/>
    <col min="61" max="61" width="0" style="71" hidden="1"/>
    <col min="62" max="62" width="0" hidden="1"/>
    <col min="63" max="1024" width="9.85546875" style="71"/>
    <col min="1025" max="1025" width="11.42578125"/>
  </cols>
  <sheetData>
    <row r="1" spans="1:56" ht="15">
      <c r="A1" s="69">
        <v>130</v>
      </c>
    </row>
    <row r="2" spans="1:56" ht="19.5" customHeight="1" outlineLevel="1">
      <c r="B2" s="552" t="s">
        <v>279</v>
      </c>
      <c r="C2" s="552"/>
      <c r="D2" s="552"/>
      <c r="E2" s="552"/>
      <c r="F2" s="552"/>
      <c r="G2" s="552"/>
      <c r="H2" s="552"/>
      <c r="I2" s="552"/>
      <c r="J2" s="552"/>
      <c r="K2" s="552"/>
      <c r="L2" s="552"/>
      <c r="M2" s="552"/>
      <c r="N2" s="552"/>
      <c r="O2" s="552"/>
      <c r="P2" s="552"/>
      <c r="Q2" s="552"/>
      <c r="R2" s="552"/>
      <c r="S2" s="552"/>
      <c r="T2" s="552"/>
      <c r="U2" s="552"/>
      <c r="V2" s="552"/>
      <c r="W2" s="552"/>
      <c r="X2" s="552"/>
      <c r="Y2" s="552"/>
      <c r="Z2" s="552"/>
      <c r="BC2" s="71"/>
      <c r="BD2" s="71"/>
    </row>
    <row r="3" spans="1:56" s="74" customFormat="1" ht="18" customHeight="1" outlineLevel="1">
      <c r="A3" s="72"/>
      <c r="B3" s="531" t="s">
        <v>280</v>
      </c>
      <c r="C3" s="531"/>
      <c r="D3" s="531"/>
      <c r="E3" s="525" t="s">
        <v>281</v>
      </c>
      <c r="F3" s="525"/>
      <c r="G3" s="525"/>
      <c r="H3" s="525" t="s">
        <v>282</v>
      </c>
      <c r="I3" s="525"/>
      <c r="J3" s="525"/>
      <c r="K3" s="525" t="s">
        <v>283</v>
      </c>
      <c r="L3" s="525"/>
      <c r="M3" s="525"/>
      <c r="N3" s="525"/>
      <c r="O3" s="525" t="s">
        <v>284</v>
      </c>
      <c r="P3" s="525"/>
      <c r="Q3" s="525"/>
      <c r="R3" s="525"/>
      <c r="S3" s="525" t="s">
        <v>285</v>
      </c>
      <c r="T3" s="525"/>
      <c r="U3" s="525"/>
      <c r="V3" s="525"/>
      <c r="W3" s="525" t="s">
        <v>286</v>
      </c>
      <c r="X3" s="525"/>
      <c r="Y3" s="525"/>
      <c r="Z3" s="525"/>
      <c r="AA3" s="73"/>
      <c r="AB3" s="73"/>
      <c r="AC3" s="73"/>
      <c r="AD3" s="73"/>
      <c r="AE3" s="73"/>
      <c r="AF3" s="73"/>
      <c r="AG3" s="73"/>
      <c r="AH3" s="73"/>
      <c r="AI3" s="73"/>
      <c r="AJ3" s="73"/>
      <c r="AK3" s="73"/>
      <c r="AL3" s="73"/>
      <c r="AM3" s="73"/>
      <c r="AN3" s="73"/>
      <c r="AO3" s="73"/>
      <c r="AP3" s="73"/>
      <c r="AQ3" s="73"/>
      <c r="AR3" s="73"/>
      <c r="AS3" s="73"/>
      <c r="AT3" s="73"/>
      <c r="AU3" s="73"/>
      <c r="AV3" s="73"/>
      <c r="AW3" s="73"/>
      <c r="AX3" s="73"/>
      <c r="AY3" s="73"/>
      <c r="AZ3" s="73"/>
      <c r="BA3" s="73"/>
      <c r="BB3" s="73"/>
    </row>
    <row r="4" spans="1:56" ht="15" outlineLevel="1">
      <c r="B4" s="530" t="s">
        <v>287</v>
      </c>
      <c r="C4" s="530"/>
      <c r="D4" s="530"/>
      <c r="E4" s="528" t="s">
        <v>288</v>
      </c>
      <c r="F4" s="528"/>
      <c r="G4" s="528"/>
      <c r="H4" s="528" t="s">
        <v>289</v>
      </c>
      <c r="I4" s="528"/>
      <c r="J4" s="528"/>
      <c r="K4" s="528" t="s">
        <v>290</v>
      </c>
      <c r="L4" s="528"/>
      <c r="M4" s="528"/>
      <c r="N4" s="528"/>
      <c r="O4" s="528"/>
      <c r="P4" s="528"/>
      <c r="Q4" s="528"/>
      <c r="R4" s="528"/>
      <c r="S4" s="528"/>
      <c r="T4" s="528"/>
      <c r="U4" s="528"/>
      <c r="V4" s="528"/>
      <c r="W4" s="528"/>
      <c r="X4" s="528"/>
      <c r="Y4" s="528"/>
      <c r="Z4" s="528"/>
      <c r="BA4" s="71"/>
      <c r="BB4" s="71"/>
      <c r="BC4" s="71"/>
      <c r="BD4" s="71"/>
    </row>
    <row r="5" spans="1:56" ht="15" outlineLevel="1">
      <c r="B5" s="530" t="s">
        <v>291</v>
      </c>
      <c r="C5" s="530"/>
      <c r="D5" s="530"/>
      <c r="E5" s="528" t="s">
        <v>292</v>
      </c>
      <c r="F5" s="528"/>
      <c r="G5" s="528"/>
      <c r="H5" s="528" t="s">
        <v>293</v>
      </c>
      <c r="I5" s="528"/>
      <c r="J5" s="528"/>
      <c r="K5" s="528" t="s">
        <v>294</v>
      </c>
      <c r="L5" s="528"/>
      <c r="M5" s="528"/>
      <c r="N5" s="528"/>
      <c r="O5" s="528"/>
      <c r="P5" s="528"/>
      <c r="Q5" s="528"/>
      <c r="R5" s="528"/>
      <c r="S5" s="528"/>
      <c r="T5" s="528"/>
      <c r="U5" s="528"/>
      <c r="V5" s="528"/>
      <c r="W5" s="528"/>
      <c r="X5" s="528"/>
      <c r="Y5" s="528"/>
      <c r="Z5" s="528"/>
      <c r="BA5" s="71"/>
      <c r="BB5" s="71"/>
      <c r="BC5" s="71"/>
      <c r="BD5" s="71"/>
    </row>
    <row r="6" spans="1:56" ht="15" outlineLevel="1">
      <c r="B6" s="530" t="s">
        <v>295</v>
      </c>
      <c r="C6" s="530"/>
      <c r="D6" s="530"/>
      <c r="E6" s="529">
        <v>40266</v>
      </c>
      <c r="F6" s="529"/>
      <c r="G6" s="529"/>
      <c r="H6" s="529">
        <v>25032</v>
      </c>
      <c r="I6" s="529"/>
      <c r="J6" s="529"/>
      <c r="K6" s="529">
        <v>26813</v>
      </c>
      <c r="L6" s="529"/>
      <c r="M6" s="529"/>
      <c r="N6" s="529"/>
      <c r="O6" s="529"/>
      <c r="P6" s="529"/>
      <c r="Q6" s="529"/>
      <c r="R6" s="529"/>
      <c r="S6" s="529"/>
      <c r="T6" s="529"/>
      <c r="U6" s="529"/>
      <c r="V6" s="529"/>
      <c r="W6" s="529"/>
      <c r="X6" s="529"/>
      <c r="Y6" s="529"/>
      <c r="Z6" s="529"/>
      <c r="BA6" s="71"/>
      <c r="BB6" s="71"/>
      <c r="BC6" s="71"/>
      <c r="BD6" s="71"/>
    </row>
    <row r="7" spans="1:56" ht="15" outlineLevel="1">
      <c r="B7" s="530" t="s">
        <v>296</v>
      </c>
      <c r="C7" s="530"/>
      <c r="D7" s="530"/>
      <c r="E7" s="528" t="s">
        <v>297</v>
      </c>
      <c r="F7" s="528"/>
      <c r="G7" s="528"/>
      <c r="H7" s="528" t="s">
        <v>298</v>
      </c>
      <c r="I7" s="528"/>
      <c r="J7" s="528"/>
      <c r="K7" s="528" t="s">
        <v>299</v>
      </c>
      <c r="L7" s="528"/>
      <c r="M7" s="528"/>
      <c r="N7" s="528"/>
      <c r="O7" s="528"/>
      <c r="P7" s="528"/>
      <c r="Q7" s="528"/>
      <c r="R7" s="528"/>
      <c r="S7" s="528"/>
      <c r="T7" s="528"/>
      <c r="U7" s="528"/>
      <c r="V7" s="528"/>
      <c r="W7" s="528"/>
      <c r="X7" s="528"/>
      <c r="Y7" s="528"/>
      <c r="Z7" s="528"/>
      <c r="BA7" s="71"/>
      <c r="BB7" s="71"/>
      <c r="BC7" s="71"/>
      <c r="BD7" s="71"/>
    </row>
    <row r="8" spans="1:56" s="77" customFormat="1" ht="21.75" customHeight="1" outlineLevel="1">
      <c r="A8" s="75"/>
      <c r="B8" s="530" t="s">
        <v>300</v>
      </c>
      <c r="C8" s="530"/>
      <c r="D8" s="530"/>
      <c r="E8" s="537">
        <v>3</v>
      </c>
      <c r="F8" s="537"/>
      <c r="G8" s="537"/>
      <c r="H8" s="537">
        <v>728</v>
      </c>
      <c r="I8" s="537"/>
      <c r="J8" s="537"/>
      <c r="K8" s="537">
        <v>797</v>
      </c>
      <c r="L8" s="537"/>
      <c r="M8" s="537"/>
      <c r="N8" s="537"/>
      <c r="O8" s="537"/>
      <c r="P8" s="537"/>
      <c r="Q8" s="537"/>
      <c r="R8" s="537"/>
      <c r="S8" s="537"/>
      <c r="T8" s="537"/>
      <c r="U8" s="537"/>
      <c r="V8" s="537"/>
      <c r="W8" s="537"/>
      <c r="X8" s="537"/>
      <c r="Y8" s="537"/>
      <c r="Z8" s="537"/>
      <c r="AA8" s="76"/>
      <c r="AB8" s="76"/>
      <c r="AC8" s="76"/>
      <c r="AD8" s="76"/>
      <c r="AE8" s="76"/>
      <c r="AF8" s="76"/>
      <c r="AG8" s="76"/>
      <c r="AH8" s="76"/>
      <c r="AI8" s="76"/>
      <c r="AJ8" s="76"/>
      <c r="AK8" s="76"/>
      <c r="AL8" s="76"/>
      <c r="AM8" s="76"/>
      <c r="AN8" s="76"/>
      <c r="AO8" s="76"/>
      <c r="AP8" s="76"/>
      <c r="AQ8" s="76"/>
      <c r="AR8" s="76"/>
      <c r="AS8" s="76"/>
      <c r="AT8" s="76"/>
      <c r="AU8" s="76"/>
      <c r="AV8" s="76"/>
      <c r="AW8" s="76"/>
      <c r="AX8" s="76"/>
      <c r="AY8" s="76"/>
      <c r="AZ8" s="76"/>
    </row>
    <row r="9" spans="1:56" ht="15" outlineLevel="1">
      <c r="B9" s="530" t="s">
        <v>301</v>
      </c>
      <c r="C9" s="530"/>
      <c r="D9" s="530"/>
      <c r="E9" s="528">
        <v>122</v>
      </c>
      <c r="F9" s="528"/>
      <c r="G9" s="528"/>
      <c r="H9" s="528">
        <v>186</v>
      </c>
      <c r="I9" s="528"/>
      <c r="J9" s="528"/>
      <c r="K9" s="528">
        <v>37</v>
      </c>
      <c r="L9" s="528"/>
      <c r="M9" s="528"/>
      <c r="N9" s="528"/>
      <c r="O9" s="528"/>
      <c r="P9" s="528"/>
      <c r="Q9" s="528"/>
      <c r="R9" s="528"/>
      <c r="S9" s="528"/>
      <c r="T9" s="528"/>
      <c r="U9" s="528"/>
      <c r="V9" s="528"/>
      <c r="W9" s="528"/>
      <c r="X9" s="528"/>
      <c r="Y9" s="528"/>
      <c r="Z9" s="528"/>
      <c r="BA9" s="71"/>
      <c r="BB9" s="71"/>
      <c r="BC9" s="71"/>
      <c r="BD9" s="71"/>
    </row>
    <row r="10" spans="1:56" ht="15" outlineLevel="1">
      <c r="B10" s="530" t="s">
        <v>302</v>
      </c>
      <c r="C10" s="530"/>
      <c r="D10" s="530"/>
      <c r="E10" s="528">
        <v>109</v>
      </c>
      <c r="F10" s="528"/>
      <c r="G10" s="528"/>
      <c r="H10" s="528">
        <v>75</v>
      </c>
      <c r="I10" s="528"/>
      <c r="J10" s="528"/>
      <c r="K10" s="528">
        <v>2</v>
      </c>
      <c r="L10" s="528"/>
      <c r="M10" s="528"/>
      <c r="N10" s="528"/>
      <c r="O10" s="528"/>
      <c r="P10" s="528"/>
      <c r="Q10" s="528"/>
      <c r="R10" s="528"/>
      <c r="S10" s="528"/>
      <c r="T10" s="528"/>
      <c r="U10" s="528"/>
      <c r="V10" s="528"/>
      <c r="W10" s="528"/>
      <c r="X10" s="528"/>
      <c r="Y10" s="528"/>
      <c r="Z10" s="528"/>
      <c r="BA10" s="71"/>
      <c r="BB10" s="71"/>
      <c r="BC10" s="71"/>
      <c r="BD10" s="71"/>
    </row>
    <row r="11" spans="1:56" ht="15" outlineLevel="1">
      <c r="B11" s="530" t="s">
        <v>303</v>
      </c>
      <c r="C11" s="530"/>
      <c r="D11" s="530"/>
      <c r="E11" s="526">
        <v>579401836</v>
      </c>
      <c r="F11" s="526"/>
      <c r="G11" s="526"/>
      <c r="H11" s="526">
        <v>128724721</v>
      </c>
      <c r="I11" s="526"/>
      <c r="J11" s="526"/>
      <c r="K11" s="526">
        <v>19216343</v>
      </c>
      <c r="L11" s="526"/>
      <c r="M11" s="526"/>
      <c r="N11" s="526"/>
      <c r="O11" s="526"/>
      <c r="P11" s="526"/>
      <c r="Q11" s="526"/>
      <c r="R11" s="526"/>
      <c r="S11" s="526"/>
      <c r="T11" s="526"/>
      <c r="U11" s="526"/>
      <c r="V11" s="526"/>
      <c r="W11" s="526"/>
      <c r="X11" s="526"/>
      <c r="Y11" s="526"/>
      <c r="Z11" s="526"/>
      <c r="BA11" s="71"/>
      <c r="BB11" s="71"/>
      <c r="BC11" s="71"/>
      <c r="BD11" s="71"/>
    </row>
    <row r="12" spans="1:56" ht="15" outlineLevel="1">
      <c r="B12" s="530" t="s">
        <v>304</v>
      </c>
      <c r="C12" s="530"/>
      <c r="D12" s="530"/>
      <c r="E12" s="526">
        <v>1039277491</v>
      </c>
      <c r="F12" s="526"/>
      <c r="G12" s="526"/>
      <c r="H12" s="526">
        <v>542106210</v>
      </c>
      <c r="I12" s="526"/>
      <c r="J12" s="526"/>
      <c r="K12" s="526">
        <v>179347601</v>
      </c>
      <c r="L12" s="526"/>
      <c r="M12" s="526"/>
      <c r="N12" s="526"/>
      <c r="O12" s="526"/>
      <c r="P12" s="526"/>
      <c r="Q12" s="526"/>
      <c r="R12" s="526"/>
      <c r="S12" s="526"/>
      <c r="T12" s="526"/>
      <c r="U12" s="526"/>
      <c r="V12" s="526"/>
      <c r="W12" s="526"/>
      <c r="X12" s="526"/>
      <c r="Y12" s="526"/>
      <c r="Z12" s="526"/>
      <c r="BA12" s="71"/>
      <c r="BB12" s="71"/>
      <c r="BC12" s="71"/>
      <c r="BD12" s="71"/>
    </row>
    <row r="13" spans="1:56" ht="15" outlineLevel="1">
      <c r="B13" s="530" t="s">
        <v>305</v>
      </c>
      <c r="C13" s="530"/>
      <c r="D13" s="530"/>
      <c r="E13" s="533">
        <f>IFERROR(E11/E12,"")</f>
        <v>0.55750445960538941</v>
      </c>
      <c r="F13" s="533" t="str">
        <f>IFERROR(F11/F12,"")</f>
        <v/>
      </c>
      <c r="G13" s="533" t="str">
        <f>IFERROR(G11/G12,"")</f>
        <v/>
      </c>
      <c r="H13" s="533">
        <f>IFERROR(H11/H12,"")</f>
        <v>0.23745295409916076</v>
      </c>
      <c r="I13" s="533"/>
      <c r="J13" s="533"/>
      <c r="K13" s="533">
        <f>IFERROR(K11/K12,"")</f>
        <v>0.10714580453183759</v>
      </c>
      <c r="L13" s="533"/>
      <c r="M13" s="533"/>
      <c r="N13" s="533"/>
      <c r="O13" s="533" t="str">
        <f>IFERROR(O11/O12,"")</f>
        <v/>
      </c>
      <c r="P13" s="533"/>
      <c r="Q13" s="533"/>
      <c r="R13" s="533"/>
      <c r="S13" s="533" t="str">
        <f>IFERROR(S11/S12,"")</f>
        <v/>
      </c>
      <c r="T13" s="533"/>
      <c r="U13" s="533"/>
      <c r="V13" s="533"/>
      <c r="W13" s="533" t="str">
        <f>IFERROR(W11/W12,"")</f>
        <v/>
      </c>
      <c r="X13" s="533"/>
      <c r="Y13" s="533"/>
      <c r="Z13" s="533"/>
      <c r="BA13" s="71"/>
      <c r="BB13" s="71"/>
      <c r="BC13" s="71"/>
      <c r="BD13" s="71"/>
    </row>
    <row r="14" spans="1:56" ht="15" outlineLevel="1">
      <c r="B14" s="530" t="s">
        <v>306</v>
      </c>
      <c r="C14" s="530"/>
      <c r="D14" s="530"/>
      <c r="E14" s="528">
        <v>0</v>
      </c>
      <c r="F14" s="528"/>
      <c r="G14" s="528"/>
      <c r="H14" s="528">
        <v>0</v>
      </c>
      <c r="I14" s="528"/>
      <c r="J14" s="528"/>
      <c r="K14" s="528">
        <v>0</v>
      </c>
      <c r="L14" s="528"/>
      <c r="M14" s="528"/>
      <c r="N14" s="528"/>
      <c r="O14" s="528"/>
      <c r="P14" s="528"/>
      <c r="Q14" s="528"/>
      <c r="R14" s="528"/>
      <c r="S14" s="528"/>
      <c r="T14" s="528"/>
      <c r="U14" s="528"/>
      <c r="V14" s="528"/>
      <c r="W14" s="528"/>
      <c r="X14" s="528"/>
      <c r="Y14" s="528"/>
      <c r="Z14" s="528"/>
      <c r="BA14" s="71"/>
      <c r="BB14" s="71"/>
      <c r="BC14" s="71"/>
      <c r="BD14" s="71"/>
    </row>
    <row r="15" spans="1:56" ht="15" outlineLevel="1">
      <c r="B15" s="530" t="s">
        <v>307</v>
      </c>
      <c r="C15" s="530"/>
      <c r="D15" s="530"/>
      <c r="E15" s="528">
        <v>0</v>
      </c>
      <c r="F15" s="528"/>
      <c r="G15" s="528"/>
      <c r="H15" s="528">
        <v>0</v>
      </c>
      <c r="I15" s="528"/>
      <c r="J15" s="528"/>
      <c r="K15" s="528">
        <v>0</v>
      </c>
      <c r="L15" s="528"/>
      <c r="M15" s="528"/>
      <c r="N15" s="528"/>
      <c r="O15" s="528"/>
      <c r="P15" s="528"/>
      <c r="Q15" s="528"/>
      <c r="R15" s="528"/>
      <c r="S15" s="528"/>
      <c r="T15" s="528"/>
      <c r="U15" s="528"/>
      <c r="V15" s="528"/>
      <c r="W15" s="528"/>
      <c r="X15" s="528"/>
      <c r="Y15" s="528"/>
      <c r="Z15" s="528"/>
      <c r="BA15" s="71"/>
      <c r="BB15" s="71"/>
      <c r="BC15" s="71"/>
      <c r="BD15" s="71"/>
    </row>
    <row r="16" spans="1:56" ht="15" outlineLevel="1">
      <c r="B16" s="530" t="s">
        <v>308</v>
      </c>
      <c r="C16" s="530"/>
      <c r="D16" s="530"/>
      <c r="E16" s="527" t="s">
        <v>309</v>
      </c>
      <c r="F16" s="527"/>
      <c r="G16" s="527"/>
      <c r="H16" s="527" t="s">
        <v>310</v>
      </c>
      <c r="I16" s="527"/>
      <c r="J16" s="527"/>
      <c r="K16" s="527" t="s">
        <v>311</v>
      </c>
      <c r="L16" s="527"/>
      <c r="M16" s="527"/>
      <c r="N16" s="527"/>
      <c r="O16" s="527"/>
      <c r="P16" s="527"/>
      <c r="Q16" s="527"/>
      <c r="R16" s="527"/>
      <c r="S16" s="527"/>
      <c r="T16" s="527"/>
      <c r="U16" s="527"/>
      <c r="V16" s="527"/>
      <c r="W16" s="527"/>
      <c r="X16" s="527"/>
      <c r="Y16" s="527"/>
      <c r="Z16" s="527"/>
      <c r="BA16" s="71"/>
      <c r="BB16" s="71"/>
      <c r="BC16" s="71"/>
      <c r="BD16" s="71"/>
    </row>
    <row r="17" spans="1:62" ht="15" outlineLevel="1">
      <c r="B17" s="530" t="s">
        <v>312</v>
      </c>
      <c r="C17" s="530"/>
      <c r="D17" s="530"/>
      <c r="E17" s="527" t="s">
        <v>313</v>
      </c>
      <c r="F17" s="527"/>
      <c r="G17" s="527"/>
      <c r="H17" s="527" t="s">
        <v>314</v>
      </c>
      <c r="I17" s="527"/>
      <c r="J17" s="527"/>
      <c r="K17" s="527" t="s">
        <v>315</v>
      </c>
      <c r="L17" s="527"/>
      <c r="M17" s="527"/>
      <c r="N17" s="527"/>
      <c r="O17" s="527"/>
      <c r="P17" s="527"/>
      <c r="Q17" s="527"/>
      <c r="R17" s="527"/>
      <c r="S17" s="527"/>
      <c r="T17" s="527"/>
      <c r="U17" s="527"/>
      <c r="V17" s="527"/>
      <c r="W17" s="527"/>
      <c r="X17" s="527"/>
      <c r="Y17" s="527"/>
      <c r="Z17" s="527"/>
      <c r="BA17" s="71"/>
      <c r="BB17" s="71"/>
      <c r="BC17" s="71"/>
      <c r="BD17" s="71"/>
    </row>
    <row r="18" spans="1:62" ht="15" outlineLevel="1">
      <c r="B18" s="530" t="s">
        <v>316</v>
      </c>
      <c r="C18" s="530"/>
      <c r="D18" s="530"/>
      <c r="E18" s="527" t="s">
        <v>317</v>
      </c>
      <c r="F18" s="527"/>
      <c r="G18" s="527"/>
      <c r="H18" s="527" t="s">
        <v>318</v>
      </c>
      <c r="I18" s="527"/>
      <c r="J18" s="527"/>
      <c r="K18" s="527" t="s">
        <v>319</v>
      </c>
      <c r="L18" s="527"/>
      <c r="M18" s="527"/>
      <c r="N18" s="527"/>
      <c r="O18" s="527"/>
      <c r="P18" s="527"/>
      <c r="Q18" s="527"/>
      <c r="R18" s="527"/>
      <c r="S18" s="527"/>
      <c r="T18" s="527"/>
      <c r="U18" s="527"/>
      <c r="V18" s="527"/>
      <c r="W18" s="527"/>
      <c r="X18" s="527"/>
      <c r="Y18" s="527"/>
      <c r="Z18" s="527"/>
      <c r="BA18" s="71"/>
      <c r="BB18" s="71"/>
      <c r="BC18" s="71"/>
      <c r="BD18" s="71"/>
    </row>
    <row r="19" spans="1:62" ht="15" outlineLevel="1">
      <c r="B19" s="530" t="s">
        <v>320</v>
      </c>
      <c r="C19" s="530"/>
      <c r="D19" s="530"/>
      <c r="E19" s="527" t="s">
        <v>321</v>
      </c>
      <c r="F19" s="527"/>
      <c r="G19" s="527"/>
      <c r="H19" s="527" t="s">
        <v>322</v>
      </c>
      <c r="I19" s="527"/>
      <c r="J19" s="527"/>
      <c r="K19" s="527" t="s">
        <v>323</v>
      </c>
      <c r="L19" s="527"/>
      <c r="M19" s="527"/>
      <c r="N19" s="527"/>
      <c r="O19" s="527"/>
      <c r="P19" s="527"/>
      <c r="Q19" s="527"/>
      <c r="R19" s="527"/>
      <c r="S19" s="527"/>
      <c r="T19" s="527"/>
      <c r="U19" s="527"/>
      <c r="V19" s="527"/>
      <c r="W19" s="527"/>
      <c r="X19" s="527"/>
      <c r="Y19" s="527"/>
      <c r="Z19" s="527"/>
      <c r="BA19" s="71"/>
      <c r="BB19" s="71"/>
      <c r="BC19" s="71"/>
      <c r="BD19" s="71"/>
    </row>
    <row r="20" spans="1:62" ht="15" outlineLevel="1">
      <c r="B20" s="530" t="s">
        <v>324</v>
      </c>
      <c r="C20" s="530"/>
      <c r="D20" s="530"/>
      <c r="E20" s="527" t="s">
        <v>325</v>
      </c>
      <c r="F20" s="527"/>
      <c r="G20" s="527"/>
      <c r="H20" s="527" t="s">
        <v>326</v>
      </c>
      <c r="I20" s="527"/>
      <c r="J20" s="527"/>
      <c r="K20" s="527" t="s">
        <v>327</v>
      </c>
      <c r="L20" s="527"/>
      <c r="M20" s="527"/>
      <c r="N20" s="527"/>
      <c r="O20" s="527"/>
      <c r="P20" s="527"/>
      <c r="Q20" s="527"/>
      <c r="R20" s="527"/>
      <c r="S20" s="527"/>
      <c r="T20" s="527"/>
      <c r="U20" s="527"/>
      <c r="V20" s="527"/>
      <c r="W20" s="527"/>
      <c r="X20" s="527"/>
      <c r="Y20" s="527"/>
      <c r="Z20" s="527"/>
      <c r="BA20" s="71"/>
      <c r="BB20" s="71"/>
      <c r="BC20" s="71"/>
      <c r="BD20" s="71"/>
    </row>
    <row r="21" spans="1:62" ht="15" outlineLevel="1">
      <c r="B21" s="530" t="s">
        <v>328</v>
      </c>
      <c r="C21" s="530"/>
      <c r="D21" s="530"/>
      <c r="E21" s="528"/>
      <c r="F21" s="528"/>
      <c r="G21" s="528"/>
      <c r="H21" s="532" t="s">
        <v>329</v>
      </c>
      <c r="I21" s="528"/>
      <c r="J21" s="528"/>
      <c r="K21" s="532" t="s">
        <v>330</v>
      </c>
      <c r="L21" s="528"/>
      <c r="M21" s="528"/>
      <c r="N21" s="528"/>
      <c r="O21" s="528"/>
      <c r="P21" s="528"/>
      <c r="Q21" s="528"/>
      <c r="R21" s="528"/>
      <c r="S21" s="528"/>
      <c r="T21" s="528"/>
      <c r="U21" s="528"/>
      <c r="V21" s="528"/>
      <c r="W21" s="528"/>
      <c r="X21" s="528"/>
      <c r="Y21" s="528"/>
      <c r="Z21" s="528"/>
      <c r="BA21" s="71"/>
      <c r="BB21" s="71"/>
      <c r="BC21" s="71"/>
      <c r="BD21" s="71"/>
    </row>
    <row r="22" spans="1:62" ht="15" outlineLevel="1"/>
    <row r="23" spans="1:62" ht="18.75">
      <c r="A23" s="70"/>
      <c r="B23" s="534" t="s">
        <v>331</v>
      </c>
      <c r="C23" s="535"/>
      <c r="D23" s="535"/>
      <c r="E23" s="535"/>
      <c r="F23" s="535"/>
      <c r="G23" s="535"/>
      <c r="H23" s="535"/>
      <c r="I23" s="535"/>
      <c r="J23" s="535"/>
      <c r="K23" s="535"/>
      <c r="L23" s="535"/>
      <c r="M23" s="535"/>
      <c r="N23" s="536"/>
      <c r="O23" s="534" t="s">
        <v>332</v>
      </c>
      <c r="P23" s="535"/>
      <c r="Q23" s="535"/>
      <c r="R23" s="535"/>
      <c r="S23" s="535"/>
      <c r="T23" s="535"/>
      <c r="U23" s="535"/>
      <c r="V23" s="535"/>
      <c r="W23" s="535"/>
      <c r="X23" s="535"/>
      <c r="Y23" s="535"/>
      <c r="Z23" s="535"/>
      <c r="AA23" s="535"/>
      <c r="AB23" s="535"/>
      <c r="AC23" s="535"/>
      <c r="AD23" s="535"/>
      <c r="AE23" s="535"/>
      <c r="AF23" s="535"/>
      <c r="AG23" s="535"/>
      <c r="AH23" s="535"/>
      <c r="AI23" s="535"/>
      <c r="AJ23" s="535"/>
      <c r="AK23" s="535"/>
      <c r="AL23" s="535"/>
      <c r="AM23" s="535"/>
      <c r="AN23" s="535"/>
      <c r="AO23" s="535"/>
      <c r="AP23" s="535"/>
      <c r="AQ23" s="535"/>
      <c r="AR23" s="535"/>
      <c r="AS23" s="535"/>
      <c r="AT23" s="535"/>
      <c r="AU23" s="535"/>
      <c r="AV23" s="535"/>
      <c r="AW23" s="535"/>
      <c r="AX23" s="535"/>
      <c r="AY23" s="535"/>
      <c r="AZ23" s="535"/>
      <c r="BA23" s="535"/>
      <c r="BB23" s="535"/>
      <c r="BC23" s="536"/>
    </row>
    <row r="24" spans="1:62" s="74" customFormat="1" ht="15">
      <c r="A24" s="73"/>
      <c r="B24" s="538" t="s">
        <v>333</v>
      </c>
      <c r="C24" s="542" t="s">
        <v>334</v>
      </c>
      <c r="D24" s="542" t="s">
        <v>335</v>
      </c>
      <c r="E24" s="538" t="s">
        <v>336</v>
      </c>
      <c r="F24" s="540" t="s">
        <v>337</v>
      </c>
      <c r="G24" s="540" t="s">
        <v>338</v>
      </c>
      <c r="H24" s="542" t="s">
        <v>339</v>
      </c>
      <c r="I24" s="544" t="s">
        <v>340</v>
      </c>
      <c r="J24" s="542" t="s">
        <v>341</v>
      </c>
      <c r="K24" s="538" t="s">
        <v>342</v>
      </c>
      <c r="L24" s="546" t="s">
        <v>343</v>
      </c>
      <c r="M24" s="547"/>
      <c r="N24" s="538" t="s">
        <v>344</v>
      </c>
      <c r="O24" s="548" t="s">
        <v>345</v>
      </c>
      <c r="P24" s="548"/>
      <c r="Q24" s="549"/>
      <c r="R24" s="549"/>
      <c r="S24" s="550">
        <v>45108</v>
      </c>
      <c r="T24" s="551"/>
      <c r="U24" s="551"/>
      <c r="V24" s="551">
        <f>EDATE(S24,-1)</f>
        <v>45078</v>
      </c>
      <c r="W24" s="551"/>
      <c r="X24" s="551"/>
      <c r="Y24" s="551">
        <f>EDATE(V24,-1)</f>
        <v>45047</v>
      </c>
      <c r="Z24" s="551"/>
      <c r="AA24" s="551"/>
      <c r="AB24" s="551">
        <f>EDATE(Y24,-1)</f>
        <v>45017</v>
      </c>
      <c r="AC24" s="551"/>
      <c r="AD24" s="551"/>
      <c r="AE24" s="551">
        <f>EDATE(AB24,-1)</f>
        <v>44986</v>
      </c>
      <c r="AF24" s="551"/>
      <c r="AG24" s="551"/>
      <c r="AH24" s="551">
        <f>EDATE(AE24,-1)</f>
        <v>44958</v>
      </c>
      <c r="AI24" s="551"/>
      <c r="AJ24" s="551"/>
      <c r="AK24" s="551">
        <f>EDATE(AH24,-1)</f>
        <v>44927</v>
      </c>
      <c r="AL24" s="551"/>
      <c r="AM24" s="551"/>
      <c r="AN24" s="551">
        <f>EDATE(AK24,-1)</f>
        <v>44896</v>
      </c>
      <c r="AO24" s="551"/>
      <c r="AP24" s="551"/>
      <c r="AQ24" s="551">
        <f>EDATE(AN24,-1)</f>
        <v>44866</v>
      </c>
      <c r="AR24" s="551"/>
      <c r="AS24" s="551"/>
      <c r="AT24" s="551">
        <f>EDATE(AQ24,-1)</f>
        <v>44835</v>
      </c>
      <c r="AU24" s="551"/>
      <c r="AV24" s="551"/>
      <c r="AW24" s="551">
        <f>EDATE(AT24,-1)</f>
        <v>44805</v>
      </c>
      <c r="AX24" s="551"/>
      <c r="AY24" s="551"/>
      <c r="AZ24" s="551">
        <f>EDATE(AW24,-1)</f>
        <v>44774</v>
      </c>
      <c r="BA24" s="551"/>
      <c r="BB24" s="551"/>
      <c r="BC24" s="541" t="s">
        <v>346</v>
      </c>
      <c r="BD24" s="73"/>
    </row>
    <row r="25" spans="1:62" s="74" customFormat="1" ht="30">
      <c r="A25" s="73"/>
      <c r="B25" s="539"/>
      <c r="C25" s="543"/>
      <c r="D25" s="543"/>
      <c r="E25" s="539"/>
      <c r="F25" s="541"/>
      <c r="G25" s="541"/>
      <c r="H25" s="543"/>
      <c r="I25" s="545"/>
      <c r="J25" s="543"/>
      <c r="K25" s="539"/>
      <c r="L25" s="546"/>
      <c r="M25" s="547"/>
      <c r="N25" s="539"/>
      <c r="O25" s="80" t="s">
        <v>347</v>
      </c>
      <c r="P25" s="80" t="s">
        <v>348</v>
      </c>
      <c r="Q25" s="78" t="s">
        <v>349</v>
      </c>
      <c r="R25" s="78" t="s">
        <v>350</v>
      </c>
      <c r="S25" s="81" t="s">
        <v>351</v>
      </c>
      <c r="T25" s="79" t="s">
        <v>352</v>
      </c>
      <c r="U25" s="78" t="s">
        <v>353</v>
      </c>
      <c r="V25" s="82" t="s">
        <v>354</v>
      </c>
      <c r="W25" s="79" t="s">
        <v>355</v>
      </c>
      <c r="X25" s="78" t="s">
        <v>356</v>
      </c>
      <c r="Y25" s="82" t="s">
        <v>357</v>
      </c>
      <c r="Z25" s="79" t="s">
        <v>358</v>
      </c>
      <c r="AA25" s="78" t="s">
        <v>359</v>
      </c>
      <c r="AB25" s="82" t="s">
        <v>360</v>
      </c>
      <c r="AC25" s="79" t="s">
        <v>361</v>
      </c>
      <c r="AD25" s="78" t="s">
        <v>362</v>
      </c>
      <c r="AE25" s="82" t="s">
        <v>363</v>
      </c>
      <c r="AF25" s="79" t="s">
        <v>364</v>
      </c>
      <c r="AG25" s="79" t="s">
        <v>365</v>
      </c>
      <c r="AH25" s="82" t="s">
        <v>366</v>
      </c>
      <c r="AI25" s="79" t="s">
        <v>367</v>
      </c>
      <c r="AJ25" s="78" t="s">
        <v>368</v>
      </c>
      <c r="AK25" s="82" t="s">
        <v>369</v>
      </c>
      <c r="AL25" s="79" t="s">
        <v>370</v>
      </c>
      <c r="AM25" s="78" t="s">
        <v>371</v>
      </c>
      <c r="AN25" s="82" t="s">
        <v>372</v>
      </c>
      <c r="AO25" s="79" t="s">
        <v>373</v>
      </c>
      <c r="AP25" s="78" t="s">
        <v>374</v>
      </c>
      <c r="AQ25" s="82" t="s">
        <v>375</v>
      </c>
      <c r="AR25" s="79" t="s">
        <v>376</v>
      </c>
      <c r="AS25" s="78" t="s">
        <v>377</v>
      </c>
      <c r="AT25" s="82" t="s">
        <v>378</v>
      </c>
      <c r="AU25" s="79" t="s">
        <v>379</v>
      </c>
      <c r="AV25" s="78" t="s">
        <v>380</v>
      </c>
      <c r="AW25" s="82" t="s">
        <v>381</v>
      </c>
      <c r="AX25" s="79" t="s">
        <v>382</v>
      </c>
      <c r="AY25" s="78" t="s">
        <v>383</v>
      </c>
      <c r="AZ25" s="82" t="s">
        <v>384</v>
      </c>
      <c r="BA25" s="79" t="s">
        <v>385</v>
      </c>
      <c r="BB25" s="78" t="s">
        <v>386</v>
      </c>
      <c r="BC25" s="541"/>
      <c r="BD25" s="73"/>
    </row>
    <row r="26" spans="1:62" s="90" customFormat="1" ht="12.75">
      <c r="A26" s="83" t="s">
        <v>387</v>
      </c>
      <c r="B26" s="84">
        <v>1</v>
      </c>
      <c r="C26" s="84" t="s">
        <v>388</v>
      </c>
      <c r="D26" s="84" t="s">
        <v>389</v>
      </c>
      <c r="E26" s="85">
        <v>59300000</v>
      </c>
      <c r="F26" s="85"/>
      <c r="G26" s="85"/>
      <c r="H26" s="86">
        <v>44711</v>
      </c>
      <c r="I26" s="85">
        <v>26321824</v>
      </c>
      <c r="J26" s="84">
        <v>0</v>
      </c>
      <c r="K26" s="87" t="str">
        <f t="shared" ref="K26:K211" ca="1" si="0">IFERROR(IF(J26&lt;(TODAY()-H26)/30,"",J26-(TODAY()-H26)/30+1),"")</f>
        <v/>
      </c>
      <c r="L26" s="88"/>
      <c r="M26" s="84" t="str">
        <f t="shared" ref="M26:M211" ca="1" si="1">IF(OR(L26="Yes",AND(K26&gt;1,K26&lt;&gt;"")),G26,"")</f>
        <v/>
      </c>
      <c r="N26" s="84"/>
      <c r="O26" s="89" t="str">
        <f t="shared" ref="O26:O211" si="2">IF($G26&lt;&gt;"",COUNT($S26,$V26,$Y26,$AB26,$AE26,$AH26,$AK26,$AN26,$AQ26,$AT26,$AW26,$AZ26),"")</f>
        <v/>
      </c>
      <c r="P26" s="89"/>
      <c r="Q26" s="85" t="str">
        <f t="shared" ref="Q26:Q211" si="3">IF($G26&lt;&gt;"",SUM($T26,$W26,$Z26,$AC26,$AF26,$AI26,$AL26,$AO26,$AR26,$AU26,$AX26,$BA26),"")</f>
        <v/>
      </c>
      <c r="R26" s="85" t="str">
        <f t="shared" ref="R26:R211" si="4">IF($G26&lt;&gt;"",IFERROR(AVERAGE($U26,$X26,$AA26,$AD26,$AG26,$AJ26,$AM26,$AP26,$AS26,$AV26,$AY26,$BB26),""),"")</f>
        <v/>
      </c>
      <c r="S26" s="84"/>
      <c r="T26" s="85"/>
      <c r="U26" s="85"/>
      <c r="V26" s="84"/>
      <c r="W26" s="85"/>
      <c r="X26" s="85"/>
      <c r="Y26" s="84"/>
      <c r="Z26" s="85"/>
      <c r="AA26" s="85"/>
      <c r="AB26" s="84"/>
      <c r="AC26" s="85"/>
      <c r="AD26" s="85"/>
      <c r="AE26" s="84"/>
      <c r="AF26" s="85"/>
      <c r="AG26" s="85"/>
      <c r="AH26" s="84"/>
      <c r="AI26" s="85"/>
      <c r="AJ26" s="85"/>
      <c r="AK26" s="84"/>
      <c r="AL26" s="85"/>
      <c r="AM26" s="85"/>
      <c r="AN26" s="84"/>
      <c r="AO26" s="85"/>
      <c r="AP26" s="85"/>
      <c r="AQ26" s="84"/>
      <c r="AR26" s="85"/>
      <c r="AS26" s="85"/>
      <c r="AT26" s="84"/>
      <c r="AU26" s="85"/>
      <c r="AV26" s="85"/>
      <c r="AW26" s="84"/>
      <c r="AX26" s="85"/>
      <c r="AY26" s="85"/>
      <c r="AZ26" s="84"/>
      <c r="BA26" s="85"/>
      <c r="BB26" s="85"/>
      <c r="BC26" s="84"/>
      <c r="BD26" s="27"/>
      <c r="BI26" s="90" t="s">
        <v>390</v>
      </c>
      <c r="BJ26" s="90" t="s">
        <v>391</v>
      </c>
    </row>
    <row r="27" spans="1:62" s="90" customFormat="1" ht="12.75">
      <c r="A27" s="83" t="s">
        <v>392</v>
      </c>
      <c r="B27" s="84">
        <v>2</v>
      </c>
      <c r="C27" s="84" t="s">
        <v>393</v>
      </c>
      <c r="D27" s="84" t="s">
        <v>394</v>
      </c>
      <c r="E27" s="85">
        <v>2442000</v>
      </c>
      <c r="F27" s="85"/>
      <c r="G27" s="85">
        <v>79367</v>
      </c>
      <c r="H27" s="86">
        <v>43948</v>
      </c>
      <c r="I27" s="85">
        <v>234762</v>
      </c>
      <c r="J27" s="84"/>
      <c r="K27" s="87" t="str">
        <f t="shared" ca="1" si="0"/>
        <v/>
      </c>
      <c r="L27" s="88"/>
      <c r="M27" s="84" t="str">
        <f t="shared" ca="1" si="1"/>
        <v/>
      </c>
      <c r="N27" s="84"/>
      <c r="O27" s="89">
        <f t="shared" si="2"/>
        <v>0</v>
      </c>
      <c r="P27" s="89"/>
      <c r="Q27" s="85">
        <f t="shared" si="3"/>
        <v>0</v>
      </c>
      <c r="R27" s="85" t="str">
        <f t="shared" si="4"/>
        <v/>
      </c>
      <c r="S27" s="84"/>
      <c r="T27" s="85"/>
      <c r="U27" s="85"/>
      <c r="V27" s="84"/>
      <c r="W27" s="85"/>
      <c r="X27" s="85"/>
      <c r="Y27" s="84"/>
      <c r="Z27" s="85"/>
      <c r="AA27" s="85"/>
      <c r="AB27" s="84"/>
      <c r="AC27" s="85"/>
      <c r="AD27" s="85"/>
      <c r="AE27" s="84"/>
      <c r="AF27" s="85"/>
      <c r="AG27" s="85"/>
      <c r="AH27" s="84"/>
      <c r="AI27" s="85"/>
      <c r="AJ27" s="85"/>
      <c r="AK27" s="84"/>
      <c r="AL27" s="85"/>
      <c r="AM27" s="85"/>
      <c r="AN27" s="84"/>
      <c r="AO27" s="85"/>
      <c r="AP27" s="85"/>
      <c r="AQ27" s="84"/>
      <c r="AR27" s="85"/>
      <c r="AS27" s="85"/>
      <c r="AT27" s="84"/>
      <c r="AU27" s="85"/>
      <c r="AV27" s="85"/>
      <c r="AW27" s="84"/>
      <c r="AX27" s="85"/>
      <c r="AY27" s="85"/>
      <c r="AZ27" s="84"/>
      <c r="BA27" s="85"/>
      <c r="BB27" s="85"/>
      <c r="BC27" s="84"/>
      <c r="BD27" s="27"/>
      <c r="BI27" s="90" t="s">
        <v>395</v>
      </c>
      <c r="BJ27" s="90" t="s">
        <v>396</v>
      </c>
    </row>
    <row r="28" spans="1:62" s="90" customFormat="1" ht="12.75">
      <c r="A28" s="83" t="s">
        <v>397</v>
      </c>
      <c r="B28" s="84">
        <v>3</v>
      </c>
      <c r="C28" s="84" t="s">
        <v>398</v>
      </c>
      <c r="D28" s="84" t="s">
        <v>399</v>
      </c>
      <c r="E28" s="85">
        <v>1636800</v>
      </c>
      <c r="F28" s="85"/>
      <c r="G28" s="85"/>
      <c r="H28" s="86">
        <v>43707</v>
      </c>
      <c r="I28" s="85">
        <v>6075</v>
      </c>
      <c r="J28" s="84"/>
      <c r="K28" s="87" t="str">
        <f t="shared" ca="1" si="0"/>
        <v/>
      </c>
      <c r="L28" s="88"/>
      <c r="M28" s="84" t="str">
        <f t="shared" ca="1" si="1"/>
        <v/>
      </c>
      <c r="N28" s="84"/>
      <c r="O28" s="89" t="str">
        <f t="shared" si="2"/>
        <v/>
      </c>
      <c r="P28" s="89"/>
      <c r="Q28" s="85" t="str">
        <f t="shared" si="3"/>
        <v/>
      </c>
      <c r="R28" s="85" t="str">
        <f t="shared" si="4"/>
        <v/>
      </c>
      <c r="S28" s="84"/>
      <c r="T28" s="85"/>
      <c r="U28" s="85"/>
      <c r="V28" s="84"/>
      <c r="W28" s="85"/>
      <c r="X28" s="85"/>
      <c r="Y28" s="84"/>
      <c r="Z28" s="85"/>
      <c r="AA28" s="85"/>
      <c r="AB28" s="84"/>
      <c r="AC28" s="85"/>
      <c r="AD28" s="85"/>
      <c r="AE28" s="84"/>
      <c r="AF28" s="85"/>
      <c r="AG28" s="85"/>
      <c r="AH28" s="84"/>
      <c r="AI28" s="85"/>
      <c r="AJ28" s="85"/>
      <c r="AK28" s="84"/>
      <c r="AL28" s="85"/>
      <c r="AM28" s="85"/>
      <c r="AN28" s="84"/>
      <c r="AO28" s="85"/>
      <c r="AP28" s="85"/>
      <c r="AQ28" s="84"/>
      <c r="AR28" s="85"/>
      <c r="AS28" s="85"/>
      <c r="AT28" s="84"/>
      <c r="AU28" s="85"/>
      <c r="AV28" s="85"/>
      <c r="AW28" s="84"/>
      <c r="AX28" s="85"/>
      <c r="AY28" s="85"/>
      <c r="AZ28" s="84"/>
      <c r="BA28" s="85"/>
      <c r="BB28" s="85"/>
      <c r="BC28" s="84"/>
      <c r="BD28" s="27"/>
      <c r="BI28" s="90" t="s">
        <v>400</v>
      </c>
      <c r="BJ28" s="90" t="s">
        <v>401</v>
      </c>
    </row>
    <row r="29" spans="1:62" s="90" customFormat="1" ht="12.75">
      <c r="A29" s="83" t="s">
        <v>402</v>
      </c>
      <c r="B29" s="84">
        <v>4</v>
      </c>
      <c r="C29" s="84" t="s">
        <v>403</v>
      </c>
      <c r="D29" s="84" t="s">
        <v>404</v>
      </c>
      <c r="E29" s="85">
        <v>6124000</v>
      </c>
      <c r="F29" s="85"/>
      <c r="G29" s="85"/>
      <c r="H29" s="86">
        <v>44110</v>
      </c>
      <c r="I29" s="85">
        <v>1527835</v>
      </c>
      <c r="J29" s="84"/>
      <c r="K29" s="87" t="str">
        <f t="shared" ca="1" si="0"/>
        <v/>
      </c>
      <c r="L29" s="88"/>
      <c r="M29" s="84" t="str">
        <f t="shared" ca="1" si="1"/>
        <v/>
      </c>
      <c r="N29" s="84"/>
      <c r="O29" s="89" t="str">
        <f t="shared" si="2"/>
        <v/>
      </c>
      <c r="P29" s="89"/>
      <c r="Q29" s="85" t="str">
        <f t="shared" si="3"/>
        <v/>
      </c>
      <c r="R29" s="85" t="str">
        <f t="shared" si="4"/>
        <v/>
      </c>
      <c r="S29" s="84"/>
      <c r="T29" s="85"/>
      <c r="U29" s="85"/>
      <c r="V29" s="84"/>
      <c r="W29" s="85"/>
      <c r="X29" s="85"/>
      <c r="Y29" s="84"/>
      <c r="Z29" s="85"/>
      <c r="AA29" s="85"/>
      <c r="AB29" s="84"/>
      <c r="AC29" s="85"/>
      <c r="AD29" s="85"/>
      <c r="AE29" s="84"/>
      <c r="AF29" s="85"/>
      <c r="AG29" s="85"/>
      <c r="AH29" s="84"/>
      <c r="AI29" s="85"/>
      <c r="AJ29" s="85"/>
      <c r="AK29" s="84"/>
      <c r="AL29" s="85"/>
      <c r="AM29" s="85"/>
      <c r="AN29" s="84"/>
      <c r="AO29" s="85"/>
      <c r="AP29" s="85"/>
      <c r="AQ29" s="84"/>
      <c r="AR29" s="85"/>
      <c r="AS29" s="85"/>
      <c r="AT29" s="84"/>
      <c r="AU29" s="85"/>
      <c r="AV29" s="85"/>
      <c r="AW29" s="84"/>
      <c r="AX29" s="85"/>
      <c r="AY29" s="85"/>
      <c r="AZ29" s="84"/>
      <c r="BA29" s="85"/>
      <c r="BB29" s="85"/>
      <c r="BC29" s="84" t="s">
        <v>405</v>
      </c>
      <c r="BD29" s="27"/>
      <c r="BI29" s="90" t="s">
        <v>406</v>
      </c>
      <c r="BJ29" s="90" t="s">
        <v>407</v>
      </c>
    </row>
    <row r="30" spans="1:62" s="90" customFormat="1" ht="12.75">
      <c r="A30" s="83" t="s">
        <v>408</v>
      </c>
      <c r="B30" s="84">
        <v>5</v>
      </c>
      <c r="C30" s="84" t="s">
        <v>409</v>
      </c>
      <c r="D30" s="84" t="s">
        <v>410</v>
      </c>
      <c r="E30" s="85">
        <v>15851801</v>
      </c>
      <c r="F30" s="85"/>
      <c r="G30" s="85"/>
      <c r="H30" s="86">
        <v>44575</v>
      </c>
      <c r="I30" s="85">
        <v>15851801</v>
      </c>
      <c r="J30" s="84"/>
      <c r="K30" s="87" t="str">
        <f t="shared" ca="1" si="0"/>
        <v/>
      </c>
      <c r="L30" s="88"/>
      <c r="M30" s="84" t="str">
        <f t="shared" ca="1" si="1"/>
        <v/>
      </c>
      <c r="N30" s="84"/>
      <c r="O30" s="89" t="str">
        <f t="shared" si="2"/>
        <v/>
      </c>
      <c r="P30" s="89"/>
      <c r="Q30" s="85" t="str">
        <f t="shared" si="3"/>
        <v/>
      </c>
      <c r="R30" s="85" t="str">
        <f t="shared" si="4"/>
        <v/>
      </c>
      <c r="S30" s="84"/>
      <c r="T30" s="85"/>
      <c r="U30" s="85"/>
      <c r="V30" s="84"/>
      <c r="W30" s="85"/>
      <c r="X30" s="85"/>
      <c r="Y30" s="84"/>
      <c r="Z30" s="85"/>
      <c r="AA30" s="85"/>
      <c r="AB30" s="84"/>
      <c r="AC30" s="85"/>
      <c r="AD30" s="85"/>
      <c r="AE30" s="84"/>
      <c r="AF30" s="85"/>
      <c r="AG30" s="85"/>
      <c r="AH30" s="84"/>
      <c r="AI30" s="85"/>
      <c r="AJ30" s="85"/>
      <c r="AK30" s="84"/>
      <c r="AL30" s="85"/>
      <c r="AM30" s="85"/>
      <c r="AN30" s="84"/>
      <c r="AO30" s="85"/>
      <c r="AP30" s="85"/>
      <c r="AQ30" s="84"/>
      <c r="AR30" s="85"/>
      <c r="AS30" s="85"/>
      <c r="AT30" s="84"/>
      <c r="AU30" s="85"/>
      <c r="AV30" s="85"/>
      <c r="AW30" s="84"/>
      <c r="AX30" s="85"/>
      <c r="AY30" s="85"/>
      <c r="AZ30" s="84"/>
      <c r="BA30" s="85"/>
      <c r="BB30" s="85"/>
      <c r="BC30" s="84"/>
      <c r="BD30" s="27"/>
      <c r="BI30" s="90" t="s">
        <v>411</v>
      </c>
      <c r="BJ30" s="90" t="s">
        <v>412</v>
      </c>
    </row>
    <row r="31" spans="1:62" s="90" customFormat="1" ht="12.75">
      <c r="A31" s="83" t="s">
        <v>413</v>
      </c>
      <c r="B31" s="84">
        <v>6</v>
      </c>
      <c r="C31" s="84" t="s">
        <v>414</v>
      </c>
      <c r="D31" s="84" t="s">
        <v>415</v>
      </c>
      <c r="E31" s="85">
        <v>3379000</v>
      </c>
      <c r="F31" s="85"/>
      <c r="G31" s="85">
        <v>108780</v>
      </c>
      <c r="H31" s="86">
        <v>44113</v>
      </c>
      <c r="I31" s="85">
        <v>844560</v>
      </c>
      <c r="J31" s="84"/>
      <c r="K31" s="87" t="str">
        <f t="shared" ca="1" si="0"/>
        <v/>
      </c>
      <c r="L31" s="88"/>
      <c r="M31" s="84" t="str">
        <f t="shared" ca="1" si="1"/>
        <v/>
      </c>
      <c r="N31" s="84"/>
      <c r="O31" s="89">
        <f t="shared" si="2"/>
        <v>0</v>
      </c>
      <c r="P31" s="89"/>
      <c r="Q31" s="85">
        <f t="shared" si="3"/>
        <v>0</v>
      </c>
      <c r="R31" s="85" t="str">
        <f t="shared" si="4"/>
        <v/>
      </c>
      <c r="S31" s="84"/>
      <c r="T31" s="85"/>
      <c r="U31" s="85"/>
      <c r="V31" s="84"/>
      <c r="W31" s="85"/>
      <c r="X31" s="85"/>
      <c r="Y31" s="84"/>
      <c r="Z31" s="85"/>
      <c r="AA31" s="85"/>
      <c r="AB31" s="84"/>
      <c r="AC31" s="85"/>
      <c r="AD31" s="85"/>
      <c r="AE31" s="84"/>
      <c r="AF31" s="85"/>
      <c r="AG31" s="85"/>
      <c r="AH31" s="84"/>
      <c r="AI31" s="85"/>
      <c r="AJ31" s="85"/>
      <c r="AK31" s="84"/>
      <c r="AL31" s="85"/>
      <c r="AM31" s="85"/>
      <c r="AN31" s="84"/>
      <c r="AO31" s="85"/>
      <c r="AP31" s="85"/>
      <c r="AQ31" s="84"/>
      <c r="AR31" s="85"/>
      <c r="AS31" s="85"/>
      <c r="AT31" s="84"/>
      <c r="AU31" s="85"/>
      <c r="AV31" s="85"/>
      <c r="AW31" s="84"/>
      <c r="AX31" s="85"/>
      <c r="AY31" s="85"/>
      <c r="AZ31" s="84"/>
      <c r="BA31" s="85"/>
      <c r="BB31" s="85"/>
      <c r="BC31" s="84"/>
      <c r="BD31" s="27"/>
      <c r="BI31" s="90" t="s">
        <v>416</v>
      </c>
      <c r="BJ31" s="90" t="s">
        <v>417</v>
      </c>
    </row>
    <row r="32" spans="1:62" s="90" customFormat="1" ht="12.75">
      <c r="A32" s="83" t="s">
        <v>418</v>
      </c>
      <c r="B32" s="84">
        <v>7</v>
      </c>
      <c r="C32" s="84" t="s">
        <v>419</v>
      </c>
      <c r="D32" s="84" t="s">
        <v>420</v>
      </c>
      <c r="E32" s="85">
        <v>4531000</v>
      </c>
      <c r="F32" s="85"/>
      <c r="G32" s="85"/>
      <c r="H32" s="86">
        <v>44917</v>
      </c>
      <c r="I32" s="85">
        <v>4458373</v>
      </c>
      <c r="J32" s="84"/>
      <c r="K32" s="87" t="str">
        <f t="shared" ca="1" si="0"/>
        <v/>
      </c>
      <c r="L32" s="88"/>
      <c r="M32" s="84" t="str">
        <f t="shared" ca="1" si="1"/>
        <v/>
      </c>
      <c r="N32" s="84"/>
      <c r="O32" s="89" t="str">
        <f t="shared" si="2"/>
        <v/>
      </c>
      <c r="P32" s="89"/>
      <c r="Q32" s="85" t="str">
        <f t="shared" si="3"/>
        <v/>
      </c>
      <c r="R32" s="85" t="str">
        <f t="shared" si="4"/>
        <v/>
      </c>
      <c r="S32" s="84"/>
      <c r="T32" s="85"/>
      <c r="U32" s="85"/>
      <c r="V32" s="84"/>
      <c r="W32" s="85"/>
      <c r="X32" s="85"/>
      <c r="Y32" s="84"/>
      <c r="Z32" s="85"/>
      <c r="AA32" s="85"/>
      <c r="AB32" s="84"/>
      <c r="AC32" s="85"/>
      <c r="AD32" s="85"/>
      <c r="AE32" s="84"/>
      <c r="AF32" s="85"/>
      <c r="AG32" s="85"/>
      <c r="AH32" s="84"/>
      <c r="AI32" s="85"/>
      <c r="AJ32" s="85"/>
      <c r="AK32" s="84"/>
      <c r="AL32" s="85"/>
      <c r="AM32" s="85"/>
      <c r="AN32" s="84"/>
      <c r="AO32" s="85"/>
      <c r="AP32" s="85"/>
      <c r="AQ32" s="84"/>
      <c r="AR32" s="85"/>
      <c r="AS32" s="85"/>
      <c r="AT32" s="84"/>
      <c r="AU32" s="85"/>
      <c r="AV32" s="85"/>
      <c r="AW32" s="84"/>
      <c r="AX32" s="85"/>
      <c r="AY32" s="85"/>
      <c r="AZ32" s="84"/>
      <c r="BA32" s="85"/>
      <c r="BB32" s="85"/>
      <c r="BC32" s="84"/>
      <c r="BD32" s="27"/>
      <c r="BI32" s="90" t="s">
        <v>421</v>
      </c>
      <c r="BJ32" s="90" t="s">
        <v>422</v>
      </c>
    </row>
    <row r="33" spans="1:62" s="90" customFormat="1" ht="12.75">
      <c r="A33" s="83" t="s">
        <v>423</v>
      </c>
      <c r="B33" s="84">
        <v>8</v>
      </c>
      <c r="C33" s="84" t="s">
        <v>424</v>
      </c>
      <c r="D33" s="84" t="s">
        <v>425</v>
      </c>
      <c r="E33" s="85">
        <v>4725900</v>
      </c>
      <c r="F33" s="85"/>
      <c r="G33" s="85"/>
      <c r="H33" s="86">
        <v>43847</v>
      </c>
      <c r="I33" s="85">
        <v>608162</v>
      </c>
      <c r="J33" s="84"/>
      <c r="K33" s="87" t="str">
        <f t="shared" ca="1" si="0"/>
        <v/>
      </c>
      <c r="L33" s="88"/>
      <c r="M33" s="84" t="str">
        <f t="shared" ca="1" si="1"/>
        <v/>
      </c>
      <c r="N33" s="84"/>
      <c r="O33" s="89" t="str">
        <f t="shared" si="2"/>
        <v/>
      </c>
      <c r="P33" s="89"/>
      <c r="Q33" s="85" t="str">
        <f t="shared" si="3"/>
        <v/>
      </c>
      <c r="R33" s="85" t="str">
        <f t="shared" si="4"/>
        <v/>
      </c>
      <c r="S33" s="84"/>
      <c r="T33" s="85"/>
      <c r="U33" s="85"/>
      <c r="V33" s="84"/>
      <c r="W33" s="85"/>
      <c r="X33" s="85"/>
      <c r="Y33" s="84"/>
      <c r="Z33" s="85"/>
      <c r="AA33" s="85"/>
      <c r="AB33" s="84"/>
      <c r="AC33" s="85"/>
      <c r="AD33" s="85"/>
      <c r="AE33" s="84"/>
      <c r="AF33" s="85"/>
      <c r="AG33" s="85"/>
      <c r="AH33" s="84"/>
      <c r="AI33" s="85"/>
      <c r="AJ33" s="85"/>
      <c r="AK33" s="84"/>
      <c r="AL33" s="85"/>
      <c r="AM33" s="85"/>
      <c r="AN33" s="84"/>
      <c r="AO33" s="85"/>
      <c r="AP33" s="85"/>
      <c r="AQ33" s="84"/>
      <c r="AR33" s="85"/>
      <c r="AS33" s="85"/>
      <c r="AT33" s="84"/>
      <c r="AU33" s="85"/>
      <c r="AV33" s="85"/>
      <c r="AW33" s="84"/>
      <c r="AX33" s="85"/>
      <c r="AY33" s="85"/>
      <c r="AZ33" s="84"/>
      <c r="BA33" s="85"/>
      <c r="BB33" s="85"/>
      <c r="BC33" s="84"/>
      <c r="BD33" s="27"/>
      <c r="BI33" s="90" t="s">
        <v>426</v>
      </c>
      <c r="BJ33" s="90" t="s">
        <v>427</v>
      </c>
    </row>
    <row r="34" spans="1:62" s="90" customFormat="1" ht="12.75">
      <c r="A34" s="83" t="s">
        <v>428</v>
      </c>
      <c r="B34" s="84">
        <v>9</v>
      </c>
      <c r="C34" s="84" t="s">
        <v>429</v>
      </c>
      <c r="D34" s="84" t="s">
        <v>430</v>
      </c>
      <c r="E34" s="85">
        <v>3394500</v>
      </c>
      <c r="F34" s="85"/>
      <c r="G34" s="85"/>
      <c r="H34" s="86">
        <v>44224</v>
      </c>
      <c r="I34" s="85">
        <v>1250478</v>
      </c>
      <c r="J34" s="84"/>
      <c r="K34" s="87" t="str">
        <f t="shared" ca="1" si="0"/>
        <v/>
      </c>
      <c r="L34" s="88"/>
      <c r="M34" s="84" t="str">
        <f t="shared" ca="1" si="1"/>
        <v/>
      </c>
      <c r="N34" s="84"/>
      <c r="O34" s="89" t="str">
        <f t="shared" si="2"/>
        <v/>
      </c>
      <c r="P34" s="89"/>
      <c r="Q34" s="85" t="str">
        <f t="shared" si="3"/>
        <v/>
      </c>
      <c r="R34" s="85" t="str">
        <f t="shared" si="4"/>
        <v/>
      </c>
      <c r="S34" s="84"/>
      <c r="T34" s="85"/>
      <c r="U34" s="85"/>
      <c r="V34" s="84"/>
      <c r="W34" s="85"/>
      <c r="X34" s="85"/>
      <c r="Y34" s="84"/>
      <c r="Z34" s="85"/>
      <c r="AA34" s="85"/>
      <c r="AB34" s="84"/>
      <c r="AC34" s="85"/>
      <c r="AD34" s="85"/>
      <c r="AE34" s="84"/>
      <c r="AF34" s="85"/>
      <c r="AG34" s="85"/>
      <c r="AH34" s="84"/>
      <c r="AI34" s="85"/>
      <c r="AJ34" s="85"/>
      <c r="AK34" s="84"/>
      <c r="AL34" s="85"/>
      <c r="AM34" s="85"/>
      <c r="AN34" s="84"/>
      <c r="AO34" s="85"/>
      <c r="AP34" s="85"/>
      <c r="AQ34" s="84"/>
      <c r="AR34" s="85"/>
      <c r="AS34" s="85"/>
      <c r="AT34" s="84"/>
      <c r="AU34" s="85"/>
      <c r="AV34" s="85"/>
      <c r="AW34" s="84"/>
      <c r="AX34" s="85"/>
      <c r="AY34" s="85"/>
      <c r="AZ34" s="84"/>
      <c r="BA34" s="85"/>
      <c r="BB34" s="85"/>
      <c r="BC34" s="84" t="s">
        <v>431</v>
      </c>
      <c r="BD34" s="27"/>
      <c r="BI34" s="90" t="s">
        <v>432</v>
      </c>
      <c r="BJ34" s="90" t="s">
        <v>433</v>
      </c>
    </row>
    <row r="35" spans="1:62" s="90" customFormat="1" ht="12.75">
      <c r="A35" s="83" t="s">
        <v>434</v>
      </c>
      <c r="B35" s="84">
        <v>10</v>
      </c>
      <c r="C35" s="84" t="s">
        <v>435</v>
      </c>
      <c r="D35" s="84" t="s">
        <v>436</v>
      </c>
      <c r="E35" s="85">
        <v>2093040</v>
      </c>
      <c r="F35" s="85"/>
      <c r="G35" s="85"/>
      <c r="H35" s="86">
        <v>44466</v>
      </c>
      <c r="I35" s="85">
        <v>1259472</v>
      </c>
      <c r="J35" s="84"/>
      <c r="K35" s="87" t="str">
        <f t="shared" ca="1" si="0"/>
        <v/>
      </c>
      <c r="L35" s="88"/>
      <c r="M35" s="84" t="str">
        <f t="shared" ca="1" si="1"/>
        <v/>
      </c>
      <c r="N35" s="84"/>
      <c r="O35" s="89" t="str">
        <f t="shared" si="2"/>
        <v/>
      </c>
      <c r="P35" s="89"/>
      <c r="Q35" s="85" t="str">
        <f t="shared" si="3"/>
        <v/>
      </c>
      <c r="R35" s="85" t="str">
        <f t="shared" si="4"/>
        <v/>
      </c>
      <c r="S35" s="84"/>
      <c r="T35" s="85"/>
      <c r="U35" s="85"/>
      <c r="V35" s="84"/>
      <c r="W35" s="85"/>
      <c r="X35" s="85"/>
      <c r="Y35" s="84"/>
      <c r="Z35" s="85"/>
      <c r="AA35" s="85"/>
      <c r="AB35" s="84"/>
      <c r="AC35" s="85"/>
      <c r="AD35" s="85"/>
      <c r="AE35" s="84"/>
      <c r="AF35" s="85"/>
      <c r="AG35" s="85"/>
      <c r="AH35" s="84"/>
      <c r="AI35" s="85"/>
      <c r="AJ35" s="85"/>
      <c r="AK35" s="84"/>
      <c r="AL35" s="85"/>
      <c r="AM35" s="85"/>
      <c r="AN35" s="84"/>
      <c r="AO35" s="85"/>
      <c r="AP35" s="85"/>
      <c r="AQ35" s="84"/>
      <c r="AR35" s="85"/>
      <c r="AS35" s="85"/>
      <c r="AT35" s="84"/>
      <c r="AU35" s="85"/>
      <c r="AV35" s="85"/>
      <c r="AW35" s="84"/>
      <c r="AX35" s="85"/>
      <c r="AY35" s="85"/>
      <c r="AZ35" s="84"/>
      <c r="BA35" s="85"/>
      <c r="BB35" s="85"/>
      <c r="BC35" s="84"/>
      <c r="BD35" s="27"/>
      <c r="BI35" s="90" t="s">
        <v>437</v>
      </c>
      <c r="BJ35" s="90" t="s">
        <v>438</v>
      </c>
    </row>
    <row r="36" spans="1:62" s="90" customFormat="1" ht="12.75">
      <c r="A36" s="83" t="s">
        <v>439</v>
      </c>
      <c r="B36" s="84">
        <v>11</v>
      </c>
      <c r="C36" s="84" t="s">
        <v>440</v>
      </c>
      <c r="D36" s="84" t="s">
        <v>441</v>
      </c>
      <c r="E36" s="85">
        <v>1051000</v>
      </c>
      <c r="F36" s="85"/>
      <c r="G36" s="85"/>
      <c r="H36" s="86">
        <v>44224</v>
      </c>
      <c r="I36" s="85">
        <v>355374</v>
      </c>
      <c r="J36" s="84"/>
      <c r="K36" s="87" t="str">
        <f t="shared" ca="1" si="0"/>
        <v/>
      </c>
      <c r="L36" s="88"/>
      <c r="M36" s="84" t="str">
        <f t="shared" ca="1" si="1"/>
        <v/>
      </c>
      <c r="N36" s="84"/>
      <c r="O36" s="89" t="str">
        <f t="shared" si="2"/>
        <v/>
      </c>
      <c r="P36" s="89"/>
      <c r="Q36" s="85" t="str">
        <f t="shared" si="3"/>
        <v/>
      </c>
      <c r="R36" s="85" t="str">
        <f t="shared" si="4"/>
        <v/>
      </c>
      <c r="S36" s="84"/>
      <c r="T36" s="85"/>
      <c r="U36" s="85"/>
      <c r="V36" s="84"/>
      <c r="W36" s="85"/>
      <c r="X36" s="85"/>
      <c r="Y36" s="84"/>
      <c r="Z36" s="85"/>
      <c r="AA36" s="85"/>
      <c r="AB36" s="84"/>
      <c r="AC36" s="85"/>
      <c r="AD36" s="85"/>
      <c r="AE36" s="84"/>
      <c r="AF36" s="85"/>
      <c r="AG36" s="85"/>
      <c r="AH36" s="84"/>
      <c r="AI36" s="85"/>
      <c r="AJ36" s="85"/>
      <c r="AK36" s="84"/>
      <c r="AL36" s="85"/>
      <c r="AM36" s="85"/>
      <c r="AN36" s="84"/>
      <c r="AO36" s="85"/>
      <c r="AP36" s="85"/>
      <c r="AQ36" s="84"/>
      <c r="AR36" s="85"/>
      <c r="AS36" s="85"/>
      <c r="AT36" s="84"/>
      <c r="AU36" s="85"/>
      <c r="AV36" s="85"/>
      <c r="AW36" s="84"/>
      <c r="AX36" s="85"/>
      <c r="AY36" s="85"/>
      <c r="AZ36" s="84"/>
      <c r="BA36" s="85"/>
      <c r="BB36" s="85"/>
      <c r="BC36" s="84"/>
      <c r="BD36" s="27"/>
      <c r="BI36" s="90" t="s">
        <v>442</v>
      </c>
      <c r="BJ36" s="90" t="s">
        <v>443</v>
      </c>
    </row>
    <row r="37" spans="1:62" s="90" customFormat="1" ht="12.75">
      <c r="A37" s="83" t="s">
        <v>444</v>
      </c>
      <c r="B37" s="84">
        <v>12</v>
      </c>
      <c r="C37" s="84" t="s">
        <v>445</v>
      </c>
      <c r="D37" s="84" t="s">
        <v>446</v>
      </c>
      <c r="E37" s="85">
        <v>3042000</v>
      </c>
      <c r="F37" s="85"/>
      <c r="G37" s="85"/>
      <c r="H37" s="86">
        <v>44901</v>
      </c>
      <c r="I37" s="85">
        <v>2999533</v>
      </c>
      <c r="J37" s="84"/>
      <c r="K37" s="87" t="str">
        <f t="shared" ca="1" si="0"/>
        <v/>
      </c>
      <c r="L37" s="88"/>
      <c r="M37" s="84" t="str">
        <f t="shared" ca="1" si="1"/>
        <v/>
      </c>
      <c r="N37" s="84"/>
      <c r="O37" s="89" t="str">
        <f t="shared" si="2"/>
        <v/>
      </c>
      <c r="P37" s="89"/>
      <c r="Q37" s="85" t="str">
        <f t="shared" si="3"/>
        <v/>
      </c>
      <c r="R37" s="85" t="str">
        <f t="shared" si="4"/>
        <v/>
      </c>
      <c r="S37" s="84"/>
      <c r="T37" s="85"/>
      <c r="U37" s="85"/>
      <c r="V37" s="84"/>
      <c r="W37" s="85"/>
      <c r="X37" s="85"/>
      <c r="Y37" s="84"/>
      <c r="Z37" s="85"/>
      <c r="AA37" s="85"/>
      <c r="AB37" s="84"/>
      <c r="AC37" s="85"/>
      <c r="AD37" s="85"/>
      <c r="AE37" s="84"/>
      <c r="AF37" s="85"/>
      <c r="AG37" s="85"/>
      <c r="AH37" s="84"/>
      <c r="AI37" s="85"/>
      <c r="AJ37" s="85"/>
      <c r="AK37" s="84"/>
      <c r="AL37" s="85"/>
      <c r="AM37" s="85"/>
      <c r="AN37" s="84"/>
      <c r="AO37" s="85"/>
      <c r="AP37" s="85"/>
      <c r="AQ37" s="84"/>
      <c r="AR37" s="85"/>
      <c r="AS37" s="85"/>
      <c r="AT37" s="84"/>
      <c r="AU37" s="85"/>
      <c r="AV37" s="85"/>
      <c r="AW37" s="84"/>
      <c r="AX37" s="85"/>
      <c r="AY37" s="85"/>
      <c r="AZ37" s="84"/>
      <c r="BA37" s="85"/>
      <c r="BB37" s="85"/>
      <c r="BC37" s="84"/>
      <c r="BD37" s="27"/>
      <c r="BI37" s="90" t="s">
        <v>447</v>
      </c>
      <c r="BJ37" s="90" t="s">
        <v>448</v>
      </c>
    </row>
    <row r="38" spans="1:62" s="90" customFormat="1" ht="12.75">
      <c r="A38" s="83" t="s">
        <v>449</v>
      </c>
      <c r="B38" s="84">
        <v>13</v>
      </c>
      <c r="C38" s="84" t="s">
        <v>450</v>
      </c>
      <c r="D38" s="84" t="s">
        <v>451</v>
      </c>
      <c r="E38" s="85">
        <v>2897500</v>
      </c>
      <c r="F38" s="85"/>
      <c r="G38" s="85"/>
      <c r="H38" s="86">
        <v>44875</v>
      </c>
      <c r="I38" s="85">
        <v>2817994</v>
      </c>
      <c r="J38" s="84"/>
      <c r="K38" s="87" t="str">
        <f t="shared" ca="1" si="0"/>
        <v/>
      </c>
      <c r="L38" s="88"/>
      <c r="M38" s="84" t="str">
        <f t="shared" ca="1" si="1"/>
        <v/>
      </c>
      <c r="N38" s="84"/>
      <c r="O38" s="89" t="str">
        <f t="shared" si="2"/>
        <v/>
      </c>
      <c r="P38" s="89"/>
      <c r="Q38" s="85" t="str">
        <f t="shared" si="3"/>
        <v/>
      </c>
      <c r="R38" s="85" t="str">
        <f t="shared" si="4"/>
        <v/>
      </c>
      <c r="S38" s="84"/>
      <c r="T38" s="85"/>
      <c r="U38" s="85"/>
      <c r="V38" s="84"/>
      <c r="W38" s="85"/>
      <c r="X38" s="85"/>
      <c r="Y38" s="84"/>
      <c r="Z38" s="85"/>
      <c r="AA38" s="85"/>
      <c r="AB38" s="84"/>
      <c r="AC38" s="85"/>
      <c r="AD38" s="85"/>
      <c r="AE38" s="84"/>
      <c r="AF38" s="85"/>
      <c r="AG38" s="85"/>
      <c r="AH38" s="84"/>
      <c r="AI38" s="85"/>
      <c r="AJ38" s="85"/>
      <c r="AK38" s="84"/>
      <c r="AL38" s="85"/>
      <c r="AM38" s="85"/>
      <c r="AN38" s="84"/>
      <c r="AO38" s="85"/>
      <c r="AP38" s="85"/>
      <c r="AQ38" s="84"/>
      <c r="AR38" s="85"/>
      <c r="AS38" s="85"/>
      <c r="AT38" s="84"/>
      <c r="AU38" s="85"/>
      <c r="AV38" s="85"/>
      <c r="AW38" s="84"/>
      <c r="AX38" s="85"/>
      <c r="AY38" s="85"/>
      <c r="AZ38" s="84"/>
      <c r="BA38" s="85"/>
      <c r="BB38" s="85"/>
      <c r="BC38" s="84"/>
      <c r="BD38" s="27"/>
      <c r="BI38" s="90" t="s">
        <v>452</v>
      </c>
      <c r="BJ38" s="90" t="s">
        <v>453</v>
      </c>
    </row>
    <row r="39" spans="1:62" s="90" customFormat="1" ht="12.75">
      <c r="A39" s="83" t="s">
        <v>454</v>
      </c>
      <c r="B39" s="84">
        <v>14</v>
      </c>
      <c r="C39" s="84" t="s">
        <v>455</v>
      </c>
      <c r="D39" s="84" t="s">
        <v>456</v>
      </c>
      <c r="E39" s="85">
        <v>3215800</v>
      </c>
      <c r="F39" s="85"/>
      <c r="G39" s="85"/>
      <c r="H39" s="86">
        <v>44344</v>
      </c>
      <c r="I39" s="85">
        <v>1464238</v>
      </c>
      <c r="J39" s="84"/>
      <c r="K39" s="87" t="str">
        <f t="shared" ca="1" si="0"/>
        <v/>
      </c>
      <c r="L39" s="88"/>
      <c r="M39" s="84" t="str">
        <f t="shared" ca="1" si="1"/>
        <v/>
      </c>
      <c r="N39" s="84"/>
      <c r="O39" s="89" t="str">
        <f t="shared" si="2"/>
        <v/>
      </c>
      <c r="P39" s="89"/>
      <c r="Q39" s="85" t="str">
        <f t="shared" si="3"/>
        <v/>
      </c>
      <c r="R39" s="85" t="str">
        <f t="shared" si="4"/>
        <v/>
      </c>
      <c r="S39" s="84"/>
      <c r="T39" s="85"/>
      <c r="U39" s="85"/>
      <c r="V39" s="84"/>
      <c r="W39" s="85"/>
      <c r="X39" s="85"/>
      <c r="Y39" s="84"/>
      <c r="Z39" s="85"/>
      <c r="AA39" s="85"/>
      <c r="AB39" s="84"/>
      <c r="AC39" s="85"/>
      <c r="AD39" s="85"/>
      <c r="AE39" s="84"/>
      <c r="AF39" s="85"/>
      <c r="AG39" s="85"/>
      <c r="AH39" s="84"/>
      <c r="AI39" s="85"/>
      <c r="AJ39" s="85"/>
      <c r="AK39" s="84"/>
      <c r="AL39" s="85"/>
      <c r="AM39" s="85"/>
      <c r="AN39" s="84"/>
      <c r="AO39" s="85"/>
      <c r="AP39" s="85"/>
      <c r="AQ39" s="84"/>
      <c r="AR39" s="85"/>
      <c r="AS39" s="85"/>
      <c r="AT39" s="84"/>
      <c r="AU39" s="85"/>
      <c r="AV39" s="85"/>
      <c r="AW39" s="84"/>
      <c r="AX39" s="85"/>
      <c r="AY39" s="85"/>
      <c r="AZ39" s="84"/>
      <c r="BA39" s="85"/>
      <c r="BB39" s="85"/>
      <c r="BC39" s="84"/>
      <c r="BD39" s="27"/>
      <c r="BI39" s="90" t="s">
        <v>457</v>
      </c>
      <c r="BJ39" s="90" t="s">
        <v>458</v>
      </c>
    </row>
    <row r="40" spans="1:62" s="90" customFormat="1" ht="12.75">
      <c r="A40" s="83" t="s">
        <v>459</v>
      </c>
      <c r="B40" s="84">
        <v>15</v>
      </c>
      <c r="C40" s="84" t="s">
        <v>460</v>
      </c>
      <c r="D40" s="84" t="s">
        <v>461</v>
      </c>
      <c r="E40" s="85">
        <v>999900</v>
      </c>
      <c r="F40" s="85"/>
      <c r="G40" s="85"/>
      <c r="H40" s="86">
        <v>43707</v>
      </c>
      <c r="I40" s="85">
        <v>3719</v>
      </c>
      <c r="J40" s="84"/>
      <c r="K40" s="87" t="str">
        <f t="shared" ca="1" si="0"/>
        <v/>
      </c>
      <c r="L40" s="88"/>
      <c r="M40" s="84" t="str">
        <f t="shared" ca="1" si="1"/>
        <v/>
      </c>
      <c r="N40" s="84"/>
      <c r="O40" s="89" t="str">
        <f t="shared" si="2"/>
        <v/>
      </c>
      <c r="P40" s="89"/>
      <c r="Q40" s="85" t="str">
        <f t="shared" si="3"/>
        <v/>
      </c>
      <c r="R40" s="85" t="str">
        <f t="shared" si="4"/>
        <v/>
      </c>
      <c r="S40" s="84"/>
      <c r="T40" s="85"/>
      <c r="U40" s="85"/>
      <c r="V40" s="84"/>
      <c r="W40" s="85"/>
      <c r="X40" s="85"/>
      <c r="Y40" s="84"/>
      <c r="Z40" s="85"/>
      <c r="AA40" s="85"/>
      <c r="AB40" s="84"/>
      <c r="AC40" s="85"/>
      <c r="AD40" s="85"/>
      <c r="AE40" s="84"/>
      <c r="AF40" s="85"/>
      <c r="AG40" s="85"/>
      <c r="AH40" s="84"/>
      <c r="AI40" s="85"/>
      <c r="AJ40" s="85"/>
      <c r="AK40" s="84"/>
      <c r="AL40" s="85"/>
      <c r="AM40" s="85"/>
      <c r="AN40" s="84"/>
      <c r="AO40" s="85"/>
      <c r="AP40" s="85"/>
      <c r="AQ40" s="84"/>
      <c r="AR40" s="85"/>
      <c r="AS40" s="85"/>
      <c r="AT40" s="84"/>
      <c r="AU40" s="85"/>
      <c r="AV40" s="85"/>
      <c r="AW40" s="84"/>
      <c r="AX40" s="85"/>
      <c r="AY40" s="85"/>
      <c r="AZ40" s="84"/>
      <c r="BA40" s="85"/>
      <c r="BB40" s="85"/>
      <c r="BC40" s="84"/>
      <c r="BD40" s="27"/>
      <c r="BI40" s="90" t="s">
        <v>462</v>
      </c>
      <c r="BJ40" s="90" t="s">
        <v>463</v>
      </c>
    </row>
    <row r="41" spans="1:62" s="90" customFormat="1" ht="12.75">
      <c r="A41" s="83" t="s">
        <v>464</v>
      </c>
      <c r="B41" s="84">
        <v>16</v>
      </c>
      <c r="C41" s="84" t="s">
        <v>465</v>
      </c>
      <c r="D41" s="84" t="s">
        <v>466</v>
      </c>
      <c r="E41" s="85">
        <v>1542240</v>
      </c>
      <c r="F41" s="85"/>
      <c r="G41" s="85"/>
      <c r="H41" s="86">
        <v>44466</v>
      </c>
      <c r="I41" s="85">
        <v>928036</v>
      </c>
      <c r="J41" s="84"/>
      <c r="K41" s="87" t="str">
        <f t="shared" ca="1" si="0"/>
        <v/>
      </c>
      <c r="L41" s="88"/>
      <c r="M41" s="84" t="str">
        <f t="shared" ca="1" si="1"/>
        <v/>
      </c>
      <c r="N41" s="84"/>
      <c r="O41" s="89" t="str">
        <f t="shared" si="2"/>
        <v/>
      </c>
      <c r="P41" s="89"/>
      <c r="Q41" s="85" t="str">
        <f t="shared" si="3"/>
        <v/>
      </c>
      <c r="R41" s="85" t="str">
        <f t="shared" si="4"/>
        <v/>
      </c>
      <c r="S41" s="84"/>
      <c r="T41" s="85"/>
      <c r="U41" s="85"/>
      <c r="V41" s="84"/>
      <c r="W41" s="85"/>
      <c r="X41" s="85"/>
      <c r="Y41" s="84"/>
      <c r="Z41" s="85"/>
      <c r="AA41" s="85"/>
      <c r="AB41" s="84"/>
      <c r="AC41" s="85"/>
      <c r="AD41" s="85"/>
      <c r="AE41" s="84"/>
      <c r="AF41" s="85"/>
      <c r="AG41" s="85"/>
      <c r="AH41" s="84"/>
      <c r="AI41" s="85"/>
      <c r="AJ41" s="85"/>
      <c r="AK41" s="84"/>
      <c r="AL41" s="85"/>
      <c r="AM41" s="85"/>
      <c r="AN41" s="84"/>
      <c r="AO41" s="85"/>
      <c r="AP41" s="85"/>
      <c r="AQ41" s="84"/>
      <c r="AR41" s="85"/>
      <c r="AS41" s="85"/>
      <c r="AT41" s="84"/>
      <c r="AU41" s="85"/>
      <c r="AV41" s="85"/>
      <c r="AW41" s="84"/>
      <c r="AX41" s="85"/>
      <c r="AY41" s="85"/>
      <c r="AZ41" s="84"/>
      <c r="BA41" s="85"/>
      <c r="BB41" s="85"/>
      <c r="BC41" s="84"/>
      <c r="BD41" s="27"/>
      <c r="BI41" s="90" t="s">
        <v>467</v>
      </c>
      <c r="BJ41" s="90" t="s">
        <v>468</v>
      </c>
    </row>
    <row r="42" spans="1:62" s="90" customFormat="1" ht="12.75">
      <c r="A42" s="83" t="s">
        <v>469</v>
      </c>
      <c r="B42" s="84">
        <v>17</v>
      </c>
      <c r="C42" s="84" t="s">
        <v>470</v>
      </c>
      <c r="D42" s="84" t="s">
        <v>471</v>
      </c>
      <c r="E42" s="85">
        <v>1404000</v>
      </c>
      <c r="F42" s="85"/>
      <c r="G42" s="85"/>
      <c r="H42" s="86">
        <v>43847</v>
      </c>
      <c r="I42" s="85">
        <v>180653</v>
      </c>
      <c r="J42" s="84"/>
      <c r="K42" s="87" t="str">
        <f t="shared" ca="1" si="0"/>
        <v/>
      </c>
      <c r="L42" s="88"/>
      <c r="M42" s="84" t="str">
        <f t="shared" ca="1" si="1"/>
        <v/>
      </c>
      <c r="N42" s="84"/>
      <c r="O42" s="89" t="str">
        <f t="shared" si="2"/>
        <v/>
      </c>
      <c r="P42" s="89"/>
      <c r="Q42" s="85" t="str">
        <f t="shared" si="3"/>
        <v/>
      </c>
      <c r="R42" s="85" t="str">
        <f t="shared" si="4"/>
        <v/>
      </c>
      <c r="S42" s="84"/>
      <c r="T42" s="85"/>
      <c r="U42" s="85"/>
      <c r="V42" s="84"/>
      <c r="W42" s="85"/>
      <c r="X42" s="85"/>
      <c r="Y42" s="84"/>
      <c r="Z42" s="85"/>
      <c r="AA42" s="85"/>
      <c r="AB42" s="84"/>
      <c r="AC42" s="85"/>
      <c r="AD42" s="85"/>
      <c r="AE42" s="84"/>
      <c r="AF42" s="85"/>
      <c r="AG42" s="85"/>
      <c r="AH42" s="84"/>
      <c r="AI42" s="85"/>
      <c r="AJ42" s="85"/>
      <c r="AK42" s="84"/>
      <c r="AL42" s="85"/>
      <c r="AM42" s="85"/>
      <c r="AN42" s="84"/>
      <c r="AO42" s="85"/>
      <c r="AP42" s="85"/>
      <c r="AQ42" s="84"/>
      <c r="AR42" s="85"/>
      <c r="AS42" s="85"/>
      <c r="AT42" s="84"/>
      <c r="AU42" s="85"/>
      <c r="AV42" s="85"/>
      <c r="AW42" s="84"/>
      <c r="AX42" s="85"/>
      <c r="AY42" s="85"/>
      <c r="AZ42" s="84"/>
      <c r="BA42" s="85"/>
      <c r="BB42" s="85"/>
      <c r="BC42" s="84"/>
      <c r="BD42" s="27"/>
      <c r="BI42" s="90" t="s">
        <v>472</v>
      </c>
      <c r="BJ42" s="90" t="s">
        <v>473</v>
      </c>
    </row>
    <row r="43" spans="1:62" s="90" customFormat="1" ht="12.75">
      <c r="A43" s="83" t="s">
        <v>474</v>
      </c>
      <c r="B43" s="84">
        <v>18</v>
      </c>
      <c r="C43" s="84" t="s">
        <v>475</v>
      </c>
      <c r="D43" s="84" t="s">
        <v>476</v>
      </c>
      <c r="E43" s="85">
        <v>1746000</v>
      </c>
      <c r="F43" s="85"/>
      <c r="G43" s="85"/>
      <c r="H43" s="86">
        <v>44466</v>
      </c>
      <c r="I43" s="85">
        <v>1043861</v>
      </c>
      <c r="J43" s="84"/>
      <c r="K43" s="87" t="str">
        <f t="shared" ca="1" si="0"/>
        <v/>
      </c>
      <c r="L43" s="88"/>
      <c r="M43" s="84" t="str">
        <f t="shared" ca="1" si="1"/>
        <v/>
      </c>
      <c r="N43" s="84"/>
      <c r="O43" s="89" t="str">
        <f t="shared" si="2"/>
        <v/>
      </c>
      <c r="P43" s="89"/>
      <c r="Q43" s="85" t="str">
        <f t="shared" si="3"/>
        <v/>
      </c>
      <c r="R43" s="85" t="str">
        <f t="shared" si="4"/>
        <v/>
      </c>
      <c r="S43" s="84"/>
      <c r="T43" s="85"/>
      <c r="U43" s="85"/>
      <c r="V43" s="84"/>
      <c r="W43" s="85"/>
      <c r="X43" s="85"/>
      <c r="Y43" s="84"/>
      <c r="Z43" s="85"/>
      <c r="AA43" s="85"/>
      <c r="AB43" s="84"/>
      <c r="AC43" s="85"/>
      <c r="AD43" s="85"/>
      <c r="AE43" s="84"/>
      <c r="AF43" s="85"/>
      <c r="AG43" s="85"/>
      <c r="AH43" s="84"/>
      <c r="AI43" s="85"/>
      <c r="AJ43" s="85"/>
      <c r="AK43" s="84"/>
      <c r="AL43" s="85"/>
      <c r="AM43" s="85"/>
      <c r="AN43" s="84"/>
      <c r="AO43" s="85"/>
      <c r="AP43" s="85"/>
      <c r="AQ43" s="84"/>
      <c r="AR43" s="85"/>
      <c r="AS43" s="85"/>
      <c r="AT43" s="84"/>
      <c r="AU43" s="85"/>
      <c r="AV43" s="85"/>
      <c r="AW43" s="84"/>
      <c r="AX43" s="85"/>
      <c r="AY43" s="85"/>
      <c r="AZ43" s="84"/>
      <c r="BA43" s="85"/>
      <c r="BB43" s="85"/>
      <c r="BC43" s="84"/>
      <c r="BD43" s="27"/>
      <c r="BI43" s="90" t="s">
        <v>477</v>
      </c>
      <c r="BJ43" s="90" t="s">
        <v>478</v>
      </c>
    </row>
    <row r="44" spans="1:62" s="90" customFormat="1" ht="12.75">
      <c r="A44" s="83" t="s">
        <v>479</v>
      </c>
      <c r="B44" s="84">
        <v>19</v>
      </c>
      <c r="C44" s="84" t="s">
        <v>480</v>
      </c>
      <c r="D44" s="84" t="s">
        <v>481</v>
      </c>
      <c r="E44" s="85">
        <v>1173000</v>
      </c>
      <c r="F44" s="85"/>
      <c r="G44" s="85"/>
      <c r="H44" s="86">
        <v>44005</v>
      </c>
      <c r="I44" s="85">
        <v>148614</v>
      </c>
      <c r="J44" s="84"/>
      <c r="K44" s="87" t="str">
        <f t="shared" ca="1" si="0"/>
        <v/>
      </c>
      <c r="L44" s="88"/>
      <c r="M44" s="84" t="str">
        <f t="shared" ca="1" si="1"/>
        <v/>
      </c>
      <c r="N44" s="84"/>
      <c r="O44" s="89" t="str">
        <f t="shared" si="2"/>
        <v/>
      </c>
      <c r="P44" s="89"/>
      <c r="Q44" s="85" t="str">
        <f t="shared" si="3"/>
        <v/>
      </c>
      <c r="R44" s="85" t="str">
        <f t="shared" si="4"/>
        <v/>
      </c>
      <c r="S44" s="84"/>
      <c r="T44" s="85"/>
      <c r="U44" s="85"/>
      <c r="V44" s="84"/>
      <c r="W44" s="85"/>
      <c r="X44" s="85"/>
      <c r="Y44" s="84"/>
      <c r="Z44" s="85"/>
      <c r="AA44" s="85"/>
      <c r="AB44" s="84"/>
      <c r="AC44" s="85"/>
      <c r="AD44" s="85"/>
      <c r="AE44" s="84"/>
      <c r="AF44" s="85"/>
      <c r="AG44" s="85"/>
      <c r="AH44" s="84"/>
      <c r="AI44" s="85"/>
      <c r="AJ44" s="85"/>
      <c r="AK44" s="84"/>
      <c r="AL44" s="85"/>
      <c r="AM44" s="85"/>
      <c r="AN44" s="84"/>
      <c r="AO44" s="85"/>
      <c r="AP44" s="85"/>
      <c r="AQ44" s="84"/>
      <c r="AR44" s="85"/>
      <c r="AS44" s="85"/>
      <c r="AT44" s="84"/>
      <c r="AU44" s="85"/>
      <c r="AV44" s="85"/>
      <c r="AW44" s="84"/>
      <c r="AX44" s="85"/>
      <c r="AY44" s="85"/>
      <c r="AZ44" s="84"/>
      <c r="BA44" s="85"/>
      <c r="BB44" s="85"/>
      <c r="BC44" s="84"/>
      <c r="BD44" s="27"/>
      <c r="BI44" s="90" t="s">
        <v>482</v>
      </c>
      <c r="BJ44" s="90" t="s">
        <v>483</v>
      </c>
    </row>
    <row r="45" spans="1:62" s="90" customFormat="1" ht="12.75">
      <c r="A45" s="83" t="s">
        <v>484</v>
      </c>
      <c r="B45" s="84">
        <v>20</v>
      </c>
      <c r="C45" s="84" t="s">
        <v>485</v>
      </c>
      <c r="D45" s="84" t="s">
        <v>486</v>
      </c>
      <c r="E45" s="85">
        <v>8926569</v>
      </c>
      <c r="F45" s="85"/>
      <c r="G45" s="85"/>
      <c r="H45" s="86">
        <v>44065</v>
      </c>
      <c r="I45" s="85">
        <v>3609064</v>
      </c>
      <c r="J45" s="84"/>
      <c r="K45" s="87" t="str">
        <f t="shared" ca="1" si="0"/>
        <v/>
      </c>
      <c r="L45" s="88"/>
      <c r="M45" s="84" t="str">
        <f t="shared" ca="1" si="1"/>
        <v/>
      </c>
      <c r="N45" s="84"/>
      <c r="O45" s="89" t="str">
        <f t="shared" si="2"/>
        <v/>
      </c>
      <c r="P45" s="89"/>
      <c r="Q45" s="85" t="str">
        <f t="shared" si="3"/>
        <v/>
      </c>
      <c r="R45" s="85" t="str">
        <f t="shared" si="4"/>
        <v/>
      </c>
      <c r="S45" s="84"/>
      <c r="T45" s="85"/>
      <c r="U45" s="85"/>
      <c r="V45" s="84"/>
      <c r="W45" s="85"/>
      <c r="X45" s="85"/>
      <c r="Y45" s="84"/>
      <c r="Z45" s="85"/>
      <c r="AA45" s="85"/>
      <c r="AB45" s="84"/>
      <c r="AC45" s="85"/>
      <c r="AD45" s="85"/>
      <c r="AE45" s="84"/>
      <c r="AF45" s="85"/>
      <c r="AG45" s="85"/>
      <c r="AH45" s="84"/>
      <c r="AI45" s="85"/>
      <c r="AJ45" s="85"/>
      <c r="AK45" s="84"/>
      <c r="AL45" s="85"/>
      <c r="AM45" s="85"/>
      <c r="AN45" s="84"/>
      <c r="AO45" s="85"/>
      <c r="AP45" s="85"/>
      <c r="AQ45" s="84"/>
      <c r="AR45" s="85"/>
      <c r="AS45" s="85"/>
      <c r="AT45" s="84"/>
      <c r="AU45" s="85"/>
      <c r="AV45" s="85"/>
      <c r="AW45" s="84"/>
      <c r="AX45" s="85"/>
      <c r="AY45" s="85"/>
      <c r="AZ45" s="84"/>
      <c r="BA45" s="85"/>
      <c r="BB45" s="85"/>
      <c r="BC45" s="84"/>
      <c r="BD45" s="27"/>
      <c r="BI45" s="90" t="s">
        <v>487</v>
      </c>
      <c r="BJ45" s="90" t="s">
        <v>488</v>
      </c>
    </row>
    <row r="46" spans="1:62" s="90" customFormat="1" ht="12.75">
      <c r="A46" s="83" t="s">
        <v>489</v>
      </c>
      <c r="B46" s="84">
        <v>21</v>
      </c>
      <c r="C46" s="84" t="s">
        <v>490</v>
      </c>
      <c r="D46" s="84" t="s">
        <v>491</v>
      </c>
      <c r="E46" s="85">
        <v>1962000</v>
      </c>
      <c r="F46" s="85"/>
      <c r="G46" s="85"/>
      <c r="H46" s="86">
        <v>43893</v>
      </c>
      <c r="I46" s="85">
        <v>223188</v>
      </c>
      <c r="J46" s="84"/>
      <c r="K46" s="87" t="str">
        <f t="shared" ca="1" si="0"/>
        <v/>
      </c>
      <c r="L46" s="88"/>
      <c r="M46" s="84" t="str">
        <f t="shared" ca="1" si="1"/>
        <v/>
      </c>
      <c r="N46" s="84"/>
      <c r="O46" s="89" t="str">
        <f t="shared" si="2"/>
        <v/>
      </c>
      <c r="P46" s="89"/>
      <c r="Q46" s="85" t="str">
        <f t="shared" si="3"/>
        <v/>
      </c>
      <c r="R46" s="85" t="str">
        <f t="shared" si="4"/>
        <v/>
      </c>
      <c r="S46" s="84"/>
      <c r="T46" s="85"/>
      <c r="U46" s="85"/>
      <c r="V46" s="84"/>
      <c r="W46" s="85"/>
      <c r="X46" s="85"/>
      <c r="Y46" s="84"/>
      <c r="Z46" s="85"/>
      <c r="AA46" s="85"/>
      <c r="AB46" s="84"/>
      <c r="AC46" s="85"/>
      <c r="AD46" s="85"/>
      <c r="AE46" s="84"/>
      <c r="AF46" s="85"/>
      <c r="AG46" s="85"/>
      <c r="AH46" s="84"/>
      <c r="AI46" s="85"/>
      <c r="AJ46" s="85"/>
      <c r="AK46" s="84"/>
      <c r="AL46" s="85"/>
      <c r="AM46" s="85"/>
      <c r="AN46" s="84"/>
      <c r="AO46" s="85"/>
      <c r="AP46" s="85"/>
      <c r="AQ46" s="84"/>
      <c r="AR46" s="85"/>
      <c r="AS46" s="85"/>
      <c r="AT46" s="84"/>
      <c r="AU46" s="85"/>
      <c r="AV46" s="85"/>
      <c r="AW46" s="84"/>
      <c r="AX46" s="85"/>
      <c r="AY46" s="85"/>
      <c r="AZ46" s="84"/>
      <c r="BA46" s="85"/>
      <c r="BB46" s="85"/>
      <c r="BC46" s="84"/>
      <c r="BD46" s="27"/>
      <c r="BI46" s="90" t="s">
        <v>492</v>
      </c>
      <c r="BJ46" s="90" t="s">
        <v>493</v>
      </c>
    </row>
    <row r="47" spans="1:62" s="90" customFormat="1" ht="12.75">
      <c r="A47" s="83" t="s">
        <v>494</v>
      </c>
      <c r="B47" s="84">
        <v>22</v>
      </c>
      <c r="C47" s="84" t="s">
        <v>495</v>
      </c>
      <c r="D47" s="84" t="s">
        <v>496</v>
      </c>
      <c r="E47" s="85">
        <v>3154576</v>
      </c>
      <c r="F47" s="85"/>
      <c r="G47" s="85"/>
      <c r="H47" s="86">
        <v>44837</v>
      </c>
      <c r="I47" s="85">
        <v>3064505</v>
      </c>
      <c r="J47" s="84"/>
      <c r="K47" s="87" t="str">
        <f t="shared" ca="1" si="0"/>
        <v/>
      </c>
      <c r="L47" s="88"/>
      <c r="M47" s="84" t="str">
        <f t="shared" ca="1" si="1"/>
        <v/>
      </c>
      <c r="N47" s="84"/>
      <c r="O47" s="89" t="str">
        <f t="shared" si="2"/>
        <v/>
      </c>
      <c r="P47" s="89"/>
      <c r="Q47" s="85" t="str">
        <f t="shared" si="3"/>
        <v/>
      </c>
      <c r="R47" s="85" t="str">
        <f t="shared" si="4"/>
        <v/>
      </c>
      <c r="S47" s="84"/>
      <c r="T47" s="85"/>
      <c r="U47" s="85"/>
      <c r="V47" s="84"/>
      <c r="W47" s="85"/>
      <c r="X47" s="85"/>
      <c r="Y47" s="84"/>
      <c r="Z47" s="85"/>
      <c r="AA47" s="85"/>
      <c r="AB47" s="84"/>
      <c r="AC47" s="85"/>
      <c r="AD47" s="85"/>
      <c r="AE47" s="84"/>
      <c r="AF47" s="85"/>
      <c r="AG47" s="85"/>
      <c r="AH47" s="84"/>
      <c r="AI47" s="85"/>
      <c r="AJ47" s="85"/>
      <c r="AK47" s="84"/>
      <c r="AL47" s="85"/>
      <c r="AM47" s="85"/>
      <c r="AN47" s="84"/>
      <c r="AO47" s="85"/>
      <c r="AP47" s="85"/>
      <c r="AQ47" s="84"/>
      <c r="AR47" s="85"/>
      <c r="AS47" s="85"/>
      <c r="AT47" s="84"/>
      <c r="AU47" s="85"/>
      <c r="AV47" s="85"/>
      <c r="AW47" s="84"/>
      <c r="AX47" s="85"/>
      <c r="AY47" s="85"/>
      <c r="AZ47" s="84"/>
      <c r="BA47" s="85"/>
      <c r="BB47" s="85"/>
      <c r="BC47" s="84"/>
      <c r="BD47" s="27"/>
      <c r="BI47" s="90" t="s">
        <v>497</v>
      </c>
      <c r="BJ47" s="90" t="s">
        <v>498</v>
      </c>
    </row>
    <row r="48" spans="1:62" s="90" customFormat="1" ht="12.75">
      <c r="A48" s="83" t="s">
        <v>499</v>
      </c>
      <c r="B48" s="84">
        <v>23</v>
      </c>
      <c r="C48" s="84" t="s">
        <v>500</v>
      </c>
      <c r="D48" s="84" t="s">
        <v>501</v>
      </c>
      <c r="E48" s="85">
        <v>3379000</v>
      </c>
      <c r="F48" s="85"/>
      <c r="G48" s="85"/>
      <c r="H48" s="86">
        <v>44113</v>
      </c>
      <c r="I48" s="85">
        <v>844560</v>
      </c>
      <c r="J48" s="84"/>
      <c r="K48" s="87" t="str">
        <f t="shared" ca="1" si="0"/>
        <v/>
      </c>
      <c r="L48" s="88"/>
      <c r="M48" s="84" t="str">
        <f t="shared" ca="1" si="1"/>
        <v/>
      </c>
      <c r="N48" s="84"/>
      <c r="O48" s="89" t="str">
        <f t="shared" si="2"/>
        <v/>
      </c>
      <c r="P48" s="89"/>
      <c r="Q48" s="85" t="str">
        <f t="shared" si="3"/>
        <v/>
      </c>
      <c r="R48" s="85" t="str">
        <f t="shared" si="4"/>
        <v/>
      </c>
      <c r="S48" s="84"/>
      <c r="T48" s="85"/>
      <c r="U48" s="85"/>
      <c r="V48" s="84"/>
      <c r="W48" s="85"/>
      <c r="X48" s="85"/>
      <c r="Y48" s="84"/>
      <c r="Z48" s="85"/>
      <c r="AA48" s="85"/>
      <c r="AB48" s="84"/>
      <c r="AC48" s="85"/>
      <c r="AD48" s="85"/>
      <c r="AE48" s="84"/>
      <c r="AF48" s="85"/>
      <c r="AG48" s="85"/>
      <c r="AH48" s="84"/>
      <c r="AI48" s="85"/>
      <c r="AJ48" s="85"/>
      <c r="AK48" s="84"/>
      <c r="AL48" s="85"/>
      <c r="AM48" s="85"/>
      <c r="AN48" s="84"/>
      <c r="AO48" s="85"/>
      <c r="AP48" s="85"/>
      <c r="AQ48" s="84"/>
      <c r="AR48" s="85"/>
      <c r="AS48" s="85"/>
      <c r="AT48" s="84"/>
      <c r="AU48" s="85"/>
      <c r="AV48" s="85"/>
      <c r="AW48" s="84"/>
      <c r="AX48" s="85"/>
      <c r="AY48" s="85"/>
      <c r="AZ48" s="84"/>
      <c r="BA48" s="85"/>
      <c r="BB48" s="85"/>
      <c r="BC48" s="84"/>
      <c r="BD48" s="27"/>
      <c r="BI48" s="90" t="s">
        <v>502</v>
      </c>
      <c r="BJ48" s="90" t="s">
        <v>503</v>
      </c>
    </row>
    <row r="49" spans="1:62" s="90" customFormat="1" ht="12.75">
      <c r="A49" s="83" t="s">
        <v>504</v>
      </c>
      <c r="B49" s="84">
        <v>24</v>
      </c>
      <c r="C49" s="84" t="s">
        <v>505</v>
      </c>
      <c r="D49" s="84" t="s">
        <v>506</v>
      </c>
      <c r="E49" s="85">
        <v>1224000</v>
      </c>
      <c r="F49" s="85"/>
      <c r="G49" s="85"/>
      <c r="H49" s="86">
        <v>43707</v>
      </c>
      <c r="I49" s="85">
        <v>4529</v>
      </c>
      <c r="J49" s="84"/>
      <c r="K49" s="87" t="str">
        <f t="shared" ca="1" si="0"/>
        <v/>
      </c>
      <c r="L49" s="88"/>
      <c r="M49" s="84" t="str">
        <f t="shared" ca="1" si="1"/>
        <v/>
      </c>
      <c r="N49" s="84"/>
      <c r="O49" s="89" t="str">
        <f t="shared" si="2"/>
        <v/>
      </c>
      <c r="P49" s="89"/>
      <c r="Q49" s="85" t="str">
        <f t="shared" si="3"/>
        <v/>
      </c>
      <c r="R49" s="85" t="str">
        <f t="shared" si="4"/>
        <v/>
      </c>
      <c r="S49" s="84"/>
      <c r="T49" s="85"/>
      <c r="U49" s="85"/>
      <c r="V49" s="84"/>
      <c r="W49" s="85"/>
      <c r="X49" s="85"/>
      <c r="Y49" s="84"/>
      <c r="Z49" s="85"/>
      <c r="AA49" s="85"/>
      <c r="AB49" s="84"/>
      <c r="AC49" s="85"/>
      <c r="AD49" s="85"/>
      <c r="AE49" s="84"/>
      <c r="AF49" s="85"/>
      <c r="AG49" s="85"/>
      <c r="AH49" s="84"/>
      <c r="AI49" s="85"/>
      <c r="AJ49" s="85"/>
      <c r="AK49" s="84"/>
      <c r="AL49" s="85"/>
      <c r="AM49" s="85"/>
      <c r="AN49" s="84"/>
      <c r="AO49" s="85"/>
      <c r="AP49" s="85"/>
      <c r="AQ49" s="84"/>
      <c r="AR49" s="85"/>
      <c r="AS49" s="85"/>
      <c r="AT49" s="84"/>
      <c r="AU49" s="85"/>
      <c r="AV49" s="85"/>
      <c r="AW49" s="84"/>
      <c r="AX49" s="85"/>
      <c r="AY49" s="85"/>
      <c r="AZ49" s="84"/>
      <c r="BA49" s="85"/>
      <c r="BB49" s="85"/>
      <c r="BC49" s="84"/>
      <c r="BD49" s="27"/>
      <c r="BI49" s="90" t="s">
        <v>507</v>
      </c>
      <c r="BJ49" s="90" t="s">
        <v>508</v>
      </c>
    </row>
    <row r="50" spans="1:62" s="90" customFormat="1" ht="12.75">
      <c r="A50" s="83" t="s">
        <v>509</v>
      </c>
      <c r="B50" s="84">
        <v>25</v>
      </c>
      <c r="C50" s="84" t="s">
        <v>510</v>
      </c>
      <c r="D50" s="84" t="s">
        <v>511</v>
      </c>
      <c r="E50" s="85">
        <v>5200000</v>
      </c>
      <c r="F50" s="85"/>
      <c r="G50" s="85"/>
      <c r="H50" s="86">
        <v>43707</v>
      </c>
      <c r="I50" s="85">
        <v>19328</v>
      </c>
      <c r="J50" s="84"/>
      <c r="K50" s="87" t="str">
        <f t="shared" ca="1" si="0"/>
        <v/>
      </c>
      <c r="L50" s="88"/>
      <c r="M50" s="84" t="str">
        <f t="shared" ca="1" si="1"/>
        <v/>
      </c>
      <c r="N50" s="84"/>
      <c r="O50" s="89" t="str">
        <f t="shared" si="2"/>
        <v/>
      </c>
      <c r="P50" s="89"/>
      <c r="Q50" s="85" t="str">
        <f t="shared" si="3"/>
        <v/>
      </c>
      <c r="R50" s="85" t="str">
        <f t="shared" si="4"/>
        <v/>
      </c>
      <c r="S50" s="84"/>
      <c r="T50" s="85"/>
      <c r="U50" s="85"/>
      <c r="V50" s="84"/>
      <c r="W50" s="85"/>
      <c r="X50" s="85"/>
      <c r="Y50" s="84"/>
      <c r="Z50" s="85"/>
      <c r="AA50" s="85"/>
      <c r="AB50" s="84"/>
      <c r="AC50" s="85"/>
      <c r="AD50" s="85"/>
      <c r="AE50" s="84"/>
      <c r="AF50" s="85"/>
      <c r="AG50" s="85"/>
      <c r="AH50" s="84"/>
      <c r="AI50" s="85"/>
      <c r="AJ50" s="85"/>
      <c r="AK50" s="84"/>
      <c r="AL50" s="85"/>
      <c r="AM50" s="85"/>
      <c r="AN50" s="84"/>
      <c r="AO50" s="85"/>
      <c r="AP50" s="85"/>
      <c r="AQ50" s="84"/>
      <c r="AR50" s="85"/>
      <c r="AS50" s="85"/>
      <c r="AT50" s="84"/>
      <c r="AU50" s="85"/>
      <c r="AV50" s="85"/>
      <c r="AW50" s="84"/>
      <c r="AX50" s="85"/>
      <c r="AY50" s="85"/>
      <c r="AZ50" s="84"/>
      <c r="BA50" s="85"/>
      <c r="BB50" s="85"/>
      <c r="BC50" s="84"/>
      <c r="BD50" s="27"/>
      <c r="BI50" s="90" t="s">
        <v>512</v>
      </c>
      <c r="BJ50" s="90" t="s">
        <v>513</v>
      </c>
    </row>
    <row r="51" spans="1:62" s="90" customFormat="1" ht="12.75">
      <c r="A51" s="83" t="s">
        <v>514</v>
      </c>
      <c r="B51" s="84">
        <v>26</v>
      </c>
      <c r="C51" s="84" t="s">
        <v>515</v>
      </c>
      <c r="D51" s="84" t="s">
        <v>516</v>
      </c>
      <c r="E51" s="85">
        <v>1407000</v>
      </c>
      <c r="F51" s="85"/>
      <c r="G51" s="85"/>
      <c r="H51" s="86">
        <v>43860</v>
      </c>
      <c r="I51" s="85">
        <v>236815</v>
      </c>
      <c r="J51" s="84"/>
      <c r="K51" s="87" t="str">
        <f t="shared" ca="1" si="0"/>
        <v/>
      </c>
      <c r="L51" s="88"/>
      <c r="M51" s="84" t="str">
        <f t="shared" ca="1" si="1"/>
        <v/>
      </c>
      <c r="N51" s="84"/>
      <c r="O51" s="89" t="str">
        <f t="shared" si="2"/>
        <v/>
      </c>
      <c r="P51" s="89"/>
      <c r="Q51" s="85" t="str">
        <f t="shared" si="3"/>
        <v/>
      </c>
      <c r="R51" s="85" t="str">
        <f t="shared" si="4"/>
        <v/>
      </c>
      <c r="S51" s="84"/>
      <c r="T51" s="85"/>
      <c r="U51" s="85"/>
      <c r="V51" s="84"/>
      <c r="W51" s="85"/>
      <c r="X51" s="85"/>
      <c r="Y51" s="84"/>
      <c r="Z51" s="85"/>
      <c r="AA51" s="85"/>
      <c r="AB51" s="84"/>
      <c r="AC51" s="85"/>
      <c r="AD51" s="85"/>
      <c r="AE51" s="84"/>
      <c r="AF51" s="85"/>
      <c r="AG51" s="85"/>
      <c r="AH51" s="84"/>
      <c r="AI51" s="85"/>
      <c r="AJ51" s="85"/>
      <c r="AK51" s="84"/>
      <c r="AL51" s="85"/>
      <c r="AM51" s="85"/>
      <c r="AN51" s="84"/>
      <c r="AO51" s="85"/>
      <c r="AP51" s="85"/>
      <c r="AQ51" s="84"/>
      <c r="AR51" s="85"/>
      <c r="AS51" s="85"/>
      <c r="AT51" s="84"/>
      <c r="AU51" s="85"/>
      <c r="AV51" s="85"/>
      <c r="AW51" s="84"/>
      <c r="AX51" s="85"/>
      <c r="AY51" s="85"/>
      <c r="AZ51" s="84"/>
      <c r="BA51" s="85"/>
      <c r="BB51" s="85"/>
      <c r="BC51" s="84"/>
      <c r="BD51" s="27"/>
      <c r="BI51" s="90" t="s">
        <v>517</v>
      </c>
      <c r="BJ51" s="90" t="s">
        <v>518</v>
      </c>
    </row>
    <row r="52" spans="1:62" s="90" customFormat="1" ht="12.75">
      <c r="A52" s="83" t="s">
        <v>519</v>
      </c>
      <c r="B52" s="84">
        <v>27</v>
      </c>
      <c r="C52" s="84" t="s">
        <v>520</v>
      </c>
      <c r="D52" s="84" t="s">
        <v>521</v>
      </c>
      <c r="E52" s="85">
        <v>1636800</v>
      </c>
      <c r="F52" s="85"/>
      <c r="G52" s="85"/>
      <c r="H52" s="86">
        <v>43707</v>
      </c>
      <c r="I52" s="85">
        <v>6075</v>
      </c>
      <c r="J52" s="84"/>
      <c r="K52" s="87" t="str">
        <f t="shared" ca="1" si="0"/>
        <v/>
      </c>
      <c r="L52" s="88"/>
      <c r="M52" s="84" t="str">
        <f t="shared" ca="1" si="1"/>
        <v/>
      </c>
      <c r="N52" s="84"/>
      <c r="O52" s="89" t="str">
        <f t="shared" si="2"/>
        <v/>
      </c>
      <c r="P52" s="89"/>
      <c r="Q52" s="85" t="str">
        <f t="shared" si="3"/>
        <v/>
      </c>
      <c r="R52" s="85" t="str">
        <f t="shared" si="4"/>
        <v/>
      </c>
      <c r="S52" s="84"/>
      <c r="T52" s="85"/>
      <c r="U52" s="85"/>
      <c r="V52" s="84"/>
      <c r="W52" s="85"/>
      <c r="X52" s="85"/>
      <c r="Y52" s="84"/>
      <c r="Z52" s="85"/>
      <c r="AA52" s="85"/>
      <c r="AB52" s="84"/>
      <c r="AC52" s="85"/>
      <c r="AD52" s="85"/>
      <c r="AE52" s="84"/>
      <c r="AF52" s="85"/>
      <c r="AG52" s="85"/>
      <c r="AH52" s="84"/>
      <c r="AI52" s="85"/>
      <c r="AJ52" s="85"/>
      <c r="AK52" s="84"/>
      <c r="AL52" s="85"/>
      <c r="AM52" s="85"/>
      <c r="AN52" s="84"/>
      <c r="AO52" s="85"/>
      <c r="AP52" s="85"/>
      <c r="AQ52" s="84"/>
      <c r="AR52" s="85"/>
      <c r="AS52" s="85"/>
      <c r="AT52" s="84"/>
      <c r="AU52" s="85"/>
      <c r="AV52" s="85"/>
      <c r="AW52" s="84"/>
      <c r="AX52" s="85"/>
      <c r="AY52" s="85"/>
      <c r="AZ52" s="84"/>
      <c r="BA52" s="85"/>
      <c r="BB52" s="85"/>
      <c r="BC52" s="84"/>
      <c r="BD52" s="27"/>
      <c r="BI52" s="90" t="s">
        <v>522</v>
      </c>
      <c r="BJ52" s="90" t="s">
        <v>523</v>
      </c>
    </row>
    <row r="53" spans="1:62" s="90" customFormat="1" ht="12.75">
      <c r="A53" s="83" t="s">
        <v>524</v>
      </c>
      <c r="B53" s="84">
        <v>28</v>
      </c>
      <c r="C53" s="84" t="s">
        <v>525</v>
      </c>
      <c r="D53" s="84" t="s">
        <v>526</v>
      </c>
      <c r="E53" s="85">
        <v>369000</v>
      </c>
      <c r="F53" s="85"/>
      <c r="G53" s="85">
        <v>11945</v>
      </c>
      <c r="H53" s="86">
        <v>44113</v>
      </c>
      <c r="I53" s="85">
        <v>92332</v>
      </c>
      <c r="J53" s="84"/>
      <c r="K53" s="87" t="str">
        <f t="shared" ca="1" si="0"/>
        <v/>
      </c>
      <c r="L53" s="88"/>
      <c r="M53" s="84" t="str">
        <f t="shared" ca="1" si="1"/>
        <v/>
      </c>
      <c r="N53" s="84"/>
      <c r="O53" s="89">
        <f t="shared" si="2"/>
        <v>0</v>
      </c>
      <c r="P53" s="89"/>
      <c r="Q53" s="85">
        <f t="shared" si="3"/>
        <v>0</v>
      </c>
      <c r="R53" s="85" t="str">
        <f t="shared" si="4"/>
        <v/>
      </c>
      <c r="S53" s="84"/>
      <c r="T53" s="85"/>
      <c r="U53" s="85"/>
      <c r="V53" s="84"/>
      <c r="W53" s="85"/>
      <c r="X53" s="85"/>
      <c r="Y53" s="84"/>
      <c r="Z53" s="85"/>
      <c r="AA53" s="85"/>
      <c r="AB53" s="84"/>
      <c r="AC53" s="85"/>
      <c r="AD53" s="85"/>
      <c r="AE53" s="84"/>
      <c r="AF53" s="85"/>
      <c r="AG53" s="85"/>
      <c r="AH53" s="84"/>
      <c r="AI53" s="85"/>
      <c r="AJ53" s="85"/>
      <c r="AK53" s="84"/>
      <c r="AL53" s="85"/>
      <c r="AM53" s="85"/>
      <c r="AN53" s="84"/>
      <c r="AO53" s="85"/>
      <c r="AP53" s="85"/>
      <c r="AQ53" s="84"/>
      <c r="AR53" s="85"/>
      <c r="AS53" s="85"/>
      <c r="AT53" s="84"/>
      <c r="AU53" s="85"/>
      <c r="AV53" s="85"/>
      <c r="AW53" s="84"/>
      <c r="AX53" s="85"/>
      <c r="AY53" s="85"/>
      <c r="AZ53" s="84"/>
      <c r="BA53" s="85"/>
      <c r="BB53" s="85"/>
      <c r="BC53" s="84"/>
      <c r="BD53" s="27"/>
      <c r="BI53" s="90" t="s">
        <v>527</v>
      </c>
      <c r="BJ53" s="90" t="s">
        <v>528</v>
      </c>
    </row>
    <row r="54" spans="1:62" s="90" customFormat="1" ht="12.75">
      <c r="A54" s="83" t="s">
        <v>529</v>
      </c>
      <c r="B54" s="84">
        <v>29</v>
      </c>
      <c r="C54" s="84" t="s">
        <v>530</v>
      </c>
      <c r="D54" s="84" t="s">
        <v>531</v>
      </c>
      <c r="E54" s="85">
        <v>1756080</v>
      </c>
      <c r="F54" s="85"/>
      <c r="G54" s="85"/>
      <c r="H54" s="86">
        <v>44466</v>
      </c>
      <c r="I54" s="85">
        <v>1056984</v>
      </c>
      <c r="J54" s="84"/>
      <c r="K54" s="87" t="str">
        <f t="shared" ca="1" si="0"/>
        <v/>
      </c>
      <c r="L54" s="88"/>
      <c r="M54" s="84" t="str">
        <f t="shared" ca="1" si="1"/>
        <v/>
      </c>
      <c r="N54" s="84"/>
      <c r="O54" s="89" t="str">
        <f t="shared" si="2"/>
        <v/>
      </c>
      <c r="P54" s="89"/>
      <c r="Q54" s="85" t="str">
        <f t="shared" si="3"/>
        <v/>
      </c>
      <c r="R54" s="85" t="str">
        <f t="shared" si="4"/>
        <v/>
      </c>
      <c r="S54" s="84"/>
      <c r="T54" s="85"/>
      <c r="U54" s="85"/>
      <c r="V54" s="84"/>
      <c r="W54" s="85"/>
      <c r="X54" s="85"/>
      <c r="Y54" s="84"/>
      <c r="Z54" s="85"/>
      <c r="AA54" s="85"/>
      <c r="AB54" s="84"/>
      <c r="AC54" s="85"/>
      <c r="AD54" s="85"/>
      <c r="AE54" s="84"/>
      <c r="AF54" s="85"/>
      <c r="AG54" s="85"/>
      <c r="AH54" s="84"/>
      <c r="AI54" s="85"/>
      <c r="AJ54" s="85"/>
      <c r="AK54" s="84"/>
      <c r="AL54" s="85"/>
      <c r="AM54" s="85"/>
      <c r="AN54" s="84"/>
      <c r="AO54" s="85"/>
      <c r="AP54" s="85"/>
      <c r="AQ54" s="84"/>
      <c r="AR54" s="85"/>
      <c r="AS54" s="85"/>
      <c r="AT54" s="84"/>
      <c r="AU54" s="85"/>
      <c r="AV54" s="85"/>
      <c r="AW54" s="84"/>
      <c r="AX54" s="85"/>
      <c r="AY54" s="85"/>
      <c r="AZ54" s="84"/>
      <c r="BA54" s="85"/>
      <c r="BB54" s="85"/>
      <c r="BC54" s="84" t="s">
        <v>532</v>
      </c>
      <c r="BD54" s="27"/>
      <c r="BI54" s="90" t="s">
        <v>533</v>
      </c>
      <c r="BJ54" s="90" t="s">
        <v>534</v>
      </c>
    </row>
    <row r="55" spans="1:62" s="90" customFormat="1" ht="12.75">
      <c r="A55" s="83" t="s">
        <v>535</v>
      </c>
      <c r="B55" s="84">
        <v>30</v>
      </c>
      <c r="C55" s="84" t="s">
        <v>536</v>
      </c>
      <c r="D55" s="84" t="s">
        <v>537</v>
      </c>
      <c r="E55" s="85">
        <v>2272000</v>
      </c>
      <c r="F55" s="85"/>
      <c r="G55" s="85"/>
      <c r="H55" s="86">
        <v>44224</v>
      </c>
      <c r="I55" s="85">
        <v>768262</v>
      </c>
      <c r="J55" s="84"/>
      <c r="K55" s="87" t="str">
        <f t="shared" ca="1" si="0"/>
        <v/>
      </c>
      <c r="L55" s="88"/>
      <c r="M55" s="84" t="str">
        <f t="shared" ca="1" si="1"/>
        <v/>
      </c>
      <c r="N55" s="84"/>
      <c r="O55" s="89" t="str">
        <f t="shared" si="2"/>
        <v/>
      </c>
      <c r="P55" s="89"/>
      <c r="Q55" s="85" t="str">
        <f t="shared" si="3"/>
        <v/>
      </c>
      <c r="R55" s="85" t="str">
        <f t="shared" si="4"/>
        <v/>
      </c>
      <c r="S55" s="84"/>
      <c r="T55" s="85"/>
      <c r="U55" s="85"/>
      <c r="V55" s="84"/>
      <c r="W55" s="85"/>
      <c r="X55" s="85"/>
      <c r="Y55" s="84"/>
      <c r="Z55" s="85"/>
      <c r="AA55" s="85"/>
      <c r="AB55" s="84"/>
      <c r="AC55" s="85"/>
      <c r="AD55" s="85"/>
      <c r="AE55" s="84"/>
      <c r="AF55" s="85"/>
      <c r="AG55" s="85"/>
      <c r="AH55" s="84"/>
      <c r="AI55" s="85"/>
      <c r="AJ55" s="85"/>
      <c r="AK55" s="84"/>
      <c r="AL55" s="85"/>
      <c r="AM55" s="85"/>
      <c r="AN55" s="84"/>
      <c r="AO55" s="85"/>
      <c r="AP55" s="85"/>
      <c r="AQ55" s="84"/>
      <c r="AR55" s="85"/>
      <c r="AS55" s="85"/>
      <c r="AT55" s="84"/>
      <c r="AU55" s="85"/>
      <c r="AV55" s="85"/>
      <c r="AW55" s="84"/>
      <c r="AX55" s="85"/>
      <c r="AY55" s="85"/>
      <c r="AZ55" s="84"/>
      <c r="BA55" s="85"/>
      <c r="BB55" s="85"/>
      <c r="BC55" s="84"/>
      <c r="BD55" s="27"/>
      <c r="BI55" s="90" t="s">
        <v>538</v>
      </c>
      <c r="BJ55" s="90" t="s">
        <v>539</v>
      </c>
    </row>
    <row r="56" spans="1:62" s="90" customFormat="1" ht="12.75">
      <c r="A56" s="83" t="s">
        <v>540</v>
      </c>
      <c r="B56" s="84">
        <v>31</v>
      </c>
      <c r="C56" s="84" t="s">
        <v>541</v>
      </c>
      <c r="D56" s="84" t="s">
        <v>542</v>
      </c>
      <c r="E56" s="85">
        <v>3330000</v>
      </c>
      <c r="F56" s="85"/>
      <c r="G56" s="85"/>
      <c r="H56" s="86">
        <v>44354</v>
      </c>
      <c r="I56" s="85">
        <v>1615477</v>
      </c>
      <c r="J56" s="84"/>
      <c r="K56" s="87" t="str">
        <f t="shared" ca="1" si="0"/>
        <v/>
      </c>
      <c r="L56" s="88"/>
      <c r="M56" s="84" t="str">
        <f t="shared" ca="1" si="1"/>
        <v/>
      </c>
      <c r="N56" s="84"/>
      <c r="O56" s="89" t="str">
        <f t="shared" si="2"/>
        <v/>
      </c>
      <c r="P56" s="89"/>
      <c r="Q56" s="85" t="str">
        <f t="shared" si="3"/>
        <v/>
      </c>
      <c r="R56" s="85" t="str">
        <f t="shared" si="4"/>
        <v/>
      </c>
      <c r="S56" s="84"/>
      <c r="T56" s="85"/>
      <c r="U56" s="85"/>
      <c r="V56" s="84"/>
      <c r="W56" s="85"/>
      <c r="X56" s="85"/>
      <c r="Y56" s="84"/>
      <c r="Z56" s="85"/>
      <c r="AA56" s="85"/>
      <c r="AB56" s="84"/>
      <c r="AC56" s="85"/>
      <c r="AD56" s="85"/>
      <c r="AE56" s="84"/>
      <c r="AF56" s="85"/>
      <c r="AG56" s="85"/>
      <c r="AH56" s="84"/>
      <c r="AI56" s="85"/>
      <c r="AJ56" s="85"/>
      <c r="AK56" s="84"/>
      <c r="AL56" s="85"/>
      <c r="AM56" s="85"/>
      <c r="AN56" s="84"/>
      <c r="AO56" s="85"/>
      <c r="AP56" s="85"/>
      <c r="AQ56" s="84"/>
      <c r="AR56" s="85"/>
      <c r="AS56" s="85"/>
      <c r="AT56" s="84"/>
      <c r="AU56" s="85"/>
      <c r="AV56" s="85"/>
      <c r="AW56" s="84"/>
      <c r="AX56" s="85"/>
      <c r="AY56" s="85"/>
      <c r="AZ56" s="84"/>
      <c r="BA56" s="85"/>
      <c r="BB56" s="85"/>
      <c r="BC56" s="84" t="s">
        <v>543</v>
      </c>
      <c r="BD56" s="27"/>
      <c r="BI56" s="90" t="s">
        <v>544</v>
      </c>
      <c r="BJ56" s="90" t="s">
        <v>545</v>
      </c>
    </row>
    <row r="57" spans="1:62" s="90" customFormat="1" ht="12.75">
      <c r="A57" s="83" t="s">
        <v>546</v>
      </c>
      <c r="B57" s="84">
        <v>32</v>
      </c>
      <c r="C57" s="84" t="s">
        <v>547</v>
      </c>
      <c r="D57" s="84" t="s">
        <v>548</v>
      </c>
      <c r="E57" s="85">
        <v>3505000</v>
      </c>
      <c r="F57" s="85"/>
      <c r="G57" s="85"/>
      <c r="H57" s="86">
        <v>44110</v>
      </c>
      <c r="I57" s="85">
        <v>874696</v>
      </c>
      <c r="J57" s="84"/>
      <c r="K57" s="87" t="str">
        <f t="shared" ca="1" si="0"/>
        <v/>
      </c>
      <c r="L57" s="88"/>
      <c r="M57" s="84" t="str">
        <f t="shared" ca="1" si="1"/>
        <v/>
      </c>
      <c r="N57" s="84"/>
      <c r="O57" s="89" t="str">
        <f t="shared" si="2"/>
        <v/>
      </c>
      <c r="P57" s="89"/>
      <c r="Q57" s="85" t="str">
        <f t="shared" si="3"/>
        <v/>
      </c>
      <c r="R57" s="85" t="str">
        <f t="shared" si="4"/>
        <v/>
      </c>
      <c r="S57" s="84"/>
      <c r="T57" s="85"/>
      <c r="U57" s="85"/>
      <c r="V57" s="84"/>
      <c r="W57" s="85"/>
      <c r="X57" s="85"/>
      <c r="Y57" s="84"/>
      <c r="Z57" s="85"/>
      <c r="AA57" s="85"/>
      <c r="AB57" s="84"/>
      <c r="AC57" s="85"/>
      <c r="AD57" s="85"/>
      <c r="AE57" s="84"/>
      <c r="AF57" s="85"/>
      <c r="AG57" s="85"/>
      <c r="AH57" s="84"/>
      <c r="AI57" s="85"/>
      <c r="AJ57" s="85"/>
      <c r="AK57" s="84"/>
      <c r="AL57" s="85"/>
      <c r="AM57" s="85"/>
      <c r="AN57" s="84"/>
      <c r="AO57" s="85"/>
      <c r="AP57" s="85"/>
      <c r="AQ57" s="84"/>
      <c r="AR57" s="85"/>
      <c r="AS57" s="85"/>
      <c r="AT57" s="84"/>
      <c r="AU57" s="85"/>
      <c r="AV57" s="85"/>
      <c r="AW57" s="84"/>
      <c r="AX57" s="85"/>
      <c r="AY57" s="85"/>
      <c r="AZ57" s="84"/>
      <c r="BA57" s="85"/>
      <c r="BB57" s="85"/>
      <c r="BC57" s="84" t="s">
        <v>549</v>
      </c>
      <c r="BD57" s="27"/>
      <c r="BI57" s="90" t="s">
        <v>550</v>
      </c>
      <c r="BJ57" s="90" t="s">
        <v>551</v>
      </c>
    </row>
    <row r="58" spans="1:62" s="90" customFormat="1" ht="12.75">
      <c r="A58" s="83" t="s">
        <v>552</v>
      </c>
      <c r="B58" s="84">
        <v>33</v>
      </c>
      <c r="C58" s="84" t="s">
        <v>553</v>
      </c>
      <c r="D58" s="84" t="s">
        <v>554</v>
      </c>
      <c r="E58" s="85">
        <v>369000</v>
      </c>
      <c r="F58" s="85"/>
      <c r="G58" s="85"/>
      <c r="H58" s="86">
        <v>44113</v>
      </c>
      <c r="I58" s="85">
        <v>92332</v>
      </c>
      <c r="J58" s="84"/>
      <c r="K58" s="87" t="str">
        <f t="shared" ca="1" si="0"/>
        <v/>
      </c>
      <c r="L58" s="88"/>
      <c r="M58" s="84" t="str">
        <f t="shared" ca="1" si="1"/>
        <v/>
      </c>
      <c r="N58" s="84"/>
      <c r="O58" s="89" t="str">
        <f t="shared" si="2"/>
        <v/>
      </c>
      <c r="P58" s="89"/>
      <c r="Q58" s="85" t="str">
        <f t="shared" si="3"/>
        <v/>
      </c>
      <c r="R58" s="85" t="str">
        <f t="shared" si="4"/>
        <v/>
      </c>
      <c r="S58" s="84"/>
      <c r="T58" s="85"/>
      <c r="U58" s="85"/>
      <c r="V58" s="84"/>
      <c r="W58" s="85"/>
      <c r="X58" s="85"/>
      <c r="Y58" s="84"/>
      <c r="Z58" s="85"/>
      <c r="AA58" s="85"/>
      <c r="AB58" s="84"/>
      <c r="AC58" s="85"/>
      <c r="AD58" s="85"/>
      <c r="AE58" s="84"/>
      <c r="AF58" s="85"/>
      <c r="AG58" s="85"/>
      <c r="AH58" s="84"/>
      <c r="AI58" s="85"/>
      <c r="AJ58" s="85"/>
      <c r="AK58" s="84"/>
      <c r="AL58" s="85"/>
      <c r="AM58" s="85"/>
      <c r="AN58" s="84"/>
      <c r="AO58" s="85"/>
      <c r="AP58" s="85"/>
      <c r="AQ58" s="84"/>
      <c r="AR58" s="85"/>
      <c r="AS58" s="85"/>
      <c r="AT58" s="84"/>
      <c r="AU58" s="85"/>
      <c r="AV58" s="85"/>
      <c r="AW58" s="84"/>
      <c r="AX58" s="85"/>
      <c r="AY58" s="85"/>
      <c r="AZ58" s="84"/>
      <c r="BA58" s="85"/>
      <c r="BB58" s="85"/>
      <c r="BC58" s="84"/>
      <c r="BD58" s="27"/>
      <c r="BI58" s="90" t="s">
        <v>555</v>
      </c>
      <c r="BJ58" s="90" t="s">
        <v>556</v>
      </c>
    </row>
    <row r="59" spans="1:62" s="90" customFormat="1" ht="12.75">
      <c r="A59" s="83" t="s">
        <v>557</v>
      </c>
      <c r="B59" s="84">
        <v>34</v>
      </c>
      <c r="C59" s="84" t="s">
        <v>558</v>
      </c>
      <c r="D59" s="84" t="s">
        <v>559</v>
      </c>
      <c r="E59" s="85">
        <v>728000</v>
      </c>
      <c r="F59" s="85"/>
      <c r="G59" s="85"/>
      <c r="H59" s="86">
        <v>43707</v>
      </c>
      <c r="I59" s="85">
        <v>2842</v>
      </c>
      <c r="J59" s="84"/>
      <c r="K59" s="87" t="str">
        <f t="shared" ca="1" si="0"/>
        <v/>
      </c>
      <c r="L59" s="88"/>
      <c r="M59" s="84" t="str">
        <f t="shared" ca="1" si="1"/>
        <v/>
      </c>
      <c r="N59" s="84"/>
      <c r="O59" s="89" t="str">
        <f t="shared" si="2"/>
        <v/>
      </c>
      <c r="P59" s="89"/>
      <c r="Q59" s="85" t="str">
        <f t="shared" si="3"/>
        <v/>
      </c>
      <c r="R59" s="85" t="str">
        <f t="shared" si="4"/>
        <v/>
      </c>
      <c r="S59" s="84"/>
      <c r="T59" s="85"/>
      <c r="U59" s="85"/>
      <c r="V59" s="84"/>
      <c r="W59" s="85"/>
      <c r="X59" s="85"/>
      <c r="Y59" s="84"/>
      <c r="Z59" s="85"/>
      <c r="AA59" s="85"/>
      <c r="AB59" s="84"/>
      <c r="AC59" s="85"/>
      <c r="AD59" s="85"/>
      <c r="AE59" s="84"/>
      <c r="AF59" s="85"/>
      <c r="AG59" s="85"/>
      <c r="AH59" s="84"/>
      <c r="AI59" s="85"/>
      <c r="AJ59" s="85"/>
      <c r="AK59" s="84"/>
      <c r="AL59" s="85"/>
      <c r="AM59" s="85"/>
      <c r="AN59" s="84"/>
      <c r="AO59" s="85"/>
      <c r="AP59" s="85"/>
      <c r="AQ59" s="84"/>
      <c r="AR59" s="85"/>
      <c r="AS59" s="85"/>
      <c r="AT59" s="84"/>
      <c r="AU59" s="85"/>
      <c r="AV59" s="85"/>
      <c r="AW59" s="84"/>
      <c r="AX59" s="85"/>
      <c r="AY59" s="85"/>
      <c r="AZ59" s="84"/>
      <c r="BA59" s="85"/>
      <c r="BB59" s="85"/>
      <c r="BC59" s="84" t="s">
        <v>560</v>
      </c>
      <c r="BD59" s="27"/>
      <c r="BI59" s="90" t="s">
        <v>561</v>
      </c>
      <c r="BJ59" s="90" t="s">
        <v>562</v>
      </c>
    </row>
    <row r="60" spans="1:62" s="90" customFormat="1" ht="12.75">
      <c r="A60" s="83" t="s">
        <v>563</v>
      </c>
      <c r="B60" s="84">
        <v>35</v>
      </c>
      <c r="C60" s="84" t="s">
        <v>564</v>
      </c>
      <c r="D60" s="84" t="s">
        <v>565</v>
      </c>
      <c r="E60" s="85">
        <v>3485099</v>
      </c>
      <c r="F60" s="85"/>
      <c r="G60" s="85"/>
      <c r="H60" s="86">
        <v>44875</v>
      </c>
      <c r="I60" s="85">
        <v>3389470</v>
      </c>
      <c r="J60" s="84"/>
      <c r="K60" s="87" t="str">
        <f t="shared" ca="1" si="0"/>
        <v/>
      </c>
      <c r="L60" s="88"/>
      <c r="M60" s="84" t="str">
        <f t="shared" ca="1" si="1"/>
        <v/>
      </c>
      <c r="N60" s="84"/>
      <c r="O60" s="89" t="str">
        <f t="shared" si="2"/>
        <v/>
      </c>
      <c r="P60" s="89"/>
      <c r="Q60" s="85" t="str">
        <f t="shared" si="3"/>
        <v/>
      </c>
      <c r="R60" s="85" t="str">
        <f t="shared" si="4"/>
        <v/>
      </c>
      <c r="S60" s="84"/>
      <c r="T60" s="85"/>
      <c r="U60" s="85"/>
      <c r="V60" s="84"/>
      <c r="W60" s="85"/>
      <c r="X60" s="85"/>
      <c r="Y60" s="84"/>
      <c r="Z60" s="85"/>
      <c r="AA60" s="85"/>
      <c r="AB60" s="84"/>
      <c r="AC60" s="85"/>
      <c r="AD60" s="85"/>
      <c r="AE60" s="84"/>
      <c r="AF60" s="85"/>
      <c r="AG60" s="85"/>
      <c r="AH60" s="84"/>
      <c r="AI60" s="85"/>
      <c r="AJ60" s="85"/>
      <c r="AK60" s="84"/>
      <c r="AL60" s="85"/>
      <c r="AM60" s="85"/>
      <c r="AN60" s="84"/>
      <c r="AO60" s="85"/>
      <c r="AP60" s="85"/>
      <c r="AQ60" s="84"/>
      <c r="AR60" s="85"/>
      <c r="AS60" s="85"/>
      <c r="AT60" s="84"/>
      <c r="AU60" s="85"/>
      <c r="AV60" s="85"/>
      <c r="AW60" s="84"/>
      <c r="AX60" s="85"/>
      <c r="AY60" s="85"/>
      <c r="AZ60" s="84"/>
      <c r="BA60" s="85"/>
      <c r="BB60" s="85"/>
      <c r="BC60" s="84"/>
      <c r="BD60" s="27"/>
      <c r="BI60" s="90" t="s">
        <v>566</v>
      </c>
      <c r="BJ60" s="90" t="s">
        <v>567</v>
      </c>
    </row>
    <row r="61" spans="1:62" s="90" customFormat="1" ht="12.75">
      <c r="A61" s="83" t="s">
        <v>568</v>
      </c>
      <c r="B61" s="84">
        <v>36</v>
      </c>
      <c r="C61" s="84" t="s">
        <v>569</v>
      </c>
      <c r="D61" s="84" t="s">
        <v>570</v>
      </c>
      <c r="E61" s="85">
        <v>832500</v>
      </c>
      <c r="F61" s="85"/>
      <c r="G61" s="85"/>
      <c r="H61" s="86">
        <v>44344</v>
      </c>
      <c r="I61" s="85">
        <v>379063</v>
      </c>
      <c r="J61" s="84"/>
      <c r="K61" s="87" t="str">
        <f t="shared" ca="1" si="0"/>
        <v/>
      </c>
      <c r="L61" s="88"/>
      <c r="M61" s="84" t="str">
        <f t="shared" ca="1" si="1"/>
        <v/>
      </c>
      <c r="N61" s="84"/>
      <c r="O61" s="89" t="str">
        <f t="shared" si="2"/>
        <v/>
      </c>
      <c r="P61" s="89"/>
      <c r="Q61" s="85" t="str">
        <f t="shared" si="3"/>
        <v/>
      </c>
      <c r="R61" s="85" t="str">
        <f t="shared" si="4"/>
        <v/>
      </c>
      <c r="S61" s="84"/>
      <c r="T61" s="85"/>
      <c r="U61" s="85"/>
      <c r="V61" s="84"/>
      <c r="W61" s="85"/>
      <c r="X61" s="85"/>
      <c r="Y61" s="84"/>
      <c r="Z61" s="85"/>
      <c r="AA61" s="85"/>
      <c r="AB61" s="84"/>
      <c r="AC61" s="85"/>
      <c r="AD61" s="85"/>
      <c r="AE61" s="84"/>
      <c r="AF61" s="85"/>
      <c r="AG61" s="85"/>
      <c r="AH61" s="84"/>
      <c r="AI61" s="85"/>
      <c r="AJ61" s="85"/>
      <c r="AK61" s="84"/>
      <c r="AL61" s="85"/>
      <c r="AM61" s="85"/>
      <c r="AN61" s="84"/>
      <c r="AO61" s="85"/>
      <c r="AP61" s="85"/>
      <c r="AQ61" s="84"/>
      <c r="AR61" s="85"/>
      <c r="AS61" s="85"/>
      <c r="AT61" s="84"/>
      <c r="AU61" s="85"/>
      <c r="AV61" s="85"/>
      <c r="AW61" s="84"/>
      <c r="AX61" s="85"/>
      <c r="AY61" s="85"/>
      <c r="AZ61" s="84"/>
      <c r="BA61" s="85"/>
      <c r="BB61" s="85"/>
      <c r="BC61" s="84"/>
      <c r="BD61" s="27"/>
      <c r="BI61" s="90" t="s">
        <v>571</v>
      </c>
      <c r="BJ61" s="90" t="s">
        <v>572</v>
      </c>
    </row>
    <row r="62" spans="1:62" s="90" customFormat="1" ht="12.75">
      <c r="A62" s="83" t="s">
        <v>573</v>
      </c>
      <c r="B62" s="84">
        <v>37</v>
      </c>
      <c r="C62" s="84" t="s">
        <v>574</v>
      </c>
      <c r="D62" s="84" t="s">
        <v>575</v>
      </c>
      <c r="E62" s="85">
        <v>1196000</v>
      </c>
      <c r="F62" s="85"/>
      <c r="G62" s="85"/>
      <c r="H62" s="86">
        <v>44466</v>
      </c>
      <c r="I62" s="85">
        <v>719677</v>
      </c>
      <c r="J62" s="84"/>
      <c r="K62" s="87" t="str">
        <f t="shared" ca="1" si="0"/>
        <v/>
      </c>
      <c r="L62" s="88"/>
      <c r="M62" s="84" t="str">
        <f t="shared" ca="1" si="1"/>
        <v/>
      </c>
      <c r="N62" s="84"/>
      <c r="O62" s="89" t="str">
        <f t="shared" si="2"/>
        <v/>
      </c>
      <c r="P62" s="89"/>
      <c r="Q62" s="85" t="str">
        <f t="shared" si="3"/>
        <v/>
      </c>
      <c r="R62" s="85" t="str">
        <f t="shared" si="4"/>
        <v/>
      </c>
      <c r="S62" s="84"/>
      <c r="T62" s="85"/>
      <c r="U62" s="85"/>
      <c r="V62" s="84"/>
      <c r="W62" s="85"/>
      <c r="X62" s="85"/>
      <c r="Y62" s="84"/>
      <c r="Z62" s="85"/>
      <c r="AA62" s="85"/>
      <c r="AB62" s="84"/>
      <c r="AC62" s="85"/>
      <c r="AD62" s="85"/>
      <c r="AE62" s="84"/>
      <c r="AF62" s="85"/>
      <c r="AG62" s="85"/>
      <c r="AH62" s="84"/>
      <c r="AI62" s="85"/>
      <c r="AJ62" s="85"/>
      <c r="AK62" s="84"/>
      <c r="AL62" s="85"/>
      <c r="AM62" s="85"/>
      <c r="AN62" s="84"/>
      <c r="AO62" s="85"/>
      <c r="AP62" s="85"/>
      <c r="AQ62" s="84"/>
      <c r="AR62" s="85"/>
      <c r="AS62" s="85"/>
      <c r="AT62" s="84"/>
      <c r="AU62" s="85"/>
      <c r="AV62" s="85"/>
      <c r="AW62" s="84"/>
      <c r="AX62" s="85"/>
      <c r="AY62" s="85"/>
      <c r="AZ62" s="84"/>
      <c r="BA62" s="85"/>
      <c r="BB62" s="85"/>
      <c r="BC62" s="84"/>
      <c r="BD62" s="27"/>
      <c r="BI62" s="90" t="s">
        <v>576</v>
      </c>
      <c r="BJ62" s="90" t="s">
        <v>577</v>
      </c>
    </row>
    <row r="63" spans="1:62" s="90" customFormat="1" ht="12.75">
      <c r="A63" s="83" t="s">
        <v>578</v>
      </c>
      <c r="B63" s="84">
        <v>38</v>
      </c>
      <c r="C63" s="84" t="s">
        <v>579</v>
      </c>
      <c r="D63" s="84" t="s">
        <v>580</v>
      </c>
      <c r="E63" s="85">
        <v>3394500</v>
      </c>
      <c r="F63" s="85"/>
      <c r="G63" s="85"/>
      <c r="H63" s="86">
        <v>44224</v>
      </c>
      <c r="I63" s="85">
        <v>1250478</v>
      </c>
      <c r="J63" s="84"/>
      <c r="K63" s="87" t="str">
        <f t="shared" ca="1" si="0"/>
        <v/>
      </c>
      <c r="L63" s="88"/>
      <c r="M63" s="84" t="str">
        <f t="shared" ca="1" si="1"/>
        <v/>
      </c>
      <c r="N63" s="84"/>
      <c r="O63" s="89" t="str">
        <f t="shared" si="2"/>
        <v/>
      </c>
      <c r="P63" s="89"/>
      <c r="Q63" s="85" t="str">
        <f t="shared" si="3"/>
        <v/>
      </c>
      <c r="R63" s="85" t="str">
        <f t="shared" si="4"/>
        <v/>
      </c>
      <c r="S63" s="84"/>
      <c r="T63" s="85"/>
      <c r="U63" s="85"/>
      <c r="V63" s="84"/>
      <c r="W63" s="85"/>
      <c r="X63" s="85"/>
      <c r="Y63" s="84"/>
      <c r="Z63" s="85"/>
      <c r="AA63" s="85"/>
      <c r="AB63" s="84"/>
      <c r="AC63" s="85"/>
      <c r="AD63" s="85"/>
      <c r="AE63" s="84"/>
      <c r="AF63" s="85"/>
      <c r="AG63" s="85"/>
      <c r="AH63" s="84"/>
      <c r="AI63" s="85"/>
      <c r="AJ63" s="85"/>
      <c r="AK63" s="84"/>
      <c r="AL63" s="85"/>
      <c r="AM63" s="85"/>
      <c r="AN63" s="84"/>
      <c r="AO63" s="85"/>
      <c r="AP63" s="85"/>
      <c r="AQ63" s="84"/>
      <c r="AR63" s="85"/>
      <c r="AS63" s="85"/>
      <c r="AT63" s="84"/>
      <c r="AU63" s="85"/>
      <c r="AV63" s="85"/>
      <c r="AW63" s="84"/>
      <c r="AX63" s="85"/>
      <c r="AY63" s="85"/>
      <c r="AZ63" s="84"/>
      <c r="BA63" s="85"/>
      <c r="BB63" s="85"/>
      <c r="BC63" s="84" t="s">
        <v>581</v>
      </c>
      <c r="BD63" s="27"/>
      <c r="BI63" s="90" t="s">
        <v>582</v>
      </c>
      <c r="BJ63" s="90" t="s">
        <v>583</v>
      </c>
    </row>
    <row r="64" spans="1:62" s="90" customFormat="1" ht="12.75">
      <c r="A64" s="83" t="s">
        <v>584</v>
      </c>
      <c r="B64" s="84">
        <v>39</v>
      </c>
      <c r="C64" s="84" t="s">
        <v>585</v>
      </c>
      <c r="D64" s="84" t="s">
        <v>586</v>
      </c>
      <c r="E64" s="85">
        <v>2313360</v>
      </c>
      <c r="F64" s="85"/>
      <c r="G64" s="85">
        <v>76308</v>
      </c>
      <c r="H64" s="86">
        <v>44043</v>
      </c>
      <c r="I64" s="85">
        <v>372161</v>
      </c>
      <c r="J64" s="84"/>
      <c r="K64" s="87" t="str">
        <f t="shared" ca="1" si="0"/>
        <v/>
      </c>
      <c r="L64" s="88"/>
      <c r="M64" s="84" t="str">
        <f t="shared" ca="1" si="1"/>
        <v/>
      </c>
      <c r="N64" s="84"/>
      <c r="O64" s="89">
        <f t="shared" si="2"/>
        <v>0</v>
      </c>
      <c r="P64" s="89"/>
      <c r="Q64" s="85">
        <f t="shared" si="3"/>
        <v>0</v>
      </c>
      <c r="R64" s="85" t="str">
        <f t="shared" si="4"/>
        <v/>
      </c>
      <c r="S64" s="84"/>
      <c r="T64" s="85"/>
      <c r="U64" s="85"/>
      <c r="V64" s="84"/>
      <c r="W64" s="85"/>
      <c r="X64" s="85"/>
      <c r="Y64" s="84"/>
      <c r="Z64" s="85"/>
      <c r="AA64" s="85"/>
      <c r="AB64" s="84"/>
      <c r="AC64" s="85"/>
      <c r="AD64" s="85"/>
      <c r="AE64" s="84"/>
      <c r="AF64" s="85"/>
      <c r="AG64" s="85"/>
      <c r="AH64" s="84"/>
      <c r="AI64" s="85"/>
      <c r="AJ64" s="85"/>
      <c r="AK64" s="84"/>
      <c r="AL64" s="85"/>
      <c r="AM64" s="85"/>
      <c r="AN64" s="84"/>
      <c r="AO64" s="85"/>
      <c r="AP64" s="85"/>
      <c r="AQ64" s="84"/>
      <c r="AR64" s="85"/>
      <c r="AS64" s="85"/>
      <c r="AT64" s="84"/>
      <c r="AU64" s="85"/>
      <c r="AV64" s="85"/>
      <c r="AW64" s="84"/>
      <c r="AX64" s="85"/>
      <c r="AY64" s="85"/>
      <c r="AZ64" s="84"/>
      <c r="BA64" s="85"/>
      <c r="BB64" s="85"/>
      <c r="BC64" s="84"/>
      <c r="BD64" s="27"/>
      <c r="BI64" s="90" t="s">
        <v>587</v>
      </c>
      <c r="BJ64" s="90" t="s">
        <v>588</v>
      </c>
    </row>
    <row r="65" spans="1:62" s="90" customFormat="1" ht="12.75">
      <c r="A65" s="83" t="s">
        <v>589</v>
      </c>
      <c r="B65" s="84">
        <v>40</v>
      </c>
      <c r="C65" s="84" t="s">
        <v>590</v>
      </c>
      <c r="D65" s="84" t="s">
        <v>591</v>
      </c>
      <c r="E65" s="85">
        <v>3215800</v>
      </c>
      <c r="F65" s="85"/>
      <c r="G65" s="85"/>
      <c r="H65" s="86">
        <v>44344</v>
      </c>
      <c r="I65" s="85">
        <v>1464238</v>
      </c>
      <c r="J65" s="84"/>
      <c r="K65" s="87" t="str">
        <f t="shared" ca="1" si="0"/>
        <v/>
      </c>
      <c r="L65" s="88"/>
      <c r="M65" s="84" t="str">
        <f t="shared" ca="1" si="1"/>
        <v/>
      </c>
      <c r="N65" s="84"/>
      <c r="O65" s="89" t="str">
        <f t="shared" si="2"/>
        <v/>
      </c>
      <c r="P65" s="89"/>
      <c r="Q65" s="85" t="str">
        <f t="shared" si="3"/>
        <v/>
      </c>
      <c r="R65" s="85" t="str">
        <f t="shared" si="4"/>
        <v/>
      </c>
      <c r="S65" s="84"/>
      <c r="T65" s="85"/>
      <c r="U65" s="85"/>
      <c r="V65" s="84"/>
      <c r="W65" s="85"/>
      <c r="X65" s="85"/>
      <c r="Y65" s="84"/>
      <c r="Z65" s="85"/>
      <c r="AA65" s="85"/>
      <c r="AB65" s="84"/>
      <c r="AC65" s="85"/>
      <c r="AD65" s="85"/>
      <c r="AE65" s="84"/>
      <c r="AF65" s="85"/>
      <c r="AG65" s="85"/>
      <c r="AH65" s="84"/>
      <c r="AI65" s="85"/>
      <c r="AJ65" s="85"/>
      <c r="AK65" s="84"/>
      <c r="AL65" s="85"/>
      <c r="AM65" s="85"/>
      <c r="AN65" s="84"/>
      <c r="AO65" s="85"/>
      <c r="AP65" s="85"/>
      <c r="AQ65" s="84"/>
      <c r="AR65" s="85"/>
      <c r="AS65" s="85"/>
      <c r="AT65" s="84"/>
      <c r="AU65" s="85"/>
      <c r="AV65" s="85"/>
      <c r="AW65" s="84"/>
      <c r="AX65" s="85"/>
      <c r="AY65" s="85"/>
      <c r="AZ65" s="84"/>
      <c r="BA65" s="85"/>
      <c r="BB65" s="85"/>
      <c r="BC65" s="84"/>
      <c r="BD65" s="27"/>
      <c r="BI65" s="90" t="s">
        <v>592</v>
      </c>
      <c r="BJ65" s="90" t="s">
        <v>593</v>
      </c>
    </row>
    <row r="66" spans="1:62" s="90" customFormat="1" ht="12.75">
      <c r="A66" s="83" t="s">
        <v>594</v>
      </c>
      <c r="B66" s="84">
        <v>41</v>
      </c>
      <c r="C66" s="84" t="s">
        <v>595</v>
      </c>
      <c r="D66" s="84" t="s">
        <v>596</v>
      </c>
      <c r="E66" s="85">
        <v>3379000</v>
      </c>
      <c r="F66" s="85"/>
      <c r="G66" s="85"/>
      <c r="H66" s="86">
        <v>44113</v>
      </c>
      <c r="I66" s="85">
        <v>844560</v>
      </c>
      <c r="J66" s="84"/>
      <c r="K66" s="87" t="str">
        <f t="shared" ca="1" si="0"/>
        <v/>
      </c>
      <c r="L66" s="88"/>
      <c r="M66" s="84" t="str">
        <f t="shared" ca="1" si="1"/>
        <v/>
      </c>
      <c r="N66" s="84"/>
      <c r="O66" s="89" t="str">
        <f t="shared" si="2"/>
        <v/>
      </c>
      <c r="P66" s="89"/>
      <c r="Q66" s="85" t="str">
        <f t="shared" si="3"/>
        <v/>
      </c>
      <c r="R66" s="85" t="str">
        <f t="shared" si="4"/>
        <v/>
      </c>
      <c r="S66" s="84"/>
      <c r="T66" s="85"/>
      <c r="U66" s="85"/>
      <c r="V66" s="84"/>
      <c r="W66" s="85"/>
      <c r="X66" s="85"/>
      <c r="Y66" s="84"/>
      <c r="Z66" s="85"/>
      <c r="AA66" s="85"/>
      <c r="AB66" s="84"/>
      <c r="AC66" s="85"/>
      <c r="AD66" s="85"/>
      <c r="AE66" s="84"/>
      <c r="AF66" s="85"/>
      <c r="AG66" s="85"/>
      <c r="AH66" s="84"/>
      <c r="AI66" s="85"/>
      <c r="AJ66" s="85"/>
      <c r="AK66" s="84"/>
      <c r="AL66" s="85"/>
      <c r="AM66" s="85"/>
      <c r="AN66" s="84"/>
      <c r="AO66" s="85"/>
      <c r="AP66" s="85"/>
      <c r="AQ66" s="84"/>
      <c r="AR66" s="85"/>
      <c r="AS66" s="85"/>
      <c r="AT66" s="84"/>
      <c r="AU66" s="85"/>
      <c r="AV66" s="85"/>
      <c r="AW66" s="84"/>
      <c r="AX66" s="85"/>
      <c r="AY66" s="85"/>
      <c r="AZ66" s="84"/>
      <c r="BA66" s="85"/>
      <c r="BB66" s="85"/>
      <c r="BC66" s="84"/>
      <c r="BD66" s="27"/>
      <c r="BI66" s="90" t="s">
        <v>597</v>
      </c>
      <c r="BJ66" s="90" t="s">
        <v>598</v>
      </c>
    </row>
    <row r="67" spans="1:62" s="90" customFormat="1" ht="12.75">
      <c r="A67" s="83" t="s">
        <v>599</v>
      </c>
      <c r="B67" s="84">
        <v>42</v>
      </c>
      <c r="C67" s="84" t="s">
        <v>600</v>
      </c>
      <c r="D67" s="84" t="s">
        <v>601</v>
      </c>
      <c r="E67" s="85">
        <v>2389000</v>
      </c>
      <c r="F67" s="85"/>
      <c r="G67" s="85">
        <v>77272</v>
      </c>
      <c r="H67" s="86">
        <v>43854</v>
      </c>
      <c r="I67" s="85">
        <v>402306</v>
      </c>
      <c r="J67" s="84"/>
      <c r="K67" s="87" t="str">
        <f t="shared" ca="1" si="0"/>
        <v/>
      </c>
      <c r="L67" s="88"/>
      <c r="M67" s="84" t="str">
        <f t="shared" ca="1" si="1"/>
        <v/>
      </c>
      <c r="N67" s="84"/>
      <c r="O67" s="89">
        <f t="shared" si="2"/>
        <v>0</v>
      </c>
      <c r="P67" s="89"/>
      <c r="Q67" s="85">
        <f t="shared" si="3"/>
        <v>0</v>
      </c>
      <c r="R67" s="85" t="str">
        <f t="shared" si="4"/>
        <v/>
      </c>
      <c r="S67" s="84"/>
      <c r="T67" s="85"/>
      <c r="U67" s="85"/>
      <c r="V67" s="84"/>
      <c r="W67" s="85"/>
      <c r="X67" s="85"/>
      <c r="Y67" s="84"/>
      <c r="Z67" s="85"/>
      <c r="AA67" s="85"/>
      <c r="AB67" s="84"/>
      <c r="AC67" s="85"/>
      <c r="AD67" s="85"/>
      <c r="AE67" s="84"/>
      <c r="AF67" s="85"/>
      <c r="AG67" s="85"/>
      <c r="AH67" s="84"/>
      <c r="AI67" s="85"/>
      <c r="AJ67" s="85"/>
      <c r="AK67" s="84"/>
      <c r="AL67" s="85"/>
      <c r="AM67" s="85"/>
      <c r="AN67" s="84"/>
      <c r="AO67" s="85"/>
      <c r="AP67" s="85"/>
      <c r="AQ67" s="84"/>
      <c r="AR67" s="85"/>
      <c r="AS67" s="85"/>
      <c r="AT67" s="84"/>
      <c r="AU67" s="85"/>
      <c r="AV67" s="85"/>
      <c r="AW67" s="84"/>
      <c r="AX67" s="85"/>
      <c r="AY67" s="85"/>
      <c r="AZ67" s="84"/>
      <c r="BA67" s="85"/>
      <c r="BB67" s="85"/>
      <c r="BC67" s="84"/>
      <c r="BD67" s="27"/>
      <c r="BI67" s="90" t="s">
        <v>602</v>
      </c>
      <c r="BJ67" s="90" t="s">
        <v>603</v>
      </c>
    </row>
    <row r="68" spans="1:62" s="90" customFormat="1" ht="12.75">
      <c r="A68" s="83" t="s">
        <v>604</v>
      </c>
      <c r="B68" s="84">
        <v>43</v>
      </c>
      <c r="C68" s="84" t="s">
        <v>605</v>
      </c>
      <c r="D68" s="84" t="s">
        <v>606</v>
      </c>
      <c r="E68" s="85">
        <v>674000</v>
      </c>
      <c r="F68" s="85"/>
      <c r="G68" s="85"/>
      <c r="H68" s="86">
        <v>44005</v>
      </c>
      <c r="I68" s="85">
        <v>85392</v>
      </c>
      <c r="J68" s="84"/>
      <c r="K68" s="87" t="str">
        <f t="shared" ca="1" si="0"/>
        <v/>
      </c>
      <c r="L68" s="88"/>
      <c r="M68" s="84" t="str">
        <f t="shared" ca="1" si="1"/>
        <v/>
      </c>
      <c r="N68" s="84"/>
      <c r="O68" s="89" t="str">
        <f t="shared" si="2"/>
        <v/>
      </c>
      <c r="P68" s="89"/>
      <c r="Q68" s="85" t="str">
        <f t="shared" si="3"/>
        <v/>
      </c>
      <c r="R68" s="85" t="str">
        <f t="shared" si="4"/>
        <v/>
      </c>
      <c r="S68" s="84"/>
      <c r="T68" s="85"/>
      <c r="U68" s="85"/>
      <c r="V68" s="84"/>
      <c r="W68" s="85"/>
      <c r="X68" s="85"/>
      <c r="Y68" s="84"/>
      <c r="Z68" s="85"/>
      <c r="AA68" s="85"/>
      <c r="AB68" s="84"/>
      <c r="AC68" s="85"/>
      <c r="AD68" s="85"/>
      <c r="AE68" s="84"/>
      <c r="AF68" s="85"/>
      <c r="AG68" s="85"/>
      <c r="AH68" s="84"/>
      <c r="AI68" s="85"/>
      <c r="AJ68" s="85"/>
      <c r="AK68" s="84"/>
      <c r="AL68" s="85"/>
      <c r="AM68" s="85"/>
      <c r="AN68" s="84"/>
      <c r="AO68" s="85"/>
      <c r="AP68" s="85"/>
      <c r="AQ68" s="84"/>
      <c r="AR68" s="85"/>
      <c r="AS68" s="85"/>
      <c r="AT68" s="84"/>
      <c r="AU68" s="85"/>
      <c r="AV68" s="85"/>
      <c r="AW68" s="84"/>
      <c r="AX68" s="85"/>
      <c r="AY68" s="85"/>
      <c r="AZ68" s="84"/>
      <c r="BA68" s="85"/>
      <c r="BB68" s="85"/>
      <c r="BC68" s="84"/>
      <c r="BD68" s="27"/>
      <c r="BI68" s="90" t="s">
        <v>607</v>
      </c>
      <c r="BJ68" s="90" t="s">
        <v>608</v>
      </c>
    </row>
    <row r="69" spans="1:62" s="90" customFormat="1" ht="12.75">
      <c r="A69" s="83" t="s">
        <v>609</v>
      </c>
      <c r="B69" s="84">
        <v>44</v>
      </c>
      <c r="C69" s="84" t="s">
        <v>610</v>
      </c>
      <c r="D69" s="84" t="s">
        <v>611</v>
      </c>
      <c r="E69" s="85">
        <v>3379000</v>
      </c>
      <c r="F69" s="85"/>
      <c r="G69" s="85"/>
      <c r="H69" s="86">
        <v>44113</v>
      </c>
      <c r="I69" s="85">
        <v>844560</v>
      </c>
      <c r="J69" s="84"/>
      <c r="K69" s="87" t="str">
        <f t="shared" ca="1" si="0"/>
        <v/>
      </c>
      <c r="L69" s="88"/>
      <c r="M69" s="84" t="str">
        <f t="shared" ca="1" si="1"/>
        <v/>
      </c>
      <c r="N69" s="84"/>
      <c r="O69" s="89" t="str">
        <f t="shared" si="2"/>
        <v/>
      </c>
      <c r="P69" s="89"/>
      <c r="Q69" s="85" t="str">
        <f t="shared" si="3"/>
        <v/>
      </c>
      <c r="R69" s="85" t="str">
        <f t="shared" si="4"/>
        <v/>
      </c>
      <c r="S69" s="84"/>
      <c r="T69" s="85"/>
      <c r="U69" s="85"/>
      <c r="V69" s="84"/>
      <c r="W69" s="85"/>
      <c r="X69" s="85"/>
      <c r="Y69" s="84"/>
      <c r="Z69" s="85"/>
      <c r="AA69" s="85"/>
      <c r="AB69" s="84"/>
      <c r="AC69" s="85"/>
      <c r="AD69" s="85"/>
      <c r="AE69" s="84"/>
      <c r="AF69" s="85"/>
      <c r="AG69" s="85"/>
      <c r="AH69" s="84"/>
      <c r="AI69" s="85"/>
      <c r="AJ69" s="85"/>
      <c r="AK69" s="84"/>
      <c r="AL69" s="85"/>
      <c r="AM69" s="85"/>
      <c r="AN69" s="84"/>
      <c r="AO69" s="85"/>
      <c r="AP69" s="85"/>
      <c r="AQ69" s="84"/>
      <c r="AR69" s="85"/>
      <c r="AS69" s="85"/>
      <c r="AT69" s="84"/>
      <c r="AU69" s="85"/>
      <c r="AV69" s="85"/>
      <c r="AW69" s="84"/>
      <c r="AX69" s="85"/>
      <c r="AY69" s="85"/>
      <c r="AZ69" s="84"/>
      <c r="BA69" s="85"/>
      <c r="BB69" s="85"/>
      <c r="BC69" s="84"/>
      <c r="BD69" s="27"/>
      <c r="BI69" s="90" t="s">
        <v>612</v>
      </c>
      <c r="BJ69" s="90" t="s">
        <v>613</v>
      </c>
    </row>
    <row r="70" spans="1:62" s="90" customFormat="1" ht="12.75">
      <c r="A70" s="83" t="s">
        <v>614</v>
      </c>
      <c r="B70" s="84">
        <v>45</v>
      </c>
      <c r="C70" s="84" t="s">
        <v>615</v>
      </c>
      <c r="D70" s="84" t="s">
        <v>616</v>
      </c>
      <c r="E70" s="85">
        <v>2283000</v>
      </c>
      <c r="F70" s="85"/>
      <c r="G70" s="85">
        <v>74190</v>
      </c>
      <c r="H70" s="86">
        <v>43948</v>
      </c>
      <c r="I70" s="85">
        <v>219451</v>
      </c>
      <c r="J70" s="84"/>
      <c r="K70" s="87" t="str">
        <f t="shared" ca="1" si="0"/>
        <v/>
      </c>
      <c r="L70" s="88"/>
      <c r="M70" s="84" t="str">
        <f t="shared" ca="1" si="1"/>
        <v/>
      </c>
      <c r="N70" s="84"/>
      <c r="O70" s="89">
        <f t="shared" si="2"/>
        <v>0</v>
      </c>
      <c r="P70" s="89"/>
      <c r="Q70" s="85">
        <f t="shared" si="3"/>
        <v>0</v>
      </c>
      <c r="R70" s="85" t="str">
        <f t="shared" si="4"/>
        <v/>
      </c>
      <c r="S70" s="84"/>
      <c r="T70" s="85"/>
      <c r="U70" s="85"/>
      <c r="V70" s="84"/>
      <c r="W70" s="85"/>
      <c r="X70" s="85"/>
      <c r="Y70" s="84"/>
      <c r="Z70" s="85"/>
      <c r="AA70" s="85"/>
      <c r="AB70" s="84"/>
      <c r="AC70" s="85"/>
      <c r="AD70" s="85"/>
      <c r="AE70" s="84"/>
      <c r="AF70" s="85"/>
      <c r="AG70" s="85"/>
      <c r="AH70" s="84"/>
      <c r="AI70" s="85"/>
      <c r="AJ70" s="85"/>
      <c r="AK70" s="84"/>
      <c r="AL70" s="85"/>
      <c r="AM70" s="85"/>
      <c r="AN70" s="84"/>
      <c r="AO70" s="85"/>
      <c r="AP70" s="85"/>
      <c r="AQ70" s="84"/>
      <c r="AR70" s="85"/>
      <c r="AS70" s="85"/>
      <c r="AT70" s="84"/>
      <c r="AU70" s="85"/>
      <c r="AV70" s="85"/>
      <c r="AW70" s="84"/>
      <c r="AX70" s="85"/>
      <c r="AY70" s="85"/>
      <c r="AZ70" s="84"/>
      <c r="BA70" s="85"/>
      <c r="BB70" s="85"/>
      <c r="BC70" s="84"/>
      <c r="BD70" s="27"/>
      <c r="BI70" s="90" t="s">
        <v>617</v>
      </c>
      <c r="BJ70" s="90" t="s">
        <v>618</v>
      </c>
    </row>
    <row r="71" spans="1:62" s="90" customFormat="1" ht="12.75">
      <c r="A71" s="83" t="s">
        <v>619</v>
      </c>
      <c r="B71" s="84">
        <v>46</v>
      </c>
      <c r="C71" s="84" t="s">
        <v>620</v>
      </c>
      <c r="D71" s="84" t="s">
        <v>621</v>
      </c>
      <c r="E71" s="85">
        <v>2230000</v>
      </c>
      <c r="F71" s="85"/>
      <c r="G71" s="85">
        <v>71219</v>
      </c>
      <c r="H71" s="86">
        <v>44226</v>
      </c>
      <c r="I71" s="85">
        <v>754050</v>
      </c>
      <c r="J71" s="84"/>
      <c r="K71" s="87" t="str">
        <f t="shared" ca="1" si="0"/>
        <v/>
      </c>
      <c r="L71" s="88"/>
      <c r="M71" s="84" t="str">
        <f t="shared" ca="1" si="1"/>
        <v/>
      </c>
      <c r="N71" s="84"/>
      <c r="O71" s="89">
        <f t="shared" si="2"/>
        <v>0</v>
      </c>
      <c r="P71" s="89"/>
      <c r="Q71" s="85">
        <f t="shared" si="3"/>
        <v>0</v>
      </c>
      <c r="R71" s="85" t="str">
        <f t="shared" si="4"/>
        <v/>
      </c>
      <c r="S71" s="84"/>
      <c r="T71" s="85"/>
      <c r="U71" s="85"/>
      <c r="V71" s="84"/>
      <c r="W71" s="85"/>
      <c r="X71" s="85"/>
      <c r="Y71" s="84"/>
      <c r="Z71" s="85"/>
      <c r="AA71" s="85"/>
      <c r="AB71" s="84"/>
      <c r="AC71" s="85"/>
      <c r="AD71" s="85"/>
      <c r="AE71" s="84"/>
      <c r="AF71" s="85"/>
      <c r="AG71" s="85"/>
      <c r="AH71" s="84"/>
      <c r="AI71" s="85"/>
      <c r="AJ71" s="85"/>
      <c r="AK71" s="84"/>
      <c r="AL71" s="85"/>
      <c r="AM71" s="85"/>
      <c r="AN71" s="84"/>
      <c r="AO71" s="85"/>
      <c r="AP71" s="85"/>
      <c r="AQ71" s="84"/>
      <c r="AR71" s="85"/>
      <c r="AS71" s="85"/>
      <c r="AT71" s="84"/>
      <c r="AU71" s="85"/>
      <c r="AV71" s="85"/>
      <c r="AW71" s="84"/>
      <c r="AX71" s="85"/>
      <c r="AY71" s="85"/>
      <c r="AZ71" s="84"/>
      <c r="BA71" s="85"/>
      <c r="BB71" s="85"/>
      <c r="BC71" s="84"/>
      <c r="BD71" s="27"/>
      <c r="BI71" s="90" t="s">
        <v>622</v>
      </c>
      <c r="BJ71" s="90" t="s">
        <v>623</v>
      </c>
    </row>
    <row r="72" spans="1:62" s="90" customFormat="1" ht="12.75">
      <c r="A72" s="83" t="s">
        <v>624</v>
      </c>
      <c r="B72" s="84">
        <v>47</v>
      </c>
      <c r="C72" s="84" t="s">
        <v>625</v>
      </c>
      <c r="D72" s="84" t="s">
        <v>626</v>
      </c>
      <c r="E72" s="85">
        <v>2313360</v>
      </c>
      <c r="F72" s="85"/>
      <c r="G72" s="85"/>
      <c r="H72" s="86">
        <v>44040</v>
      </c>
      <c r="I72" s="85">
        <v>372161</v>
      </c>
      <c r="J72" s="84"/>
      <c r="K72" s="87" t="str">
        <f t="shared" ca="1" si="0"/>
        <v/>
      </c>
      <c r="L72" s="88"/>
      <c r="M72" s="84" t="str">
        <f t="shared" ca="1" si="1"/>
        <v/>
      </c>
      <c r="N72" s="84"/>
      <c r="O72" s="89" t="str">
        <f t="shared" si="2"/>
        <v/>
      </c>
      <c r="P72" s="89"/>
      <c r="Q72" s="85" t="str">
        <f t="shared" si="3"/>
        <v/>
      </c>
      <c r="R72" s="85" t="str">
        <f t="shared" si="4"/>
        <v/>
      </c>
      <c r="S72" s="84"/>
      <c r="T72" s="85"/>
      <c r="U72" s="85"/>
      <c r="V72" s="84"/>
      <c r="W72" s="85"/>
      <c r="X72" s="85"/>
      <c r="Y72" s="84"/>
      <c r="Z72" s="85"/>
      <c r="AA72" s="85"/>
      <c r="AB72" s="84"/>
      <c r="AC72" s="85"/>
      <c r="AD72" s="85"/>
      <c r="AE72" s="84"/>
      <c r="AF72" s="85"/>
      <c r="AG72" s="85"/>
      <c r="AH72" s="84"/>
      <c r="AI72" s="85"/>
      <c r="AJ72" s="85"/>
      <c r="AK72" s="84"/>
      <c r="AL72" s="85"/>
      <c r="AM72" s="85"/>
      <c r="AN72" s="84"/>
      <c r="AO72" s="85"/>
      <c r="AP72" s="85"/>
      <c r="AQ72" s="84"/>
      <c r="AR72" s="85"/>
      <c r="AS72" s="85"/>
      <c r="AT72" s="84"/>
      <c r="AU72" s="85"/>
      <c r="AV72" s="85"/>
      <c r="AW72" s="84"/>
      <c r="AX72" s="85"/>
      <c r="AY72" s="85"/>
      <c r="AZ72" s="84"/>
      <c r="BA72" s="85"/>
      <c r="BB72" s="85"/>
      <c r="BC72" s="84"/>
      <c r="BD72" s="27"/>
      <c r="BI72" s="90" t="s">
        <v>627</v>
      </c>
      <c r="BJ72" s="90" t="s">
        <v>628</v>
      </c>
    </row>
    <row r="73" spans="1:62" s="90" customFormat="1" ht="12.75">
      <c r="A73" s="83" t="s">
        <v>629</v>
      </c>
      <c r="B73" s="84">
        <v>48</v>
      </c>
      <c r="C73" s="84" t="s">
        <v>630</v>
      </c>
      <c r="D73" s="84" t="s">
        <v>631</v>
      </c>
      <c r="E73" s="85">
        <v>2897500</v>
      </c>
      <c r="F73" s="85"/>
      <c r="G73" s="85"/>
      <c r="H73" s="86">
        <v>44875</v>
      </c>
      <c r="I73" s="85">
        <v>2817994</v>
      </c>
      <c r="J73" s="84"/>
      <c r="K73" s="87" t="str">
        <f t="shared" ca="1" si="0"/>
        <v/>
      </c>
      <c r="L73" s="88"/>
      <c r="M73" s="84" t="str">
        <f t="shared" ca="1" si="1"/>
        <v/>
      </c>
      <c r="N73" s="84"/>
      <c r="O73" s="89" t="str">
        <f t="shared" si="2"/>
        <v/>
      </c>
      <c r="P73" s="89"/>
      <c r="Q73" s="85" t="str">
        <f t="shared" si="3"/>
        <v/>
      </c>
      <c r="R73" s="85" t="str">
        <f t="shared" si="4"/>
        <v/>
      </c>
      <c r="S73" s="84"/>
      <c r="T73" s="85"/>
      <c r="U73" s="85"/>
      <c r="V73" s="84"/>
      <c r="W73" s="85"/>
      <c r="X73" s="85"/>
      <c r="Y73" s="84"/>
      <c r="Z73" s="85"/>
      <c r="AA73" s="85"/>
      <c r="AB73" s="84"/>
      <c r="AC73" s="85"/>
      <c r="AD73" s="85"/>
      <c r="AE73" s="84"/>
      <c r="AF73" s="85"/>
      <c r="AG73" s="85"/>
      <c r="AH73" s="84"/>
      <c r="AI73" s="85"/>
      <c r="AJ73" s="85"/>
      <c r="AK73" s="84"/>
      <c r="AL73" s="85"/>
      <c r="AM73" s="85"/>
      <c r="AN73" s="84"/>
      <c r="AO73" s="85"/>
      <c r="AP73" s="85"/>
      <c r="AQ73" s="84"/>
      <c r="AR73" s="85"/>
      <c r="AS73" s="85"/>
      <c r="AT73" s="84"/>
      <c r="AU73" s="85"/>
      <c r="AV73" s="85"/>
      <c r="AW73" s="84"/>
      <c r="AX73" s="85"/>
      <c r="AY73" s="85"/>
      <c r="AZ73" s="84"/>
      <c r="BA73" s="85"/>
      <c r="BB73" s="85"/>
      <c r="BC73" s="84"/>
      <c r="BD73" s="27"/>
      <c r="BI73" s="90" t="s">
        <v>632</v>
      </c>
      <c r="BJ73" s="90" t="s">
        <v>633</v>
      </c>
    </row>
    <row r="74" spans="1:62" s="90" customFormat="1" ht="12.75">
      <c r="A74" s="83" t="s">
        <v>634</v>
      </c>
      <c r="B74" s="84">
        <v>49</v>
      </c>
      <c r="C74" s="84" t="s">
        <v>635</v>
      </c>
      <c r="D74" s="84" t="s">
        <v>636</v>
      </c>
      <c r="E74" s="85">
        <v>5150000</v>
      </c>
      <c r="F74" s="85"/>
      <c r="G74" s="85"/>
      <c r="H74" s="86">
        <v>44109</v>
      </c>
      <c r="I74" s="85">
        <v>1286262</v>
      </c>
      <c r="J74" s="84"/>
      <c r="K74" s="87" t="str">
        <f t="shared" ca="1" si="0"/>
        <v/>
      </c>
      <c r="L74" s="88"/>
      <c r="M74" s="84" t="str">
        <f t="shared" ca="1" si="1"/>
        <v/>
      </c>
      <c r="N74" s="84"/>
      <c r="O74" s="89" t="str">
        <f t="shared" si="2"/>
        <v/>
      </c>
      <c r="P74" s="89"/>
      <c r="Q74" s="85" t="str">
        <f t="shared" si="3"/>
        <v/>
      </c>
      <c r="R74" s="85" t="str">
        <f t="shared" si="4"/>
        <v/>
      </c>
      <c r="S74" s="84"/>
      <c r="T74" s="85"/>
      <c r="U74" s="85"/>
      <c r="V74" s="84"/>
      <c r="W74" s="85"/>
      <c r="X74" s="85"/>
      <c r="Y74" s="84"/>
      <c r="Z74" s="85"/>
      <c r="AA74" s="85"/>
      <c r="AB74" s="84"/>
      <c r="AC74" s="85"/>
      <c r="AD74" s="85"/>
      <c r="AE74" s="84"/>
      <c r="AF74" s="85"/>
      <c r="AG74" s="85"/>
      <c r="AH74" s="84"/>
      <c r="AI74" s="85"/>
      <c r="AJ74" s="85"/>
      <c r="AK74" s="84"/>
      <c r="AL74" s="85"/>
      <c r="AM74" s="85"/>
      <c r="AN74" s="84"/>
      <c r="AO74" s="85"/>
      <c r="AP74" s="85"/>
      <c r="AQ74" s="84"/>
      <c r="AR74" s="85"/>
      <c r="AS74" s="85"/>
      <c r="AT74" s="84"/>
      <c r="AU74" s="85"/>
      <c r="AV74" s="85"/>
      <c r="AW74" s="84"/>
      <c r="AX74" s="85"/>
      <c r="AY74" s="85"/>
      <c r="AZ74" s="84"/>
      <c r="BA74" s="85"/>
      <c r="BB74" s="85"/>
      <c r="BC74" s="84" t="s">
        <v>637</v>
      </c>
      <c r="BD74" s="27"/>
      <c r="BI74" s="90" t="s">
        <v>638</v>
      </c>
      <c r="BJ74" s="90" t="s">
        <v>639</v>
      </c>
    </row>
    <row r="75" spans="1:62" s="90" customFormat="1" ht="12.75">
      <c r="A75" s="83" t="s">
        <v>640</v>
      </c>
      <c r="B75" s="84">
        <v>50</v>
      </c>
      <c r="C75" s="84" t="s">
        <v>641</v>
      </c>
      <c r="D75" s="84" t="s">
        <v>642</v>
      </c>
      <c r="E75" s="85">
        <v>1636800</v>
      </c>
      <c r="F75" s="85"/>
      <c r="G75" s="85"/>
      <c r="H75" s="86">
        <v>43707</v>
      </c>
      <c r="I75" s="85">
        <v>6075</v>
      </c>
      <c r="J75" s="84"/>
      <c r="K75" s="87" t="str">
        <f t="shared" ca="1" si="0"/>
        <v/>
      </c>
      <c r="L75" s="88"/>
      <c r="M75" s="84" t="str">
        <f t="shared" ca="1" si="1"/>
        <v/>
      </c>
      <c r="N75" s="84"/>
      <c r="O75" s="89" t="str">
        <f t="shared" si="2"/>
        <v/>
      </c>
      <c r="P75" s="89"/>
      <c r="Q75" s="85" t="str">
        <f t="shared" si="3"/>
        <v/>
      </c>
      <c r="R75" s="85" t="str">
        <f t="shared" si="4"/>
        <v/>
      </c>
      <c r="S75" s="84"/>
      <c r="T75" s="85"/>
      <c r="U75" s="85"/>
      <c r="V75" s="84"/>
      <c r="W75" s="85"/>
      <c r="X75" s="85"/>
      <c r="Y75" s="84"/>
      <c r="Z75" s="85"/>
      <c r="AA75" s="85"/>
      <c r="AB75" s="84"/>
      <c r="AC75" s="85"/>
      <c r="AD75" s="85"/>
      <c r="AE75" s="84"/>
      <c r="AF75" s="85"/>
      <c r="AG75" s="85"/>
      <c r="AH75" s="84"/>
      <c r="AI75" s="85"/>
      <c r="AJ75" s="85"/>
      <c r="AK75" s="84"/>
      <c r="AL75" s="85"/>
      <c r="AM75" s="85"/>
      <c r="AN75" s="84"/>
      <c r="AO75" s="85"/>
      <c r="AP75" s="85"/>
      <c r="AQ75" s="84"/>
      <c r="AR75" s="85"/>
      <c r="AS75" s="85"/>
      <c r="AT75" s="84"/>
      <c r="AU75" s="85"/>
      <c r="AV75" s="85"/>
      <c r="AW75" s="84"/>
      <c r="AX75" s="85"/>
      <c r="AY75" s="85"/>
      <c r="AZ75" s="84"/>
      <c r="BA75" s="85"/>
      <c r="BB75" s="85"/>
      <c r="BC75" s="84"/>
      <c r="BD75" s="27"/>
      <c r="BI75" s="90" t="s">
        <v>643</v>
      </c>
      <c r="BJ75" s="90" t="s">
        <v>644</v>
      </c>
    </row>
    <row r="76" spans="1:62" s="90" customFormat="1" ht="12.75">
      <c r="A76" s="83" t="s">
        <v>645</v>
      </c>
      <c r="B76" s="84">
        <v>51</v>
      </c>
      <c r="C76" s="84" t="s">
        <v>646</v>
      </c>
      <c r="D76" s="84" t="s">
        <v>647</v>
      </c>
      <c r="E76" s="85">
        <v>3394500</v>
      </c>
      <c r="F76" s="85"/>
      <c r="G76" s="85"/>
      <c r="H76" s="86">
        <v>44224</v>
      </c>
      <c r="I76" s="85">
        <v>1250478</v>
      </c>
      <c r="J76" s="84"/>
      <c r="K76" s="87" t="str">
        <f t="shared" ca="1" si="0"/>
        <v/>
      </c>
      <c r="L76" s="88"/>
      <c r="M76" s="84" t="str">
        <f t="shared" ca="1" si="1"/>
        <v/>
      </c>
      <c r="N76" s="84"/>
      <c r="O76" s="89" t="str">
        <f t="shared" si="2"/>
        <v/>
      </c>
      <c r="P76" s="89"/>
      <c r="Q76" s="85" t="str">
        <f t="shared" si="3"/>
        <v/>
      </c>
      <c r="R76" s="85" t="str">
        <f t="shared" si="4"/>
        <v/>
      </c>
      <c r="S76" s="84"/>
      <c r="T76" s="85"/>
      <c r="U76" s="85"/>
      <c r="V76" s="84"/>
      <c r="W76" s="85"/>
      <c r="X76" s="85"/>
      <c r="Y76" s="84"/>
      <c r="Z76" s="85"/>
      <c r="AA76" s="85"/>
      <c r="AB76" s="84"/>
      <c r="AC76" s="85"/>
      <c r="AD76" s="85"/>
      <c r="AE76" s="84"/>
      <c r="AF76" s="85"/>
      <c r="AG76" s="85"/>
      <c r="AH76" s="84"/>
      <c r="AI76" s="85"/>
      <c r="AJ76" s="85"/>
      <c r="AK76" s="84"/>
      <c r="AL76" s="85"/>
      <c r="AM76" s="85"/>
      <c r="AN76" s="84"/>
      <c r="AO76" s="85"/>
      <c r="AP76" s="85"/>
      <c r="AQ76" s="84"/>
      <c r="AR76" s="85"/>
      <c r="AS76" s="85"/>
      <c r="AT76" s="84"/>
      <c r="AU76" s="85"/>
      <c r="AV76" s="85"/>
      <c r="AW76" s="84"/>
      <c r="AX76" s="85"/>
      <c r="AY76" s="85"/>
      <c r="AZ76" s="84"/>
      <c r="BA76" s="85"/>
      <c r="BB76" s="85"/>
      <c r="BC76" s="84" t="s">
        <v>648</v>
      </c>
      <c r="BD76" s="27"/>
      <c r="BI76" s="90" t="s">
        <v>649</v>
      </c>
      <c r="BJ76" s="90" t="s">
        <v>650</v>
      </c>
    </row>
    <row r="77" spans="1:62" s="90" customFormat="1" ht="12.75">
      <c r="A77" s="83" t="s">
        <v>651</v>
      </c>
      <c r="B77" s="84">
        <v>52</v>
      </c>
      <c r="C77" s="84" t="s">
        <v>652</v>
      </c>
      <c r="D77" s="84" t="s">
        <v>653</v>
      </c>
      <c r="E77" s="85">
        <v>1181250</v>
      </c>
      <c r="F77" s="85"/>
      <c r="G77" s="85">
        <v>39067</v>
      </c>
      <c r="H77" s="86">
        <v>43708</v>
      </c>
      <c r="I77" s="85">
        <v>4424</v>
      </c>
      <c r="J77" s="84"/>
      <c r="K77" s="87" t="str">
        <f t="shared" ca="1" si="0"/>
        <v/>
      </c>
      <c r="L77" s="88"/>
      <c r="M77" s="84" t="str">
        <f t="shared" ca="1" si="1"/>
        <v/>
      </c>
      <c r="N77" s="84"/>
      <c r="O77" s="89">
        <f t="shared" si="2"/>
        <v>0</v>
      </c>
      <c r="P77" s="89"/>
      <c r="Q77" s="85">
        <f t="shared" si="3"/>
        <v>0</v>
      </c>
      <c r="R77" s="85" t="str">
        <f t="shared" si="4"/>
        <v/>
      </c>
      <c r="S77" s="84"/>
      <c r="T77" s="85"/>
      <c r="U77" s="85"/>
      <c r="V77" s="84"/>
      <c r="W77" s="85"/>
      <c r="X77" s="85"/>
      <c r="Y77" s="84"/>
      <c r="Z77" s="85"/>
      <c r="AA77" s="85"/>
      <c r="AB77" s="84"/>
      <c r="AC77" s="85"/>
      <c r="AD77" s="85"/>
      <c r="AE77" s="84"/>
      <c r="AF77" s="85"/>
      <c r="AG77" s="85"/>
      <c r="AH77" s="84"/>
      <c r="AI77" s="85"/>
      <c r="AJ77" s="85"/>
      <c r="AK77" s="84"/>
      <c r="AL77" s="85"/>
      <c r="AM77" s="85"/>
      <c r="AN77" s="84"/>
      <c r="AO77" s="85"/>
      <c r="AP77" s="85"/>
      <c r="AQ77" s="84"/>
      <c r="AR77" s="85"/>
      <c r="AS77" s="85"/>
      <c r="AT77" s="84"/>
      <c r="AU77" s="85"/>
      <c r="AV77" s="85"/>
      <c r="AW77" s="84"/>
      <c r="AX77" s="85"/>
      <c r="AY77" s="85"/>
      <c r="AZ77" s="84"/>
      <c r="BA77" s="85"/>
      <c r="BB77" s="85"/>
      <c r="BC77" s="84" t="s">
        <v>654</v>
      </c>
      <c r="BD77" s="27"/>
      <c r="BI77" s="90" t="s">
        <v>655</v>
      </c>
      <c r="BJ77" s="90" t="s">
        <v>656</v>
      </c>
    </row>
    <row r="78" spans="1:62" s="90" customFormat="1" ht="12.75">
      <c r="A78" s="83" t="s">
        <v>657</v>
      </c>
      <c r="B78" s="84">
        <v>53</v>
      </c>
      <c r="C78" s="84" t="s">
        <v>658</v>
      </c>
      <c r="D78" s="84" t="s">
        <v>659</v>
      </c>
      <c r="E78" s="85">
        <v>592000</v>
      </c>
      <c r="F78" s="85"/>
      <c r="G78" s="85"/>
      <c r="H78" s="86">
        <v>43901</v>
      </c>
      <c r="I78" s="85">
        <v>67264</v>
      </c>
      <c r="J78" s="84"/>
      <c r="K78" s="87" t="str">
        <f t="shared" ca="1" si="0"/>
        <v/>
      </c>
      <c r="L78" s="88"/>
      <c r="M78" s="84" t="str">
        <f t="shared" ca="1" si="1"/>
        <v/>
      </c>
      <c r="N78" s="84"/>
      <c r="O78" s="89" t="str">
        <f t="shared" si="2"/>
        <v/>
      </c>
      <c r="P78" s="89"/>
      <c r="Q78" s="85" t="str">
        <f t="shared" si="3"/>
        <v/>
      </c>
      <c r="R78" s="85" t="str">
        <f t="shared" si="4"/>
        <v/>
      </c>
      <c r="S78" s="84"/>
      <c r="T78" s="85"/>
      <c r="U78" s="85"/>
      <c r="V78" s="84"/>
      <c r="W78" s="85"/>
      <c r="X78" s="85"/>
      <c r="Y78" s="84"/>
      <c r="Z78" s="85"/>
      <c r="AA78" s="85"/>
      <c r="AB78" s="84"/>
      <c r="AC78" s="85"/>
      <c r="AD78" s="85"/>
      <c r="AE78" s="84"/>
      <c r="AF78" s="85"/>
      <c r="AG78" s="85"/>
      <c r="AH78" s="84"/>
      <c r="AI78" s="85"/>
      <c r="AJ78" s="85"/>
      <c r="AK78" s="84"/>
      <c r="AL78" s="85"/>
      <c r="AM78" s="85"/>
      <c r="AN78" s="84"/>
      <c r="AO78" s="85"/>
      <c r="AP78" s="85"/>
      <c r="AQ78" s="84"/>
      <c r="AR78" s="85"/>
      <c r="AS78" s="85"/>
      <c r="AT78" s="84"/>
      <c r="AU78" s="85"/>
      <c r="AV78" s="85"/>
      <c r="AW78" s="84"/>
      <c r="AX78" s="85"/>
      <c r="AY78" s="85"/>
      <c r="AZ78" s="84"/>
      <c r="BA78" s="85"/>
      <c r="BB78" s="85"/>
      <c r="BC78" s="84"/>
      <c r="BD78" s="27"/>
      <c r="BI78" s="90" t="s">
        <v>660</v>
      </c>
      <c r="BJ78" s="90" t="s">
        <v>661</v>
      </c>
    </row>
    <row r="79" spans="1:62" s="90" customFormat="1" ht="12.75">
      <c r="A79" s="83" t="s">
        <v>662</v>
      </c>
      <c r="B79" s="84">
        <v>54</v>
      </c>
      <c r="C79" s="84" t="s">
        <v>663</v>
      </c>
      <c r="D79" s="84" t="s">
        <v>664</v>
      </c>
      <c r="E79" s="85">
        <v>832000</v>
      </c>
      <c r="F79" s="85"/>
      <c r="G79" s="85">
        <v>26937</v>
      </c>
      <c r="H79" s="86">
        <v>44468</v>
      </c>
      <c r="I79" s="85">
        <v>500660</v>
      </c>
      <c r="J79" s="84"/>
      <c r="K79" s="87" t="str">
        <f t="shared" ca="1" si="0"/>
        <v/>
      </c>
      <c r="L79" s="88"/>
      <c r="M79" s="84" t="str">
        <f t="shared" ca="1" si="1"/>
        <v/>
      </c>
      <c r="N79" s="84"/>
      <c r="O79" s="89">
        <f t="shared" si="2"/>
        <v>0</v>
      </c>
      <c r="P79" s="89"/>
      <c r="Q79" s="85">
        <f t="shared" si="3"/>
        <v>0</v>
      </c>
      <c r="R79" s="85" t="str">
        <f t="shared" si="4"/>
        <v/>
      </c>
      <c r="S79" s="84"/>
      <c r="T79" s="85"/>
      <c r="U79" s="85"/>
      <c r="V79" s="84"/>
      <c r="W79" s="85"/>
      <c r="X79" s="85"/>
      <c r="Y79" s="84"/>
      <c r="Z79" s="85"/>
      <c r="AA79" s="85"/>
      <c r="AB79" s="84"/>
      <c r="AC79" s="85"/>
      <c r="AD79" s="85"/>
      <c r="AE79" s="84"/>
      <c r="AF79" s="85"/>
      <c r="AG79" s="85"/>
      <c r="AH79" s="84"/>
      <c r="AI79" s="85"/>
      <c r="AJ79" s="85"/>
      <c r="AK79" s="84"/>
      <c r="AL79" s="85"/>
      <c r="AM79" s="85"/>
      <c r="AN79" s="84"/>
      <c r="AO79" s="85"/>
      <c r="AP79" s="85"/>
      <c r="AQ79" s="84"/>
      <c r="AR79" s="85"/>
      <c r="AS79" s="85"/>
      <c r="AT79" s="84"/>
      <c r="AU79" s="85"/>
      <c r="AV79" s="85"/>
      <c r="AW79" s="84"/>
      <c r="AX79" s="85"/>
      <c r="AY79" s="85"/>
      <c r="AZ79" s="84"/>
      <c r="BA79" s="85"/>
      <c r="BB79" s="85"/>
      <c r="BC79" s="84"/>
      <c r="BD79" s="27"/>
      <c r="BI79" s="90" t="s">
        <v>665</v>
      </c>
      <c r="BJ79" s="90" t="s">
        <v>666</v>
      </c>
    </row>
    <row r="80" spans="1:62" s="90" customFormat="1" ht="12.75">
      <c r="A80" s="83" t="s">
        <v>667</v>
      </c>
      <c r="B80" s="84">
        <v>55</v>
      </c>
      <c r="C80" s="84" t="s">
        <v>668</v>
      </c>
      <c r="D80" s="84" t="s">
        <v>669</v>
      </c>
      <c r="E80" s="85">
        <v>2272000</v>
      </c>
      <c r="F80" s="85"/>
      <c r="G80" s="85"/>
      <c r="H80" s="86">
        <v>44224</v>
      </c>
      <c r="I80" s="85">
        <v>768262</v>
      </c>
      <c r="J80" s="84"/>
      <c r="K80" s="87" t="str">
        <f t="shared" ca="1" si="0"/>
        <v/>
      </c>
      <c r="L80" s="88"/>
      <c r="M80" s="84" t="str">
        <f t="shared" ca="1" si="1"/>
        <v/>
      </c>
      <c r="N80" s="84"/>
      <c r="O80" s="89" t="str">
        <f t="shared" si="2"/>
        <v/>
      </c>
      <c r="P80" s="89"/>
      <c r="Q80" s="85" t="str">
        <f t="shared" si="3"/>
        <v/>
      </c>
      <c r="R80" s="85" t="str">
        <f t="shared" si="4"/>
        <v/>
      </c>
      <c r="S80" s="84"/>
      <c r="T80" s="85"/>
      <c r="U80" s="85"/>
      <c r="V80" s="84"/>
      <c r="W80" s="85"/>
      <c r="X80" s="85"/>
      <c r="Y80" s="84"/>
      <c r="Z80" s="85"/>
      <c r="AA80" s="85"/>
      <c r="AB80" s="84"/>
      <c r="AC80" s="85"/>
      <c r="AD80" s="85"/>
      <c r="AE80" s="84"/>
      <c r="AF80" s="85"/>
      <c r="AG80" s="85"/>
      <c r="AH80" s="84"/>
      <c r="AI80" s="85"/>
      <c r="AJ80" s="85"/>
      <c r="AK80" s="84"/>
      <c r="AL80" s="85"/>
      <c r="AM80" s="85"/>
      <c r="AN80" s="84"/>
      <c r="AO80" s="85"/>
      <c r="AP80" s="85"/>
      <c r="AQ80" s="84"/>
      <c r="AR80" s="85"/>
      <c r="AS80" s="85"/>
      <c r="AT80" s="84"/>
      <c r="AU80" s="85"/>
      <c r="AV80" s="85"/>
      <c r="AW80" s="84"/>
      <c r="AX80" s="85"/>
      <c r="AY80" s="85"/>
      <c r="AZ80" s="84"/>
      <c r="BA80" s="85"/>
      <c r="BB80" s="85"/>
      <c r="BC80" s="84"/>
      <c r="BD80" s="27"/>
      <c r="BI80" s="90" t="s">
        <v>670</v>
      </c>
      <c r="BJ80" s="90" t="s">
        <v>671</v>
      </c>
    </row>
    <row r="81" spans="1:62" s="90" customFormat="1" ht="12.75">
      <c r="A81" s="83" t="s">
        <v>672</v>
      </c>
      <c r="B81" s="84">
        <v>56</v>
      </c>
      <c r="C81" s="84" t="s">
        <v>673</v>
      </c>
      <c r="D81" s="84" t="s">
        <v>674</v>
      </c>
      <c r="E81" s="85">
        <v>20000000</v>
      </c>
      <c r="F81" s="85"/>
      <c r="G81" s="85">
        <v>227567</v>
      </c>
      <c r="H81" s="86">
        <v>43496</v>
      </c>
      <c r="I81" s="85">
        <v>13691177</v>
      </c>
      <c r="J81" s="84">
        <v>150</v>
      </c>
      <c r="K81" s="87">
        <f t="shared" ca="1" si="0"/>
        <v>92.9</v>
      </c>
      <c r="L81" s="88"/>
      <c r="M81" s="84">
        <f t="shared" ca="1" si="1"/>
        <v>227567</v>
      </c>
      <c r="N81" s="84"/>
      <c r="O81" s="89">
        <f t="shared" si="2"/>
        <v>0</v>
      </c>
      <c r="P81" s="89"/>
      <c r="Q81" s="85">
        <f t="shared" si="3"/>
        <v>0</v>
      </c>
      <c r="R81" s="85" t="str">
        <f t="shared" si="4"/>
        <v/>
      </c>
      <c r="S81" s="84"/>
      <c r="T81" s="85"/>
      <c r="U81" s="85"/>
      <c r="V81" s="84"/>
      <c r="W81" s="85"/>
      <c r="X81" s="85"/>
      <c r="Y81" s="84"/>
      <c r="Z81" s="85"/>
      <c r="AA81" s="85"/>
      <c r="AB81" s="84"/>
      <c r="AC81" s="85"/>
      <c r="AD81" s="85"/>
      <c r="AE81" s="84"/>
      <c r="AF81" s="85"/>
      <c r="AG81" s="85"/>
      <c r="AH81" s="84"/>
      <c r="AI81" s="85"/>
      <c r="AJ81" s="85"/>
      <c r="AK81" s="84"/>
      <c r="AL81" s="85"/>
      <c r="AM81" s="85"/>
      <c r="AN81" s="84"/>
      <c r="AO81" s="85"/>
      <c r="AP81" s="85"/>
      <c r="AQ81" s="84"/>
      <c r="AR81" s="85"/>
      <c r="AS81" s="85"/>
      <c r="AT81" s="84"/>
      <c r="AU81" s="85"/>
      <c r="AV81" s="85"/>
      <c r="AW81" s="84"/>
      <c r="AX81" s="85"/>
      <c r="AY81" s="85"/>
      <c r="AZ81" s="84"/>
      <c r="BA81" s="85"/>
      <c r="BB81" s="85"/>
      <c r="BC81" s="84"/>
      <c r="BD81" s="27"/>
      <c r="BI81" s="90" t="s">
        <v>675</v>
      </c>
      <c r="BJ81" s="90" t="s">
        <v>676</v>
      </c>
    </row>
    <row r="82" spans="1:62" s="90" customFormat="1" ht="12.75">
      <c r="A82" s="83" t="s">
        <v>677</v>
      </c>
      <c r="B82" s="84">
        <v>57</v>
      </c>
      <c r="C82" s="84" t="s">
        <v>678</v>
      </c>
      <c r="D82" s="84" t="s">
        <v>679</v>
      </c>
      <c r="E82" s="85">
        <v>1</v>
      </c>
      <c r="F82" s="85"/>
      <c r="G82" s="85"/>
      <c r="H82" s="86">
        <v>44705</v>
      </c>
      <c r="I82" s="85"/>
      <c r="J82" s="84"/>
      <c r="K82" s="87" t="str">
        <f t="shared" ca="1" si="0"/>
        <v/>
      </c>
      <c r="L82" s="88"/>
      <c r="M82" s="84" t="str">
        <f t="shared" ca="1" si="1"/>
        <v/>
      </c>
      <c r="N82" s="84"/>
      <c r="O82" s="89" t="str">
        <f t="shared" si="2"/>
        <v/>
      </c>
      <c r="P82" s="89"/>
      <c r="Q82" s="85" t="str">
        <f t="shared" si="3"/>
        <v/>
      </c>
      <c r="R82" s="85" t="str">
        <f t="shared" si="4"/>
        <v/>
      </c>
      <c r="S82" s="84"/>
      <c r="T82" s="85"/>
      <c r="U82" s="85"/>
      <c r="V82" s="84"/>
      <c r="W82" s="85"/>
      <c r="X82" s="85"/>
      <c r="Y82" s="84"/>
      <c r="Z82" s="85"/>
      <c r="AA82" s="85"/>
      <c r="AB82" s="84"/>
      <c r="AC82" s="85"/>
      <c r="AD82" s="85"/>
      <c r="AE82" s="84"/>
      <c r="AF82" s="85"/>
      <c r="AG82" s="85"/>
      <c r="AH82" s="84"/>
      <c r="AI82" s="85"/>
      <c r="AJ82" s="85"/>
      <c r="AK82" s="84"/>
      <c r="AL82" s="85"/>
      <c r="AM82" s="85"/>
      <c r="AN82" s="84"/>
      <c r="AO82" s="85"/>
      <c r="AP82" s="85"/>
      <c r="AQ82" s="84"/>
      <c r="AR82" s="85"/>
      <c r="AS82" s="85"/>
      <c r="AT82" s="84"/>
      <c r="AU82" s="85"/>
      <c r="AV82" s="85"/>
      <c r="AW82" s="84"/>
      <c r="AX82" s="85"/>
      <c r="AY82" s="85"/>
      <c r="AZ82" s="84"/>
      <c r="BA82" s="85"/>
      <c r="BB82" s="85"/>
      <c r="BC82" s="84"/>
      <c r="BD82" s="27"/>
      <c r="BI82" s="90" t="s">
        <v>680</v>
      </c>
      <c r="BJ82" s="90" t="s">
        <v>681</v>
      </c>
    </row>
    <row r="83" spans="1:62" s="90" customFormat="1" ht="12.75">
      <c r="A83" s="83" t="s">
        <v>682</v>
      </c>
      <c r="B83" s="84">
        <v>58</v>
      </c>
      <c r="C83" s="84" t="s">
        <v>683</v>
      </c>
      <c r="D83" s="84" t="s">
        <v>684</v>
      </c>
      <c r="E83" s="85">
        <v>6825446</v>
      </c>
      <c r="F83" s="85"/>
      <c r="G83" s="85">
        <v>220875</v>
      </c>
      <c r="H83" s="86">
        <v>44113</v>
      </c>
      <c r="I83" s="85">
        <v>3791914</v>
      </c>
      <c r="J83" s="84">
        <v>48</v>
      </c>
      <c r="K83" s="87">
        <f t="shared" ca="1" si="0"/>
        <v>11.466666666666669</v>
      </c>
      <c r="L83" s="88"/>
      <c r="M83" s="84">
        <f t="shared" ca="1" si="1"/>
        <v>220875</v>
      </c>
      <c r="N83" s="84"/>
      <c r="O83" s="89">
        <f t="shared" si="2"/>
        <v>0</v>
      </c>
      <c r="P83" s="89"/>
      <c r="Q83" s="85">
        <f t="shared" si="3"/>
        <v>0</v>
      </c>
      <c r="R83" s="85" t="str">
        <f t="shared" si="4"/>
        <v/>
      </c>
      <c r="S83" s="84"/>
      <c r="T83" s="85"/>
      <c r="U83" s="85"/>
      <c r="V83" s="84"/>
      <c r="W83" s="85"/>
      <c r="X83" s="85"/>
      <c r="Y83" s="84"/>
      <c r="Z83" s="85"/>
      <c r="AA83" s="85"/>
      <c r="AB83" s="84"/>
      <c r="AC83" s="85"/>
      <c r="AD83" s="85"/>
      <c r="AE83" s="84"/>
      <c r="AF83" s="85"/>
      <c r="AG83" s="85"/>
      <c r="AH83" s="84"/>
      <c r="AI83" s="85"/>
      <c r="AJ83" s="85"/>
      <c r="AK83" s="84"/>
      <c r="AL83" s="85"/>
      <c r="AM83" s="85"/>
      <c r="AN83" s="84"/>
      <c r="AO83" s="85"/>
      <c r="AP83" s="85"/>
      <c r="AQ83" s="84"/>
      <c r="AR83" s="85"/>
      <c r="AS83" s="85"/>
      <c r="AT83" s="84"/>
      <c r="AU83" s="85"/>
      <c r="AV83" s="85"/>
      <c r="AW83" s="84"/>
      <c r="AX83" s="85"/>
      <c r="AY83" s="85"/>
      <c r="AZ83" s="84"/>
      <c r="BA83" s="85"/>
      <c r="BB83" s="85"/>
      <c r="BC83" s="84"/>
      <c r="BD83" s="27"/>
      <c r="BI83" s="90" t="s">
        <v>685</v>
      </c>
      <c r="BJ83" s="90" t="s">
        <v>686</v>
      </c>
    </row>
    <row r="84" spans="1:62" s="90" customFormat="1" ht="12.75">
      <c r="A84" s="83" t="s">
        <v>687</v>
      </c>
      <c r="B84" s="84">
        <v>59</v>
      </c>
      <c r="C84" s="84" t="s">
        <v>688</v>
      </c>
      <c r="D84" s="84" t="s">
        <v>689</v>
      </c>
      <c r="E84" s="85">
        <v>15000000</v>
      </c>
      <c r="F84" s="85"/>
      <c r="G84" s="85">
        <v>348525</v>
      </c>
      <c r="H84" s="86">
        <v>44104</v>
      </c>
      <c r="I84" s="85">
        <v>6600000</v>
      </c>
      <c r="J84" s="84">
        <v>60</v>
      </c>
      <c r="K84" s="87">
        <f t="shared" ca="1" si="0"/>
        <v>23.166666666666664</v>
      </c>
      <c r="L84" s="88"/>
      <c r="M84" s="84">
        <f t="shared" ca="1" si="1"/>
        <v>348525</v>
      </c>
      <c r="N84" s="84"/>
      <c r="O84" s="89">
        <f t="shared" si="2"/>
        <v>0</v>
      </c>
      <c r="P84" s="89"/>
      <c r="Q84" s="85">
        <f t="shared" si="3"/>
        <v>0</v>
      </c>
      <c r="R84" s="85" t="str">
        <f t="shared" si="4"/>
        <v/>
      </c>
      <c r="S84" s="84"/>
      <c r="T84" s="85"/>
      <c r="U84" s="85"/>
      <c r="V84" s="84"/>
      <c r="W84" s="85"/>
      <c r="X84" s="85"/>
      <c r="Y84" s="84"/>
      <c r="Z84" s="85"/>
      <c r="AA84" s="85"/>
      <c r="AB84" s="84"/>
      <c r="AC84" s="85"/>
      <c r="AD84" s="85"/>
      <c r="AE84" s="84"/>
      <c r="AF84" s="85"/>
      <c r="AG84" s="85"/>
      <c r="AH84" s="84"/>
      <c r="AI84" s="85"/>
      <c r="AJ84" s="85"/>
      <c r="AK84" s="84"/>
      <c r="AL84" s="85"/>
      <c r="AM84" s="85"/>
      <c r="AN84" s="84"/>
      <c r="AO84" s="85"/>
      <c r="AP84" s="85"/>
      <c r="AQ84" s="84"/>
      <c r="AR84" s="85"/>
      <c r="AS84" s="85"/>
      <c r="AT84" s="84"/>
      <c r="AU84" s="85"/>
      <c r="AV84" s="85"/>
      <c r="AW84" s="84"/>
      <c r="AX84" s="85"/>
      <c r="AY84" s="85"/>
      <c r="AZ84" s="84"/>
      <c r="BA84" s="85"/>
      <c r="BB84" s="85"/>
      <c r="BC84" s="84"/>
      <c r="BD84" s="27"/>
      <c r="BI84" s="90" t="s">
        <v>690</v>
      </c>
      <c r="BJ84" s="90" t="s">
        <v>691</v>
      </c>
    </row>
    <row r="85" spans="1:62" s="90" customFormat="1" ht="12.75">
      <c r="A85" s="83" t="s">
        <v>692</v>
      </c>
      <c r="B85" s="84">
        <v>60</v>
      </c>
      <c r="C85" s="84" t="s">
        <v>693</v>
      </c>
      <c r="D85" s="84" t="s">
        <v>694</v>
      </c>
      <c r="E85" s="85">
        <v>3700000</v>
      </c>
      <c r="F85" s="85"/>
      <c r="G85" s="85">
        <v>29068</v>
      </c>
      <c r="H85" s="86">
        <v>44657</v>
      </c>
      <c r="I85" s="85">
        <v>3700000</v>
      </c>
      <c r="J85" s="84">
        <v>60</v>
      </c>
      <c r="K85" s="87">
        <f t="shared" ca="1" si="0"/>
        <v>41.6</v>
      </c>
      <c r="L85" s="88"/>
      <c r="M85" s="84">
        <f t="shared" ca="1" si="1"/>
        <v>29068</v>
      </c>
      <c r="N85" s="84"/>
      <c r="O85" s="89">
        <f t="shared" si="2"/>
        <v>0</v>
      </c>
      <c r="P85" s="89"/>
      <c r="Q85" s="85">
        <f t="shared" si="3"/>
        <v>0</v>
      </c>
      <c r="R85" s="85" t="str">
        <f t="shared" si="4"/>
        <v/>
      </c>
      <c r="S85" s="84"/>
      <c r="T85" s="85"/>
      <c r="U85" s="85"/>
      <c r="V85" s="84"/>
      <c r="W85" s="85"/>
      <c r="X85" s="85"/>
      <c r="Y85" s="84"/>
      <c r="Z85" s="85"/>
      <c r="AA85" s="85"/>
      <c r="AB85" s="84"/>
      <c r="AC85" s="85"/>
      <c r="AD85" s="85"/>
      <c r="AE85" s="84"/>
      <c r="AF85" s="85"/>
      <c r="AG85" s="85"/>
      <c r="AH85" s="84"/>
      <c r="AI85" s="85"/>
      <c r="AJ85" s="85"/>
      <c r="AK85" s="84"/>
      <c r="AL85" s="85"/>
      <c r="AM85" s="85"/>
      <c r="AN85" s="84"/>
      <c r="AO85" s="85"/>
      <c r="AP85" s="85"/>
      <c r="AQ85" s="84"/>
      <c r="AR85" s="85"/>
      <c r="AS85" s="85"/>
      <c r="AT85" s="84"/>
      <c r="AU85" s="85"/>
      <c r="AV85" s="85"/>
      <c r="AW85" s="84"/>
      <c r="AX85" s="85"/>
      <c r="AY85" s="85"/>
      <c r="AZ85" s="84"/>
      <c r="BA85" s="85"/>
      <c r="BB85" s="85"/>
      <c r="BC85" s="84"/>
      <c r="BD85" s="27"/>
      <c r="BI85" s="90" t="s">
        <v>695</v>
      </c>
      <c r="BJ85" s="90" t="s">
        <v>696</v>
      </c>
    </row>
    <row r="86" spans="1:62" s="90" customFormat="1" ht="12.75">
      <c r="A86" s="83" t="s">
        <v>697</v>
      </c>
      <c r="B86" s="84">
        <v>61</v>
      </c>
      <c r="C86" s="84" t="s">
        <v>698</v>
      </c>
      <c r="D86" s="84" t="s">
        <v>699</v>
      </c>
      <c r="E86" s="85">
        <v>46500000</v>
      </c>
      <c r="F86" s="85"/>
      <c r="G86" s="85"/>
      <c r="H86" s="84" t="s">
        <v>700</v>
      </c>
      <c r="I86" s="85">
        <v>35508096</v>
      </c>
      <c r="J86" s="84"/>
      <c r="K86" s="87" t="str">
        <f t="shared" ca="1" si="0"/>
        <v/>
      </c>
      <c r="L86" s="88"/>
      <c r="M86" s="84" t="str">
        <f t="shared" ca="1" si="1"/>
        <v/>
      </c>
      <c r="N86" s="84"/>
      <c r="O86" s="89" t="str">
        <f t="shared" si="2"/>
        <v/>
      </c>
      <c r="P86" s="89"/>
      <c r="Q86" s="85" t="str">
        <f t="shared" si="3"/>
        <v/>
      </c>
      <c r="R86" s="85" t="str">
        <f t="shared" si="4"/>
        <v/>
      </c>
      <c r="S86" s="84"/>
      <c r="T86" s="85"/>
      <c r="U86" s="85"/>
      <c r="V86" s="84"/>
      <c r="W86" s="85"/>
      <c r="X86" s="85"/>
      <c r="Y86" s="84"/>
      <c r="Z86" s="85"/>
      <c r="AA86" s="85"/>
      <c r="AB86" s="84"/>
      <c r="AC86" s="85"/>
      <c r="AD86" s="85"/>
      <c r="AE86" s="84"/>
      <c r="AF86" s="85"/>
      <c r="AG86" s="85"/>
      <c r="AH86" s="84"/>
      <c r="AI86" s="85"/>
      <c r="AJ86" s="85"/>
      <c r="AK86" s="84"/>
      <c r="AL86" s="85"/>
      <c r="AM86" s="85"/>
      <c r="AN86" s="84"/>
      <c r="AO86" s="85"/>
      <c r="AP86" s="85"/>
      <c r="AQ86" s="84"/>
      <c r="AR86" s="85"/>
      <c r="AS86" s="85"/>
      <c r="AT86" s="84"/>
      <c r="AU86" s="85"/>
      <c r="AV86" s="85"/>
      <c r="AW86" s="84"/>
      <c r="AX86" s="85"/>
      <c r="AY86" s="85"/>
      <c r="AZ86" s="84"/>
      <c r="BA86" s="85"/>
      <c r="BB86" s="85"/>
      <c r="BC86" s="84"/>
      <c r="BD86" s="27"/>
      <c r="BI86" s="90" t="s">
        <v>701</v>
      </c>
      <c r="BJ86" s="90" t="s">
        <v>702</v>
      </c>
    </row>
    <row r="87" spans="1:62" s="90" customFormat="1" ht="12.75">
      <c r="A87" s="83" t="s">
        <v>703</v>
      </c>
      <c r="B87" s="84">
        <v>62</v>
      </c>
      <c r="C87" s="84" t="s">
        <v>704</v>
      </c>
      <c r="D87" s="84" t="s">
        <v>705</v>
      </c>
      <c r="E87" s="85">
        <v>439850</v>
      </c>
      <c r="F87" s="85"/>
      <c r="G87" s="85">
        <v>14035</v>
      </c>
      <c r="H87" s="86">
        <v>44334</v>
      </c>
      <c r="I87" s="85">
        <v>200334</v>
      </c>
      <c r="J87" s="84">
        <v>35</v>
      </c>
      <c r="K87" s="87">
        <f t="shared" ca="1" si="0"/>
        <v>5.8333333333333321</v>
      </c>
      <c r="L87" s="88"/>
      <c r="M87" s="84">
        <f t="shared" ca="1" si="1"/>
        <v>14035</v>
      </c>
      <c r="N87" s="84"/>
      <c r="O87" s="89">
        <f t="shared" si="2"/>
        <v>0</v>
      </c>
      <c r="P87" s="89"/>
      <c r="Q87" s="85">
        <f t="shared" si="3"/>
        <v>0</v>
      </c>
      <c r="R87" s="85" t="str">
        <f t="shared" si="4"/>
        <v/>
      </c>
      <c r="S87" s="84"/>
      <c r="T87" s="85"/>
      <c r="U87" s="85"/>
      <c r="V87" s="84"/>
      <c r="W87" s="85"/>
      <c r="X87" s="85"/>
      <c r="Y87" s="84"/>
      <c r="Z87" s="85"/>
      <c r="AA87" s="85"/>
      <c r="AB87" s="84"/>
      <c r="AC87" s="85"/>
      <c r="AD87" s="85"/>
      <c r="AE87" s="84"/>
      <c r="AF87" s="85"/>
      <c r="AG87" s="85"/>
      <c r="AH87" s="84"/>
      <c r="AI87" s="85"/>
      <c r="AJ87" s="85"/>
      <c r="AK87" s="84"/>
      <c r="AL87" s="85"/>
      <c r="AM87" s="85"/>
      <c r="AN87" s="84"/>
      <c r="AO87" s="85"/>
      <c r="AP87" s="85"/>
      <c r="AQ87" s="84"/>
      <c r="AR87" s="85"/>
      <c r="AS87" s="85"/>
      <c r="AT87" s="84"/>
      <c r="AU87" s="85"/>
      <c r="AV87" s="85"/>
      <c r="AW87" s="84"/>
      <c r="AX87" s="85"/>
      <c r="AY87" s="85"/>
      <c r="AZ87" s="84"/>
      <c r="BA87" s="85"/>
      <c r="BB87" s="85"/>
      <c r="BC87" s="84"/>
      <c r="BD87" s="27"/>
      <c r="BI87" s="90" t="s">
        <v>706</v>
      </c>
      <c r="BJ87" s="90" t="s">
        <v>707</v>
      </c>
    </row>
    <row r="88" spans="1:62" s="90" customFormat="1" ht="12.75">
      <c r="A88" s="83" t="s">
        <v>708</v>
      </c>
      <c r="B88" s="84">
        <v>63</v>
      </c>
      <c r="C88" s="84" t="s">
        <v>709</v>
      </c>
      <c r="D88" s="84" t="s">
        <v>710</v>
      </c>
      <c r="E88" s="85">
        <v>5273077</v>
      </c>
      <c r="F88" s="85"/>
      <c r="G88" s="85">
        <v>105920</v>
      </c>
      <c r="H88" s="86">
        <v>44449</v>
      </c>
      <c r="I88" s="85">
        <v>4017166</v>
      </c>
      <c r="J88" s="84">
        <v>59</v>
      </c>
      <c r="K88" s="87">
        <f t="shared" ca="1" si="0"/>
        <v>33.666666666666671</v>
      </c>
      <c r="L88" s="88"/>
      <c r="M88" s="84">
        <f t="shared" ca="1" si="1"/>
        <v>105920</v>
      </c>
      <c r="N88" s="84"/>
      <c r="O88" s="89">
        <f t="shared" si="2"/>
        <v>0</v>
      </c>
      <c r="P88" s="89"/>
      <c r="Q88" s="85">
        <f t="shared" si="3"/>
        <v>0</v>
      </c>
      <c r="R88" s="85" t="str">
        <f t="shared" si="4"/>
        <v/>
      </c>
      <c r="S88" s="84"/>
      <c r="T88" s="85"/>
      <c r="U88" s="85"/>
      <c r="V88" s="84"/>
      <c r="W88" s="85"/>
      <c r="X88" s="85"/>
      <c r="Y88" s="84"/>
      <c r="Z88" s="85"/>
      <c r="AA88" s="85"/>
      <c r="AB88" s="84"/>
      <c r="AC88" s="85"/>
      <c r="AD88" s="85"/>
      <c r="AE88" s="84"/>
      <c r="AF88" s="85"/>
      <c r="AG88" s="85"/>
      <c r="AH88" s="84"/>
      <c r="AI88" s="85"/>
      <c r="AJ88" s="85"/>
      <c r="AK88" s="84"/>
      <c r="AL88" s="85"/>
      <c r="AM88" s="85"/>
      <c r="AN88" s="84"/>
      <c r="AO88" s="85"/>
      <c r="AP88" s="85"/>
      <c r="AQ88" s="84"/>
      <c r="AR88" s="85"/>
      <c r="AS88" s="85"/>
      <c r="AT88" s="84"/>
      <c r="AU88" s="85"/>
      <c r="AV88" s="85"/>
      <c r="AW88" s="84"/>
      <c r="AX88" s="85"/>
      <c r="AY88" s="85"/>
      <c r="AZ88" s="84"/>
      <c r="BA88" s="85"/>
      <c r="BB88" s="85"/>
      <c r="BC88" s="84"/>
      <c r="BD88" s="27"/>
      <c r="BI88" s="90" t="s">
        <v>711</v>
      </c>
      <c r="BJ88" s="90" t="s">
        <v>712</v>
      </c>
    </row>
    <row r="89" spans="1:62" s="90" customFormat="1" ht="12.75">
      <c r="A89" s="83" t="s">
        <v>713</v>
      </c>
      <c r="B89" s="84">
        <v>64</v>
      </c>
      <c r="C89" s="84" t="s">
        <v>714</v>
      </c>
      <c r="D89" s="84" t="s">
        <v>715</v>
      </c>
      <c r="E89" s="85">
        <v>562000</v>
      </c>
      <c r="F89" s="85"/>
      <c r="G89" s="85">
        <v>4332</v>
      </c>
      <c r="H89" s="86">
        <v>44599</v>
      </c>
      <c r="I89" s="85">
        <v>562000</v>
      </c>
      <c r="J89" s="84">
        <v>49</v>
      </c>
      <c r="K89" s="87">
        <f t="shared" ca="1" si="0"/>
        <v>28.666666666666668</v>
      </c>
      <c r="L89" s="88"/>
      <c r="M89" s="84">
        <f t="shared" ca="1" si="1"/>
        <v>4332</v>
      </c>
      <c r="N89" s="84"/>
      <c r="O89" s="89">
        <f t="shared" si="2"/>
        <v>0</v>
      </c>
      <c r="P89" s="89"/>
      <c r="Q89" s="85">
        <f t="shared" si="3"/>
        <v>0</v>
      </c>
      <c r="R89" s="85" t="str">
        <f t="shared" si="4"/>
        <v/>
      </c>
      <c r="S89" s="84"/>
      <c r="T89" s="85"/>
      <c r="U89" s="85"/>
      <c r="V89" s="84"/>
      <c r="W89" s="85"/>
      <c r="X89" s="85"/>
      <c r="Y89" s="84"/>
      <c r="Z89" s="85"/>
      <c r="AA89" s="85"/>
      <c r="AB89" s="84"/>
      <c r="AC89" s="85"/>
      <c r="AD89" s="85"/>
      <c r="AE89" s="84"/>
      <c r="AF89" s="85"/>
      <c r="AG89" s="85"/>
      <c r="AH89" s="84"/>
      <c r="AI89" s="85"/>
      <c r="AJ89" s="85"/>
      <c r="AK89" s="84"/>
      <c r="AL89" s="85"/>
      <c r="AM89" s="85"/>
      <c r="AN89" s="84"/>
      <c r="AO89" s="85"/>
      <c r="AP89" s="85"/>
      <c r="AQ89" s="84"/>
      <c r="AR89" s="85"/>
      <c r="AS89" s="85"/>
      <c r="AT89" s="84"/>
      <c r="AU89" s="85"/>
      <c r="AV89" s="85"/>
      <c r="AW89" s="84"/>
      <c r="AX89" s="85"/>
      <c r="AY89" s="85"/>
      <c r="AZ89" s="84"/>
      <c r="BA89" s="85"/>
      <c r="BB89" s="85"/>
      <c r="BC89" s="84"/>
      <c r="BD89" s="27"/>
      <c r="BI89" s="90" t="s">
        <v>716</v>
      </c>
      <c r="BJ89" s="90" t="s">
        <v>717</v>
      </c>
    </row>
    <row r="90" spans="1:62" s="90" customFormat="1" ht="12.75">
      <c r="A90" s="83" t="s">
        <v>718</v>
      </c>
      <c r="B90" s="84">
        <v>65</v>
      </c>
      <c r="C90" s="84" t="s">
        <v>719</v>
      </c>
      <c r="D90" s="84" t="s">
        <v>720</v>
      </c>
      <c r="E90" s="85">
        <v>3451000</v>
      </c>
      <c r="F90" s="85"/>
      <c r="G90" s="85">
        <v>109420</v>
      </c>
      <c r="H90" s="86">
        <v>44341</v>
      </c>
      <c r="I90" s="85">
        <v>1462286</v>
      </c>
      <c r="J90" s="84">
        <v>34</v>
      </c>
      <c r="K90" s="87">
        <f t="shared" ca="1" si="0"/>
        <v>5.0666666666666664</v>
      </c>
      <c r="L90" s="88"/>
      <c r="M90" s="84">
        <f t="shared" ca="1" si="1"/>
        <v>109420</v>
      </c>
      <c r="N90" s="84"/>
      <c r="O90" s="89">
        <f t="shared" si="2"/>
        <v>0</v>
      </c>
      <c r="P90" s="89"/>
      <c r="Q90" s="85">
        <f t="shared" si="3"/>
        <v>0</v>
      </c>
      <c r="R90" s="85" t="str">
        <f t="shared" si="4"/>
        <v/>
      </c>
      <c r="S90" s="84"/>
      <c r="T90" s="85"/>
      <c r="U90" s="85"/>
      <c r="V90" s="84"/>
      <c r="W90" s="85"/>
      <c r="X90" s="85"/>
      <c r="Y90" s="84"/>
      <c r="Z90" s="85"/>
      <c r="AA90" s="85"/>
      <c r="AB90" s="84"/>
      <c r="AC90" s="85"/>
      <c r="AD90" s="85"/>
      <c r="AE90" s="84"/>
      <c r="AF90" s="85"/>
      <c r="AG90" s="85"/>
      <c r="AH90" s="84"/>
      <c r="AI90" s="85"/>
      <c r="AJ90" s="85"/>
      <c r="AK90" s="84"/>
      <c r="AL90" s="85"/>
      <c r="AM90" s="85"/>
      <c r="AN90" s="84"/>
      <c r="AO90" s="85"/>
      <c r="AP90" s="85"/>
      <c r="AQ90" s="84"/>
      <c r="AR90" s="85"/>
      <c r="AS90" s="85"/>
      <c r="AT90" s="84"/>
      <c r="AU90" s="85"/>
      <c r="AV90" s="85"/>
      <c r="AW90" s="84"/>
      <c r="AX90" s="85"/>
      <c r="AY90" s="85"/>
      <c r="AZ90" s="84"/>
      <c r="BA90" s="85"/>
      <c r="BB90" s="85"/>
      <c r="BC90" s="84"/>
      <c r="BD90" s="27"/>
      <c r="BI90" s="90" t="s">
        <v>721</v>
      </c>
      <c r="BJ90" s="90" t="s">
        <v>722</v>
      </c>
    </row>
    <row r="91" spans="1:62" s="90" customFormat="1" ht="12.75">
      <c r="A91" s="83" t="s">
        <v>723</v>
      </c>
      <c r="B91" s="84">
        <v>66</v>
      </c>
      <c r="C91" s="84" t="s">
        <v>724</v>
      </c>
      <c r="D91" s="84" t="s">
        <v>725</v>
      </c>
      <c r="E91" s="85">
        <v>3500000</v>
      </c>
      <c r="F91" s="85"/>
      <c r="G91" s="85">
        <v>69950</v>
      </c>
      <c r="H91" s="86">
        <v>44610</v>
      </c>
      <c r="I91" s="85">
        <v>2918559</v>
      </c>
      <c r="J91" s="84">
        <v>59</v>
      </c>
      <c r="K91" s="87">
        <f t="shared" ca="1" si="0"/>
        <v>39.033333333333331</v>
      </c>
      <c r="L91" s="88"/>
      <c r="M91" s="84">
        <f t="shared" ca="1" si="1"/>
        <v>69950</v>
      </c>
      <c r="N91" s="84"/>
      <c r="O91" s="89">
        <f t="shared" si="2"/>
        <v>0</v>
      </c>
      <c r="P91" s="89"/>
      <c r="Q91" s="85">
        <f t="shared" si="3"/>
        <v>0</v>
      </c>
      <c r="R91" s="85" t="str">
        <f t="shared" si="4"/>
        <v/>
      </c>
      <c r="S91" s="84"/>
      <c r="T91" s="85"/>
      <c r="U91" s="85"/>
      <c r="V91" s="84"/>
      <c r="W91" s="85"/>
      <c r="X91" s="85"/>
      <c r="Y91" s="84"/>
      <c r="Z91" s="85"/>
      <c r="AA91" s="85"/>
      <c r="AB91" s="84"/>
      <c r="AC91" s="85"/>
      <c r="AD91" s="85"/>
      <c r="AE91" s="84"/>
      <c r="AF91" s="85"/>
      <c r="AG91" s="85"/>
      <c r="AH91" s="84"/>
      <c r="AI91" s="85"/>
      <c r="AJ91" s="85"/>
      <c r="AK91" s="84"/>
      <c r="AL91" s="85"/>
      <c r="AM91" s="85"/>
      <c r="AN91" s="84"/>
      <c r="AO91" s="85"/>
      <c r="AP91" s="85"/>
      <c r="AQ91" s="84"/>
      <c r="AR91" s="85"/>
      <c r="AS91" s="85"/>
      <c r="AT91" s="84"/>
      <c r="AU91" s="85"/>
      <c r="AV91" s="85"/>
      <c r="AW91" s="84"/>
      <c r="AX91" s="85"/>
      <c r="AY91" s="85"/>
      <c r="AZ91" s="84"/>
      <c r="BA91" s="85"/>
      <c r="BB91" s="85"/>
      <c r="BC91" s="84"/>
      <c r="BD91" s="27"/>
      <c r="BI91" s="90" t="s">
        <v>726</v>
      </c>
      <c r="BJ91" s="90" t="s">
        <v>727</v>
      </c>
    </row>
    <row r="92" spans="1:62" s="90" customFormat="1" ht="12.75">
      <c r="A92" s="83" t="s">
        <v>728</v>
      </c>
      <c r="B92" s="84">
        <v>67</v>
      </c>
      <c r="C92" s="84" t="s">
        <v>729</v>
      </c>
      <c r="D92" s="84" t="s">
        <v>730</v>
      </c>
      <c r="E92" s="85">
        <v>3026000</v>
      </c>
      <c r="F92" s="85"/>
      <c r="G92" s="85">
        <v>60785</v>
      </c>
      <c r="H92" s="86">
        <v>44468</v>
      </c>
      <c r="I92" s="85">
        <v>2352340</v>
      </c>
      <c r="J92" s="84">
        <v>59</v>
      </c>
      <c r="K92" s="87">
        <f t="shared" ca="1" si="0"/>
        <v>34.299999999999997</v>
      </c>
      <c r="L92" s="88"/>
      <c r="M92" s="84">
        <f t="shared" ca="1" si="1"/>
        <v>60785</v>
      </c>
      <c r="N92" s="84"/>
      <c r="O92" s="89">
        <f t="shared" si="2"/>
        <v>0</v>
      </c>
      <c r="P92" s="89"/>
      <c r="Q92" s="85">
        <f t="shared" si="3"/>
        <v>0</v>
      </c>
      <c r="R92" s="85" t="str">
        <f t="shared" si="4"/>
        <v/>
      </c>
      <c r="S92" s="84"/>
      <c r="T92" s="85"/>
      <c r="U92" s="85"/>
      <c r="V92" s="84"/>
      <c r="W92" s="85"/>
      <c r="X92" s="85"/>
      <c r="Y92" s="84"/>
      <c r="Z92" s="85"/>
      <c r="AA92" s="85"/>
      <c r="AB92" s="84"/>
      <c r="AC92" s="85"/>
      <c r="AD92" s="85"/>
      <c r="AE92" s="84"/>
      <c r="AF92" s="85"/>
      <c r="AG92" s="85"/>
      <c r="AH92" s="84"/>
      <c r="AI92" s="85"/>
      <c r="AJ92" s="85"/>
      <c r="AK92" s="84"/>
      <c r="AL92" s="85"/>
      <c r="AM92" s="85"/>
      <c r="AN92" s="84"/>
      <c r="AO92" s="85"/>
      <c r="AP92" s="85"/>
      <c r="AQ92" s="84"/>
      <c r="AR92" s="85"/>
      <c r="AS92" s="85"/>
      <c r="AT92" s="84"/>
      <c r="AU92" s="85"/>
      <c r="AV92" s="85"/>
      <c r="AW92" s="84"/>
      <c r="AX92" s="85"/>
      <c r="AY92" s="85"/>
      <c r="AZ92" s="84"/>
      <c r="BA92" s="85"/>
      <c r="BB92" s="85"/>
      <c r="BC92" s="84"/>
      <c r="BD92" s="27"/>
      <c r="BI92" s="90" t="s">
        <v>731</v>
      </c>
      <c r="BJ92" s="90" t="s">
        <v>732</v>
      </c>
    </row>
    <row r="93" spans="1:62" s="90" customFormat="1" ht="12.75">
      <c r="A93" s="83" t="s">
        <v>733</v>
      </c>
      <c r="B93" s="84">
        <v>68</v>
      </c>
      <c r="C93" s="84" t="s">
        <v>734</v>
      </c>
      <c r="D93" s="84" t="s">
        <v>735</v>
      </c>
      <c r="E93" s="85">
        <v>9277000</v>
      </c>
      <c r="F93" s="85"/>
      <c r="G93" s="85">
        <v>71510</v>
      </c>
      <c r="H93" s="86">
        <v>44601</v>
      </c>
      <c r="I93" s="85">
        <v>9277000</v>
      </c>
      <c r="J93" s="84">
        <v>61</v>
      </c>
      <c r="K93" s="87">
        <f t="shared" ca="1" si="0"/>
        <v>40.733333333333334</v>
      </c>
      <c r="L93" s="88"/>
      <c r="M93" s="84">
        <f t="shared" ca="1" si="1"/>
        <v>71510</v>
      </c>
      <c r="N93" s="84"/>
      <c r="O93" s="89">
        <f t="shared" si="2"/>
        <v>0</v>
      </c>
      <c r="P93" s="89"/>
      <c r="Q93" s="85">
        <f t="shared" si="3"/>
        <v>0</v>
      </c>
      <c r="R93" s="85" t="str">
        <f t="shared" si="4"/>
        <v/>
      </c>
      <c r="S93" s="84"/>
      <c r="T93" s="85"/>
      <c r="U93" s="85"/>
      <c r="V93" s="84"/>
      <c r="W93" s="85"/>
      <c r="X93" s="85"/>
      <c r="Y93" s="84"/>
      <c r="Z93" s="85"/>
      <c r="AA93" s="85"/>
      <c r="AB93" s="84"/>
      <c r="AC93" s="85"/>
      <c r="AD93" s="85"/>
      <c r="AE93" s="84"/>
      <c r="AF93" s="85"/>
      <c r="AG93" s="85"/>
      <c r="AH93" s="84"/>
      <c r="AI93" s="85"/>
      <c r="AJ93" s="85"/>
      <c r="AK93" s="84"/>
      <c r="AL93" s="85"/>
      <c r="AM93" s="85"/>
      <c r="AN93" s="84"/>
      <c r="AO93" s="85"/>
      <c r="AP93" s="85"/>
      <c r="AQ93" s="84"/>
      <c r="AR93" s="85"/>
      <c r="AS93" s="85"/>
      <c r="AT93" s="84"/>
      <c r="AU93" s="85"/>
      <c r="AV93" s="85"/>
      <c r="AW93" s="84"/>
      <c r="AX93" s="85"/>
      <c r="AY93" s="85"/>
      <c r="AZ93" s="84"/>
      <c r="BA93" s="85"/>
      <c r="BB93" s="85"/>
      <c r="BC93" s="84"/>
      <c r="BD93" s="27"/>
      <c r="BI93" s="90" t="s">
        <v>736</v>
      </c>
      <c r="BJ93" s="90" t="s">
        <v>737</v>
      </c>
    </row>
    <row r="94" spans="1:62" s="90" customFormat="1" ht="12.75">
      <c r="A94" s="83" t="s">
        <v>738</v>
      </c>
      <c r="B94" s="84">
        <v>69</v>
      </c>
      <c r="C94" s="84" t="s">
        <v>739</v>
      </c>
      <c r="D94" s="84" t="s">
        <v>740</v>
      </c>
      <c r="E94" s="85">
        <v>1793000</v>
      </c>
      <c r="F94" s="85"/>
      <c r="G94" s="85">
        <v>57205</v>
      </c>
      <c r="H94" s="86">
        <v>44334</v>
      </c>
      <c r="I94" s="85">
        <v>816586</v>
      </c>
      <c r="J94" s="84">
        <v>35</v>
      </c>
      <c r="K94" s="87">
        <f t="shared" ca="1" si="0"/>
        <v>5.8333333333333321</v>
      </c>
      <c r="L94" s="88"/>
      <c r="M94" s="84">
        <f t="shared" ca="1" si="1"/>
        <v>57205</v>
      </c>
      <c r="N94" s="84"/>
      <c r="O94" s="89">
        <f t="shared" si="2"/>
        <v>0</v>
      </c>
      <c r="P94" s="89"/>
      <c r="Q94" s="85">
        <f t="shared" si="3"/>
        <v>0</v>
      </c>
      <c r="R94" s="85" t="str">
        <f t="shared" si="4"/>
        <v/>
      </c>
      <c r="S94" s="84"/>
      <c r="T94" s="85"/>
      <c r="U94" s="85"/>
      <c r="V94" s="84"/>
      <c r="W94" s="85"/>
      <c r="X94" s="85"/>
      <c r="Y94" s="84"/>
      <c r="Z94" s="85"/>
      <c r="AA94" s="85"/>
      <c r="AB94" s="84"/>
      <c r="AC94" s="85"/>
      <c r="AD94" s="85"/>
      <c r="AE94" s="84"/>
      <c r="AF94" s="85"/>
      <c r="AG94" s="85"/>
      <c r="AH94" s="84"/>
      <c r="AI94" s="85"/>
      <c r="AJ94" s="85"/>
      <c r="AK94" s="84"/>
      <c r="AL94" s="85"/>
      <c r="AM94" s="85"/>
      <c r="AN94" s="84"/>
      <c r="AO94" s="85"/>
      <c r="AP94" s="85"/>
      <c r="AQ94" s="84"/>
      <c r="AR94" s="85"/>
      <c r="AS94" s="85"/>
      <c r="AT94" s="84"/>
      <c r="AU94" s="85"/>
      <c r="AV94" s="85"/>
      <c r="AW94" s="84"/>
      <c r="AX94" s="85"/>
      <c r="AY94" s="85"/>
      <c r="AZ94" s="84"/>
      <c r="BA94" s="85"/>
      <c r="BB94" s="85"/>
      <c r="BC94" s="84"/>
      <c r="BD94" s="27"/>
      <c r="BI94" s="90" t="s">
        <v>741</v>
      </c>
      <c r="BJ94" s="90" t="s">
        <v>742</v>
      </c>
    </row>
    <row r="95" spans="1:62" s="90" customFormat="1" ht="12.75">
      <c r="A95" s="83" t="s">
        <v>743</v>
      </c>
      <c r="B95" s="84">
        <v>70</v>
      </c>
      <c r="C95" s="84" t="s">
        <v>744</v>
      </c>
      <c r="D95" s="84" t="s">
        <v>745</v>
      </c>
      <c r="E95" s="85">
        <v>1033000</v>
      </c>
      <c r="F95" s="85"/>
      <c r="G95" s="85">
        <v>32960</v>
      </c>
      <c r="H95" s="86">
        <v>44341</v>
      </c>
      <c r="I95" s="85">
        <v>470478</v>
      </c>
      <c r="J95" s="84">
        <v>35</v>
      </c>
      <c r="K95" s="87">
        <f t="shared" ca="1" si="0"/>
        <v>6.0666666666666664</v>
      </c>
      <c r="L95" s="88"/>
      <c r="M95" s="84">
        <f t="shared" ca="1" si="1"/>
        <v>32960</v>
      </c>
      <c r="N95" s="84"/>
      <c r="O95" s="89">
        <f t="shared" si="2"/>
        <v>0</v>
      </c>
      <c r="P95" s="89"/>
      <c r="Q95" s="85">
        <f t="shared" si="3"/>
        <v>0</v>
      </c>
      <c r="R95" s="85" t="str">
        <f t="shared" si="4"/>
        <v/>
      </c>
      <c r="S95" s="84"/>
      <c r="T95" s="85"/>
      <c r="U95" s="85"/>
      <c r="V95" s="84"/>
      <c r="W95" s="85"/>
      <c r="X95" s="85"/>
      <c r="Y95" s="84"/>
      <c r="Z95" s="85"/>
      <c r="AA95" s="85"/>
      <c r="AB95" s="84"/>
      <c r="AC95" s="85"/>
      <c r="AD95" s="85"/>
      <c r="AE95" s="84"/>
      <c r="AF95" s="85"/>
      <c r="AG95" s="85"/>
      <c r="AH95" s="84"/>
      <c r="AI95" s="85"/>
      <c r="AJ95" s="85"/>
      <c r="AK95" s="84"/>
      <c r="AL95" s="85"/>
      <c r="AM95" s="85"/>
      <c r="AN95" s="84"/>
      <c r="AO95" s="85"/>
      <c r="AP95" s="85"/>
      <c r="AQ95" s="84"/>
      <c r="AR95" s="85"/>
      <c r="AS95" s="85"/>
      <c r="AT95" s="84"/>
      <c r="AU95" s="85"/>
      <c r="AV95" s="85"/>
      <c r="AW95" s="84"/>
      <c r="AX95" s="85"/>
      <c r="AY95" s="85"/>
      <c r="AZ95" s="84"/>
      <c r="BA95" s="85"/>
      <c r="BB95" s="85"/>
      <c r="BC95" s="84"/>
      <c r="BD95" s="27"/>
      <c r="BI95" s="90" t="s">
        <v>746</v>
      </c>
      <c r="BJ95" s="90" t="s">
        <v>747</v>
      </c>
    </row>
    <row r="96" spans="1:62" s="90" customFormat="1" ht="12.75">
      <c r="A96" s="83" t="s">
        <v>748</v>
      </c>
      <c r="B96" s="84">
        <v>71</v>
      </c>
      <c r="C96" s="84" t="s">
        <v>749</v>
      </c>
      <c r="D96" s="84" t="s">
        <v>750</v>
      </c>
      <c r="E96" s="85">
        <v>15581000</v>
      </c>
      <c r="F96" s="85"/>
      <c r="G96" s="85">
        <v>311160</v>
      </c>
      <c r="H96" s="86">
        <v>44530</v>
      </c>
      <c r="I96" s="85">
        <v>12519288</v>
      </c>
      <c r="J96" s="84">
        <v>59</v>
      </c>
      <c r="K96" s="87">
        <f t="shared" ca="1" si="0"/>
        <v>36.366666666666667</v>
      </c>
      <c r="L96" s="88"/>
      <c r="M96" s="84">
        <f t="shared" ca="1" si="1"/>
        <v>311160</v>
      </c>
      <c r="N96" s="84"/>
      <c r="O96" s="89">
        <f t="shared" si="2"/>
        <v>0</v>
      </c>
      <c r="P96" s="89"/>
      <c r="Q96" s="85">
        <f t="shared" si="3"/>
        <v>0</v>
      </c>
      <c r="R96" s="85" t="str">
        <f t="shared" si="4"/>
        <v/>
      </c>
      <c r="S96" s="84"/>
      <c r="T96" s="85"/>
      <c r="U96" s="85"/>
      <c r="V96" s="84"/>
      <c r="W96" s="85"/>
      <c r="X96" s="85"/>
      <c r="Y96" s="84"/>
      <c r="Z96" s="85"/>
      <c r="AA96" s="85"/>
      <c r="AB96" s="84"/>
      <c r="AC96" s="85"/>
      <c r="AD96" s="85"/>
      <c r="AE96" s="84"/>
      <c r="AF96" s="85"/>
      <c r="AG96" s="85"/>
      <c r="AH96" s="84"/>
      <c r="AI96" s="85"/>
      <c r="AJ96" s="85"/>
      <c r="AK96" s="84"/>
      <c r="AL96" s="85"/>
      <c r="AM96" s="85"/>
      <c r="AN96" s="84"/>
      <c r="AO96" s="85"/>
      <c r="AP96" s="85"/>
      <c r="AQ96" s="84"/>
      <c r="AR96" s="85"/>
      <c r="AS96" s="85"/>
      <c r="AT96" s="84"/>
      <c r="AU96" s="85"/>
      <c r="AV96" s="85"/>
      <c r="AW96" s="84"/>
      <c r="AX96" s="85"/>
      <c r="AY96" s="85"/>
      <c r="AZ96" s="84"/>
      <c r="BA96" s="85"/>
      <c r="BB96" s="85"/>
      <c r="BC96" s="84"/>
      <c r="BD96" s="27"/>
      <c r="BI96" s="90" t="s">
        <v>751</v>
      </c>
      <c r="BJ96" s="90" t="s">
        <v>752</v>
      </c>
    </row>
    <row r="97" spans="1:62" s="90" customFormat="1" ht="12.75">
      <c r="A97" s="83" t="s">
        <v>753</v>
      </c>
      <c r="B97" s="84">
        <v>72</v>
      </c>
      <c r="C97" s="84" t="s">
        <v>754</v>
      </c>
      <c r="D97" s="84" t="s">
        <v>755</v>
      </c>
      <c r="E97" s="85">
        <v>9304000</v>
      </c>
      <c r="F97" s="85"/>
      <c r="G97" s="85">
        <v>186890</v>
      </c>
      <c r="H97" s="86">
        <v>44468</v>
      </c>
      <c r="I97" s="85">
        <v>7232685</v>
      </c>
      <c r="J97" s="84">
        <v>59</v>
      </c>
      <c r="K97" s="87">
        <f t="shared" ca="1" si="0"/>
        <v>34.299999999999997</v>
      </c>
      <c r="L97" s="88"/>
      <c r="M97" s="84">
        <f t="shared" ca="1" si="1"/>
        <v>186890</v>
      </c>
      <c r="N97" s="84"/>
      <c r="O97" s="89">
        <f t="shared" si="2"/>
        <v>0</v>
      </c>
      <c r="P97" s="89"/>
      <c r="Q97" s="85">
        <f t="shared" si="3"/>
        <v>0</v>
      </c>
      <c r="R97" s="85" t="str">
        <f t="shared" si="4"/>
        <v/>
      </c>
      <c r="S97" s="84"/>
      <c r="T97" s="85"/>
      <c r="U97" s="85"/>
      <c r="V97" s="84"/>
      <c r="W97" s="85"/>
      <c r="X97" s="85"/>
      <c r="Y97" s="84"/>
      <c r="Z97" s="85"/>
      <c r="AA97" s="85"/>
      <c r="AB97" s="84"/>
      <c r="AC97" s="85"/>
      <c r="AD97" s="85"/>
      <c r="AE97" s="84"/>
      <c r="AF97" s="85"/>
      <c r="AG97" s="85"/>
      <c r="AH97" s="84"/>
      <c r="AI97" s="85"/>
      <c r="AJ97" s="85"/>
      <c r="AK97" s="84"/>
      <c r="AL97" s="85"/>
      <c r="AM97" s="85"/>
      <c r="AN97" s="84"/>
      <c r="AO97" s="85"/>
      <c r="AP97" s="85"/>
      <c r="AQ97" s="84"/>
      <c r="AR97" s="85"/>
      <c r="AS97" s="85"/>
      <c r="AT97" s="84"/>
      <c r="AU97" s="85"/>
      <c r="AV97" s="85"/>
      <c r="AW97" s="84"/>
      <c r="AX97" s="85"/>
      <c r="AY97" s="85"/>
      <c r="AZ97" s="84"/>
      <c r="BA97" s="85"/>
      <c r="BB97" s="85"/>
      <c r="BC97" s="84"/>
      <c r="BD97" s="27"/>
      <c r="BI97" s="90" t="s">
        <v>756</v>
      </c>
      <c r="BJ97" s="90" t="s">
        <v>757</v>
      </c>
    </row>
    <row r="98" spans="1:62" s="90" customFormat="1" ht="12.75">
      <c r="A98" s="83" t="s">
        <v>758</v>
      </c>
      <c r="B98" s="84">
        <v>73</v>
      </c>
      <c r="C98" s="84" t="s">
        <v>759</v>
      </c>
      <c r="D98" s="84" t="s">
        <v>760</v>
      </c>
      <c r="E98" s="85">
        <v>547000</v>
      </c>
      <c r="F98" s="85"/>
      <c r="G98" s="85">
        <v>13470</v>
      </c>
      <c r="H98" s="86">
        <v>44494</v>
      </c>
      <c r="I98" s="85">
        <v>389518</v>
      </c>
      <c r="J98" s="84">
        <v>47</v>
      </c>
      <c r="K98" s="87">
        <f t="shared" ca="1" si="0"/>
        <v>23.166666666666668</v>
      </c>
      <c r="L98" s="88"/>
      <c r="M98" s="84">
        <f t="shared" ca="1" si="1"/>
        <v>13470</v>
      </c>
      <c r="N98" s="84"/>
      <c r="O98" s="89">
        <f t="shared" si="2"/>
        <v>0</v>
      </c>
      <c r="P98" s="89"/>
      <c r="Q98" s="85">
        <f t="shared" si="3"/>
        <v>0</v>
      </c>
      <c r="R98" s="85" t="str">
        <f t="shared" si="4"/>
        <v/>
      </c>
      <c r="S98" s="84"/>
      <c r="T98" s="85"/>
      <c r="U98" s="85"/>
      <c r="V98" s="84"/>
      <c r="W98" s="85"/>
      <c r="X98" s="85"/>
      <c r="Y98" s="84"/>
      <c r="Z98" s="85"/>
      <c r="AA98" s="85"/>
      <c r="AB98" s="84"/>
      <c r="AC98" s="85"/>
      <c r="AD98" s="85"/>
      <c r="AE98" s="84"/>
      <c r="AF98" s="85"/>
      <c r="AG98" s="85"/>
      <c r="AH98" s="84"/>
      <c r="AI98" s="85"/>
      <c r="AJ98" s="85"/>
      <c r="AK98" s="84"/>
      <c r="AL98" s="85"/>
      <c r="AM98" s="85"/>
      <c r="AN98" s="84"/>
      <c r="AO98" s="85"/>
      <c r="AP98" s="85"/>
      <c r="AQ98" s="84"/>
      <c r="AR98" s="85"/>
      <c r="AS98" s="85"/>
      <c r="AT98" s="84"/>
      <c r="AU98" s="85"/>
      <c r="AV98" s="85"/>
      <c r="AW98" s="84"/>
      <c r="AX98" s="85"/>
      <c r="AY98" s="85"/>
      <c r="AZ98" s="84"/>
      <c r="BA98" s="85"/>
      <c r="BB98" s="85"/>
      <c r="BC98" s="84"/>
      <c r="BD98" s="27"/>
      <c r="BI98" s="90" t="s">
        <v>761</v>
      </c>
      <c r="BJ98" s="90" t="s">
        <v>762</v>
      </c>
    </row>
    <row r="99" spans="1:62" s="90" customFormat="1" ht="12.75">
      <c r="A99" s="83" t="s">
        <v>763</v>
      </c>
      <c r="B99" s="84">
        <v>74</v>
      </c>
      <c r="C99" s="84" t="s">
        <v>764</v>
      </c>
      <c r="D99" s="84" t="s">
        <v>765</v>
      </c>
      <c r="E99" s="85">
        <v>783500</v>
      </c>
      <c r="F99" s="85"/>
      <c r="G99" s="85">
        <v>15740</v>
      </c>
      <c r="H99" s="86">
        <v>44461</v>
      </c>
      <c r="I99" s="85">
        <v>596908</v>
      </c>
      <c r="J99" s="84">
        <v>59</v>
      </c>
      <c r="K99" s="87">
        <f t="shared" ca="1" si="0"/>
        <v>34.066666666666663</v>
      </c>
      <c r="L99" s="88"/>
      <c r="M99" s="84">
        <f t="shared" ca="1" si="1"/>
        <v>15740</v>
      </c>
      <c r="N99" s="84"/>
      <c r="O99" s="89">
        <f t="shared" si="2"/>
        <v>0</v>
      </c>
      <c r="P99" s="89"/>
      <c r="Q99" s="85">
        <f t="shared" si="3"/>
        <v>0</v>
      </c>
      <c r="R99" s="85" t="str">
        <f t="shared" si="4"/>
        <v/>
      </c>
      <c r="S99" s="84"/>
      <c r="T99" s="85"/>
      <c r="U99" s="85"/>
      <c r="V99" s="84"/>
      <c r="W99" s="85"/>
      <c r="X99" s="85"/>
      <c r="Y99" s="84"/>
      <c r="Z99" s="85"/>
      <c r="AA99" s="85"/>
      <c r="AB99" s="84"/>
      <c r="AC99" s="85"/>
      <c r="AD99" s="85"/>
      <c r="AE99" s="84"/>
      <c r="AF99" s="85"/>
      <c r="AG99" s="85"/>
      <c r="AH99" s="84"/>
      <c r="AI99" s="85"/>
      <c r="AJ99" s="85"/>
      <c r="AK99" s="84"/>
      <c r="AL99" s="85"/>
      <c r="AM99" s="85"/>
      <c r="AN99" s="84"/>
      <c r="AO99" s="85"/>
      <c r="AP99" s="85"/>
      <c r="AQ99" s="84"/>
      <c r="AR99" s="85"/>
      <c r="AS99" s="85"/>
      <c r="AT99" s="84"/>
      <c r="AU99" s="85"/>
      <c r="AV99" s="85"/>
      <c r="AW99" s="84"/>
      <c r="AX99" s="85"/>
      <c r="AY99" s="85"/>
      <c r="AZ99" s="84"/>
      <c r="BA99" s="85"/>
      <c r="BB99" s="85"/>
      <c r="BC99" s="84"/>
      <c r="BD99" s="27"/>
      <c r="BI99" s="90" t="s">
        <v>766</v>
      </c>
      <c r="BJ99" s="90" t="s">
        <v>767</v>
      </c>
    </row>
    <row r="100" spans="1:62" s="90" customFormat="1" ht="12.75">
      <c r="A100" s="83" t="s">
        <v>768</v>
      </c>
      <c r="B100" s="84">
        <v>75</v>
      </c>
      <c r="C100" s="84" t="s">
        <v>769</v>
      </c>
      <c r="D100" s="84" t="s">
        <v>770</v>
      </c>
      <c r="E100" s="85">
        <v>2500000</v>
      </c>
      <c r="F100" s="85"/>
      <c r="G100" s="85">
        <v>80668</v>
      </c>
      <c r="H100" s="86">
        <v>44610</v>
      </c>
      <c r="I100" s="85">
        <v>1813697</v>
      </c>
      <c r="J100" s="84">
        <v>36</v>
      </c>
      <c r="K100" s="87">
        <f t="shared" ca="1" si="0"/>
        <v>16.033333333333335</v>
      </c>
      <c r="L100" s="88"/>
      <c r="M100" s="84">
        <f t="shared" ca="1" si="1"/>
        <v>80668</v>
      </c>
      <c r="N100" s="84"/>
      <c r="O100" s="89">
        <f t="shared" si="2"/>
        <v>0</v>
      </c>
      <c r="P100" s="89"/>
      <c r="Q100" s="85">
        <f t="shared" si="3"/>
        <v>0</v>
      </c>
      <c r="R100" s="85" t="str">
        <f t="shared" si="4"/>
        <v/>
      </c>
      <c r="S100" s="84"/>
      <c r="T100" s="85"/>
      <c r="U100" s="85"/>
      <c r="V100" s="84"/>
      <c r="W100" s="85"/>
      <c r="X100" s="85"/>
      <c r="Y100" s="84"/>
      <c r="Z100" s="85"/>
      <c r="AA100" s="85"/>
      <c r="AB100" s="84"/>
      <c r="AC100" s="85"/>
      <c r="AD100" s="85"/>
      <c r="AE100" s="84"/>
      <c r="AF100" s="85"/>
      <c r="AG100" s="85"/>
      <c r="AH100" s="84"/>
      <c r="AI100" s="85"/>
      <c r="AJ100" s="85"/>
      <c r="AK100" s="84"/>
      <c r="AL100" s="85"/>
      <c r="AM100" s="85"/>
      <c r="AN100" s="84"/>
      <c r="AO100" s="85"/>
      <c r="AP100" s="85"/>
      <c r="AQ100" s="84"/>
      <c r="AR100" s="85"/>
      <c r="AS100" s="85"/>
      <c r="AT100" s="84"/>
      <c r="AU100" s="85"/>
      <c r="AV100" s="85"/>
      <c r="AW100" s="84"/>
      <c r="AX100" s="85"/>
      <c r="AY100" s="85"/>
      <c r="AZ100" s="84"/>
      <c r="BA100" s="85"/>
      <c r="BB100" s="85"/>
      <c r="BC100" s="84"/>
      <c r="BD100" s="27"/>
      <c r="BI100" s="90" t="s">
        <v>771</v>
      </c>
      <c r="BJ100" s="90" t="s">
        <v>772</v>
      </c>
    </row>
    <row r="101" spans="1:62" s="90" customFormat="1" ht="12.75">
      <c r="A101" s="83" t="s">
        <v>773</v>
      </c>
      <c r="B101" s="84">
        <v>76</v>
      </c>
      <c r="C101" s="84" t="s">
        <v>774</v>
      </c>
      <c r="D101" s="84" t="s">
        <v>775</v>
      </c>
      <c r="E101" s="85">
        <v>3538000</v>
      </c>
      <c r="F101" s="85"/>
      <c r="G101" s="85">
        <v>71068</v>
      </c>
      <c r="H101" s="86">
        <v>44609</v>
      </c>
      <c r="I101" s="85">
        <v>2967164</v>
      </c>
      <c r="J101" s="84">
        <v>59</v>
      </c>
      <c r="K101" s="87">
        <f t="shared" ca="1" si="0"/>
        <v>39</v>
      </c>
      <c r="L101" s="88"/>
      <c r="M101" s="84">
        <f t="shared" ca="1" si="1"/>
        <v>71068</v>
      </c>
      <c r="N101" s="84"/>
      <c r="O101" s="89">
        <f t="shared" si="2"/>
        <v>0</v>
      </c>
      <c r="P101" s="89"/>
      <c r="Q101" s="85">
        <f t="shared" si="3"/>
        <v>0</v>
      </c>
      <c r="R101" s="85" t="str">
        <f t="shared" si="4"/>
        <v/>
      </c>
      <c r="S101" s="84"/>
      <c r="T101" s="85"/>
      <c r="U101" s="85"/>
      <c r="V101" s="84"/>
      <c r="W101" s="85"/>
      <c r="X101" s="85"/>
      <c r="Y101" s="84"/>
      <c r="Z101" s="85"/>
      <c r="AA101" s="85"/>
      <c r="AB101" s="84"/>
      <c r="AC101" s="85"/>
      <c r="AD101" s="85"/>
      <c r="AE101" s="84"/>
      <c r="AF101" s="85"/>
      <c r="AG101" s="85"/>
      <c r="AH101" s="84"/>
      <c r="AI101" s="85"/>
      <c r="AJ101" s="85"/>
      <c r="AK101" s="84"/>
      <c r="AL101" s="85"/>
      <c r="AM101" s="85"/>
      <c r="AN101" s="84"/>
      <c r="AO101" s="85"/>
      <c r="AP101" s="85"/>
      <c r="AQ101" s="84"/>
      <c r="AR101" s="85"/>
      <c r="AS101" s="85"/>
      <c r="AT101" s="84"/>
      <c r="AU101" s="85"/>
      <c r="AV101" s="85"/>
      <c r="AW101" s="84"/>
      <c r="AX101" s="85"/>
      <c r="AY101" s="85"/>
      <c r="AZ101" s="84"/>
      <c r="BA101" s="85"/>
      <c r="BB101" s="85"/>
      <c r="BC101" s="84"/>
      <c r="BD101" s="27"/>
      <c r="BI101" s="90" t="s">
        <v>776</v>
      </c>
      <c r="BJ101" s="90" t="s">
        <v>777</v>
      </c>
    </row>
    <row r="102" spans="1:62" s="90" customFormat="1" ht="12.75">
      <c r="A102" s="83" t="s">
        <v>778</v>
      </c>
      <c r="B102" s="84">
        <v>77</v>
      </c>
      <c r="C102" s="84" t="s">
        <v>779</v>
      </c>
      <c r="D102" s="84" t="s">
        <v>780</v>
      </c>
      <c r="E102" s="85">
        <v>1120000</v>
      </c>
      <c r="F102" s="85"/>
      <c r="G102" s="85">
        <v>35735</v>
      </c>
      <c r="H102" s="86">
        <v>44340</v>
      </c>
      <c r="I102" s="85">
        <v>510094</v>
      </c>
      <c r="J102" s="84">
        <v>35</v>
      </c>
      <c r="K102" s="87">
        <f t="shared" ca="1" si="0"/>
        <v>6.033333333333335</v>
      </c>
      <c r="L102" s="88"/>
      <c r="M102" s="84">
        <f t="shared" ca="1" si="1"/>
        <v>35735</v>
      </c>
      <c r="N102" s="84"/>
      <c r="O102" s="89">
        <f t="shared" si="2"/>
        <v>0</v>
      </c>
      <c r="P102" s="89"/>
      <c r="Q102" s="85">
        <f t="shared" si="3"/>
        <v>0</v>
      </c>
      <c r="R102" s="85" t="str">
        <f t="shared" si="4"/>
        <v/>
      </c>
      <c r="S102" s="84"/>
      <c r="T102" s="85"/>
      <c r="U102" s="85"/>
      <c r="V102" s="84"/>
      <c r="W102" s="85"/>
      <c r="X102" s="85"/>
      <c r="Y102" s="84"/>
      <c r="Z102" s="85"/>
      <c r="AA102" s="85"/>
      <c r="AB102" s="84"/>
      <c r="AC102" s="85"/>
      <c r="AD102" s="85"/>
      <c r="AE102" s="84"/>
      <c r="AF102" s="85"/>
      <c r="AG102" s="85"/>
      <c r="AH102" s="84"/>
      <c r="AI102" s="85"/>
      <c r="AJ102" s="85"/>
      <c r="AK102" s="84"/>
      <c r="AL102" s="85"/>
      <c r="AM102" s="85"/>
      <c r="AN102" s="84"/>
      <c r="AO102" s="85"/>
      <c r="AP102" s="85"/>
      <c r="AQ102" s="84"/>
      <c r="AR102" s="85"/>
      <c r="AS102" s="85"/>
      <c r="AT102" s="84"/>
      <c r="AU102" s="85"/>
      <c r="AV102" s="85"/>
      <c r="AW102" s="84"/>
      <c r="AX102" s="85"/>
      <c r="AY102" s="85"/>
      <c r="AZ102" s="84"/>
      <c r="BA102" s="85"/>
      <c r="BB102" s="85"/>
      <c r="BC102" s="84"/>
      <c r="BD102" s="27"/>
      <c r="BI102" s="90" t="s">
        <v>781</v>
      </c>
      <c r="BJ102" s="90" t="s">
        <v>782</v>
      </c>
    </row>
    <row r="103" spans="1:62" s="90" customFormat="1" ht="12.75">
      <c r="A103" s="83" t="s">
        <v>783</v>
      </c>
      <c r="B103" s="84">
        <v>78</v>
      </c>
      <c r="C103" s="84" t="s">
        <v>784</v>
      </c>
      <c r="D103" s="84" t="s">
        <v>785</v>
      </c>
      <c r="E103" s="85">
        <v>3504900</v>
      </c>
      <c r="F103" s="85"/>
      <c r="G103" s="85">
        <v>70385</v>
      </c>
      <c r="H103" s="86">
        <v>44530</v>
      </c>
      <c r="I103" s="85">
        <v>2832485</v>
      </c>
      <c r="J103" s="84">
        <v>59</v>
      </c>
      <c r="K103" s="87">
        <f t="shared" ca="1" si="0"/>
        <v>36.366666666666667</v>
      </c>
      <c r="L103" s="88"/>
      <c r="M103" s="84">
        <f t="shared" ca="1" si="1"/>
        <v>70385</v>
      </c>
      <c r="N103" s="84"/>
      <c r="O103" s="89">
        <f t="shared" si="2"/>
        <v>0</v>
      </c>
      <c r="P103" s="89"/>
      <c r="Q103" s="85">
        <f t="shared" si="3"/>
        <v>0</v>
      </c>
      <c r="R103" s="85" t="str">
        <f t="shared" si="4"/>
        <v/>
      </c>
      <c r="S103" s="84"/>
      <c r="T103" s="85"/>
      <c r="U103" s="85"/>
      <c r="V103" s="84"/>
      <c r="W103" s="85"/>
      <c r="X103" s="85"/>
      <c r="Y103" s="84"/>
      <c r="Z103" s="85"/>
      <c r="AA103" s="85"/>
      <c r="AB103" s="84"/>
      <c r="AC103" s="85"/>
      <c r="AD103" s="85"/>
      <c r="AE103" s="84"/>
      <c r="AF103" s="85"/>
      <c r="AG103" s="85"/>
      <c r="AH103" s="84"/>
      <c r="AI103" s="85"/>
      <c r="AJ103" s="85"/>
      <c r="AK103" s="84"/>
      <c r="AL103" s="85"/>
      <c r="AM103" s="85"/>
      <c r="AN103" s="84"/>
      <c r="AO103" s="85"/>
      <c r="AP103" s="85"/>
      <c r="AQ103" s="84"/>
      <c r="AR103" s="85"/>
      <c r="AS103" s="85"/>
      <c r="AT103" s="84"/>
      <c r="AU103" s="85"/>
      <c r="AV103" s="85"/>
      <c r="AW103" s="84"/>
      <c r="AX103" s="85"/>
      <c r="AY103" s="85"/>
      <c r="AZ103" s="84"/>
      <c r="BA103" s="85"/>
      <c r="BB103" s="85"/>
      <c r="BC103" s="84"/>
      <c r="BD103" s="27"/>
      <c r="BI103" s="90" t="s">
        <v>786</v>
      </c>
      <c r="BJ103" s="90" t="s">
        <v>787</v>
      </c>
    </row>
    <row r="104" spans="1:62" s="90" customFormat="1" ht="12.75">
      <c r="A104" s="83" t="s">
        <v>788</v>
      </c>
      <c r="B104" s="84">
        <v>79</v>
      </c>
      <c r="C104" s="84" t="s">
        <v>789</v>
      </c>
      <c r="D104" s="84" t="s">
        <v>790</v>
      </c>
      <c r="E104" s="85">
        <v>3038000</v>
      </c>
      <c r="F104" s="85"/>
      <c r="G104" s="85">
        <v>61025</v>
      </c>
      <c r="H104" s="86">
        <v>44512</v>
      </c>
      <c r="I104" s="85">
        <v>2408618</v>
      </c>
      <c r="J104" s="84">
        <v>59</v>
      </c>
      <c r="K104" s="87">
        <f t="shared" ca="1" si="0"/>
        <v>35.766666666666666</v>
      </c>
      <c r="L104" s="88"/>
      <c r="M104" s="84">
        <f t="shared" ca="1" si="1"/>
        <v>61025</v>
      </c>
      <c r="N104" s="84"/>
      <c r="O104" s="89">
        <f t="shared" si="2"/>
        <v>0</v>
      </c>
      <c r="P104" s="89"/>
      <c r="Q104" s="85">
        <f t="shared" si="3"/>
        <v>0</v>
      </c>
      <c r="R104" s="85" t="str">
        <f t="shared" si="4"/>
        <v/>
      </c>
      <c r="S104" s="84"/>
      <c r="T104" s="85"/>
      <c r="U104" s="85"/>
      <c r="V104" s="84"/>
      <c r="W104" s="85"/>
      <c r="X104" s="85"/>
      <c r="Y104" s="84"/>
      <c r="Z104" s="85"/>
      <c r="AA104" s="85"/>
      <c r="AB104" s="84"/>
      <c r="AC104" s="85"/>
      <c r="AD104" s="85"/>
      <c r="AE104" s="84"/>
      <c r="AF104" s="85"/>
      <c r="AG104" s="85"/>
      <c r="AH104" s="84"/>
      <c r="AI104" s="85"/>
      <c r="AJ104" s="85"/>
      <c r="AK104" s="84"/>
      <c r="AL104" s="85"/>
      <c r="AM104" s="85"/>
      <c r="AN104" s="84"/>
      <c r="AO104" s="85"/>
      <c r="AP104" s="85"/>
      <c r="AQ104" s="84"/>
      <c r="AR104" s="85"/>
      <c r="AS104" s="85"/>
      <c r="AT104" s="84"/>
      <c r="AU104" s="85"/>
      <c r="AV104" s="85"/>
      <c r="AW104" s="84"/>
      <c r="AX104" s="85"/>
      <c r="AY104" s="85"/>
      <c r="AZ104" s="84"/>
      <c r="BA104" s="85"/>
      <c r="BB104" s="85"/>
      <c r="BC104" s="84"/>
      <c r="BD104" s="27"/>
      <c r="BI104" s="90" t="s">
        <v>791</v>
      </c>
      <c r="BJ104" s="90" t="s">
        <v>792</v>
      </c>
    </row>
    <row r="105" spans="1:62" s="90" customFormat="1" ht="12.75">
      <c r="A105" s="83" t="s">
        <v>793</v>
      </c>
      <c r="B105" s="84">
        <v>80</v>
      </c>
      <c r="C105" s="84" t="s">
        <v>794</v>
      </c>
      <c r="D105" s="84" t="s">
        <v>795</v>
      </c>
      <c r="E105" s="85">
        <v>2685000</v>
      </c>
      <c r="F105" s="85"/>
      <c r="G105" s="85">
        <v>85790</v>
      </c>
      <c r="H105" s="86">
        <v>44196</v>
      </c>
      <c r="I105" s="85">
        <v>908731</v>
      </c>
      <c r="J105" s="84">
        <v>35</v>
      </c>
      <c r="K105" s="87">
        <f t="shared" ca="1" si="0"/>
        <v>1.2333333333333343</v>
      </c>
      <c r="L105" s="88"/>
      <c r="M105" s="84">
        <f t="shared" ca="1" si="1"/>
        <v>85790</v>
      </c>
      <c r="N105" s="84"/>
      <c r="O105" s="89">
        <f t="shared" si="2"/>
        <v>0</v>
      </c>
      <c r="P105" s="89"/>
      <c r="Q105" s="85">
        <f t="shared" si="3"/>
        <v>0</v>
      </c>
      <c r="R105" s="85" t="str">
        <f t="shared" si="4"/>
        <v/>
      </c>
      <c r="S105" s="84"/>
      <c r="T105" s="85"/>
      <c r="U105" s="85"/>
      <c r="V105" s="84"/>
      <c r="W105" s="85"/>
      <c r="X105" s="85"/>
      <c r="Y105" s="84"/>
      <c r="Z105" s="85"/>
      <c r="AA105" s="85"/>
      <c r="AB105" s="84"/>
      <c r="AC105" s="85"/>
      <c r="AD105" s="85"/>
      <c r="AE105" s="84"/>
      <c r="AF105" s="85"/>
      <c r="AG105" s="85"/>
      <c r="AH105" s="84"/>
      <c r="AI105" s="85"/>
      <c r="AJ105" s="85"/>
      <c r="AK105" s="84"/>
      <c r="AL105" s="85"/>
      <c r="AM105" s="85"/>
      <c r="AN105" s="84"/>
      <c r="AO105" s="85"/>
      <c r="AP105" s="85"/>
      <c r="AQ105" s="84"/>
      <c r="AR105" s="85"/>
      <c r="AS105" s="85"/>
      <c r="AT105" s="84"/>
      <c r="AU105" s="85"/>
      <c r="AV105" s="85"/>
      <c r="AW105" s="84"/>
      <c r="AX105" s="85"/>
      <c r="AY105" s="85"/>
      <c r="AZ105" s="84"/>
      <c r="BA105" s="85"/>
      <c r="BB105" s="85"/>
      <c r="BC105" s="84"/>
      <c r="BD105" s="27"/>
      <c r="BI105" s="90" t="s">
        <v>796</v>
      </c>
      <c r="BJ105" s="90" t="s">
        <v>797</v>
      </c>
    </row>
    <row r="106" spans="1:62" s="90" customFormat="1" ht="12.75">
      <c r="A106" s="83" t="s">
        <v>798</v>
      </c>
      <c r="B106" s="84">
        <v>81</v>
      </c>
      <c r="C106" s="84" t="s">
        <v>799</v>
      </c>
      <c r="D106" s="84" t="s">
        <v>800</v>
      </c>
      <c r="E106" s="85">
        <v>3538000</v>
      </c>
      <c r="F106" s="85"/>
      <c r="G106" s="85">
        <v>71067</v>
      </c>
      <c r="H106" s="86">
        <v>44609</v>
      </c>
      <c r="I106" s="85">
        <v>2967153</v>
      </c>
      <c r="J106" s="84">
        <v>59</v>
      </c>
      <c r="K106" s="87">
        <f t="shared" ca="1" si="0"/>
        <v>39</v>
      </c>
      <c r="L106" s="88"/>
      <c r="M106" s="84">
        <f t="shared" ca="1" si="1"/>
        <v>71067</v>
      </c>
      <c r="N106" s="84"/>
      <c r="O106" s="89">
        <f t="shared" si="2"/>
        <v>0</v>
      </c>
      <c r="P106" s="89"/>
      <c r="Q106" s="85">
        <f t="shared" si="3"/>
        <v>0</v>
      </c>
      <c r="R106" s="85" t="str">
        <f t="shared" si="4"/>
        <v/>
      </c>
      <c r="S106" s="84"/>
      <c r="T106" s="85"/>
      <c r="U106" s="85"/>
      <c r="V106" s="84"/>
      <c r="W106" s="85"/>
      <c r="X106" s="85"/>
      <c r="Y106" s="84"/>
      <c r="Z106" s="85"/>
      <c r="AA106" s="85"/>
      <c r="AB106" s="84"/>
      <c r="AC106" s="85"/>
      <c r="AD106" s="85"/>
      <c r="AE106" s="84"/>
      <c r="AF106" s="85"/>
      <c r="AG106" s="85"/>
      <c r="AH106" s="84"/>
      <c r="AI106" s="85"/>
      <c r="AJ106" s="85"/>
      <c r="AK106" s="84"/>
      <c r="AL106" s="85"/>
      <c r="AM106" s="85"/>
      <c r="AN106" s="84"/>
      <c r="AO106" s="85"/>
      <c r="AP106" s="85"/>
      <c r="AQ106" s="84"/>
      <c r="AR106" s="85"/>
      <c r="AS106" s="85"/>
      <c r="AT106" s="84"/>
      <c r="AU106" s="85"/>
      <c r="AV106" s="85"/>
      <c r="AW106" s="84"/>
      <c r="AX106" s="85"/>
      <c r="AY106" s="85"/>
      <c r="AZ106" s="84"/>
      <c r="BA106" s="85"/>
      <c r="BB106" s="85"/>
      <c r="BC106" s="84"/>
      <c r="BD106" s="27"/>
      <c r="BI106" s="90" t="s">
        <v>801</v>
      </c>
      <c r="BJ106" s="90" t="s">
        <v>802</v>
      </c>
    </row>
    <row r="107" spans="1:62" s="90" customFormat="1" ht="12.75">
      <c r="A107" s="83" t="s">
        <v>803</v>
      </c>
      <c r="B107" s="84">
        <v>82</v>
      </c>
      <c r="C107" s="84" t="s">
        <v>804</v>
      </c>
      <c r="D107" s="84" t="s">
        <v>805</v>
      </c>
      <c r="E107" s="85">
        <v>3393800</v>
      </c>
      <c r="F107" s="85"/>
      <c r="G107" s="85">
        <v>108285</v>
      </c>
      <c r="H107" s="86">
        <v>44336</v>
      </c>
      <c r="I107" s="85">
        <v>1545692</v>
      </c>
      <c r="J107" s="84">
        <v>35</v>
      </c>
      <c r="K107" s="87">
        <f t="shared" ca="1" si="0"/>
        <v>5.8999999999999986</v>
      </c>
      <c r="L107" s="88"/>
      <c r="M107" s="84">
        <f t="shared" ca="1" si="1"/>
        <v>108285</v>
      </c>
      <c r="N107" s="84"/>
      <c r="O107" s="89">
        <f t="shared" si="2"/>
        <v>0</v>
      </c>
      <c r="P107" s="89"/>
      <c r="Q107" s="85">
        <f t="shared" si="3"/>
        <v>0</v>
      </c>
      <c r="R107" s="85" t="str">
        <f t="shared" si="4"/>
        <v/>
      </c>
      <c r="S107" s="84"/>
      <c r="T107" s="85"/>
      <c r="U107" s="85"/>
      <c r="V107" s="84"/>
      <c r="W107" s="85"/>
      <c r="X107" s="85"/>
      <c r="Y107" s="84"/>
      <c r="Z107" s="85"/>
      <c r="AA107" s="85"/>
      <c r="AB107" s="84"/>
      <c r="AC107" s="85"/>
      <c r="AD107" s="85"/>
      <c r="AE107" s="84"/>
      <c r="AF107" s="85"/>
      <c r="AG107" s="85"/>
      <c r="AH107" s="84"/>
      <c r="AI107" s="85"/>
      <c r="AJ107" s="85"/>
      <c r="AK107" s="84"/>
      <c r="AL107" s="85"/>
      <c r="AM107" s="85"/>
      <c r="AN107" s="84"/>
      <c r="AO107" s="85"/>
      <c r="AP107" s="85"/>
      <c r="AQ107" s="84"/>
      <c r="AR107" s="85"/>
      <c r="AS107" s="85"/>
      <c r="AT107" s="84"/>
      <c r="AU107" s="85"/>
      <c r="AV107" s="85"/>
      <c r="AW107" s="84"/>
      <c r="AX107" s="85"/>
      <c r="AY107" s="85"/>
      <c r="AZ107" s="84"/>
      <c r="BA107" s="85"/>
      <c r="BB107" s="85"/>
      <c r="BC107" s="84"/>
      <c r="BD107" s="27"/>
      <c r="BI107" s="90" t="s">
        <v>806</v>
      </c>
      <c r="BJ107" s="90" t="s">
        <v>807</v>
      </c>
    </row>
    <row r="108" spans="1:62" s="90" customFormat="1" ht="12.75">
      <c r="A108" s="83" t="s">
        <v>808</v>
      </c>
      <c r="B108" s="84">
        <v>83</v>
      </c>
      <c r="C108" s="84" t="s">
        <v>809</v>
      </c>
      <c r="D108" s="84" t="s">
        <v>810</v>
      </c>
      <c r="E108" s="85">
        <v>2490000</v>
      </c>
      <c r="F108" s="85"/>
      <c r="G108" s="85">
        <v>61015</v>
      </c>
      <c r="H108" s="86">
        <v>44671</v>
      </c>
      <c r="I108" s="85">
        <v>2066117</v>
      </c>
      <c r="J108" s="84">
        <v>47</v>
      </c>
      <c r="K108" s="87">
        <f t="shared" ca="1" si="0"/>
        <v>29.066666666666666</v>
      </c>
      <c r="L108" s="88"/>
      <c r="M108" s="84">
        <f t="shared" ca="1" si="1"/>
        <v>61015</v>
      </c>
      <c r="N108" s="84"/>
      <c r="O108" s="89">
        <f t="shared" si="2"/>
        <v>0</v>
      </c>
      <c r="P108" s="89"/>
      <c r="Q108" s="85">
        <f t="shared" si="3"/>
        <v>0</v>
      </c>
      <c r="R108" s="85" t="str">
        <f t="shared" si="4"/>
        <v/>
      </c>
      <c r="S108" s="84"/>
      <c r="T108" s="85"/>
      <c r="U108" s="85"/>
      <c r="V108" s="84"/>
      <c r="W108" s="85"/>
      <c r="X108" s="85"/>
      <c r="Y108" s="84"/>
      <c r="Z108" s="85"/>
      <c r="AA108" s="85"/>
      <c r="AB108" s="84"/>
      <c r="AC108" s="85"/>
      <c r="AD108" s="85"/>
      <c r="AE108" s="84"/>
      <c r="AF108" s="85"/>
      <c r="AG108" s="85"/>
      <c r="AH108" s="84"/>
      <c r="AI108" s="85"/>
      <c r="AJ108" s="85"/>
      <c r="AK108" s="84"/>
      <c r="AL108" s="85"/>
      <c r="AM108" s="85"/>
      <c r="AN108" s="84"/>
      <c r="AO108" s="85"/>
      <c r="AP108" s="85"/>
      <c r="AQ108" s="84"/>
      <c r="AR108" s="85"/>
      <c r="AS108" s="85"/>
      <c r="AT108" s="84"/>
      <c r="AU108" s="85"/>
      <c r="AV108" s="85"/>
      <c r="AW108" s="84"/>
      <c r="AX108" s="85"/>
      <c r="AY108" s="85"/>
      <c r="AZ108" s="84"/>
      <c r="BA108" s="85"/>
      <c r="BB108" s="85"/>
      <c r="BC108" s="84"/>
      <c r="BD108" s="27"/>
      <c r="BI108" s="90" t="s">
        <v>811</v>
      </c>
      <c r="BJ108" s="90" t="s">
        <v>812</v>
      </c>
    </row>
    <row r="109" spans="1:62" s="90" customFormat="1" ht="12.75">
      <c r="A109" s="83" t="s">
        <v>813</v>
      </c>
      <c r="B109" s="84">
        <v>84</v>
      </c>
      <c r="C109" s="84" t="s">
        <v>814</v>
      </c>
      <c r="D109" s="84" t="s">
        <v>815</v>
      </c>
      <c r="E109" s="85">
        <v>869793</v>
      </c>
      <c r="F109" s="85"/>
      <c r="G109" s="85">
        <v>27785</v>
      </c>
      <c r="H109" s="86">
        <v>44195</v>
      </c>
      <c r="I109" s="85">
        <v>294335</v>
      </c>
      <c r="J109" s="84">
        <v>35</v>
      </c>
      <c r="K109" s="87">
        <f t="shared" ca="1" si="0"/>
        <v>1.2000000000000028</v>
      </c>
      <c r="L109" s="88"/>
      <c r="M109" s="84">
        <f t="shared" ca="1" si="1"/>
        <v>27785</v>
      </c>
      <c r="N109" s="84"/>
      <c r="O109" s="89">
        <f t="shared" si="2"/>
        <v>0</v>
      </c>
      <c r="P109" s="89"/>
      <c r="Q109" s="85">
        <f t="shared" si="3"/>
        <v>0</v>
      </c>
      <c r="R109" s="85" t="str">
        <f t="shared" si="4"/>
        <v/>
      </c>
      <c r="S109" s="84"/>
      <c r="T109" s="85"/>
      <c r="U109" s="85"/>
      <c r="V109" s="84"/>
      <c r="W109" s="85"/>
      <c r="X109" s="85"/>
      <c r="Y109" s="84"/>
      <c r="Z109" s="85"/>
      <c r="AA109" s="85"/>
      <c r="AB109" s="84"/>
      <c r="AC109" s="85"/>
      <c r="AD109" s="85"/>
      <c r="AE109" s="84"/>
      <c r="AF109" s="85"/>
      <c r="AG109" s="85"/>
      <c r="AH109" s="84"/>
      <c r="AI109" s="85"/>
      <c r="AJ109" s="85"/>
      <c r="AK109" s="84"/>
      <c r="AL109" s="85"/>
      <c r="AM109" s="85"/>
      <c r="AN109" s="84"/>
      <c r="AO109" s="85"/>
      <c r="AP109" s="85"/>
      <c r="AQ109" s="84"/>
      <c r="AR109" s="85"/>
      <c r="AS109" s="85"/>
      <c r="AT109" s="84"/>
      <c r="AU109" s="85"/>
      <c r="AV109" s="85"/>
      <c r="AW109" s="84"/>
      <c r="AX109" s="85"/>
      <c r="AY109" s="85"/>
      <c r="AZ109" s="84"/>
      <c r="BA109" s="85"/>
      <c r="BB109" s="85"/>
      <c r="BC109" s="84"/>
      <c r="BD109" s="27"/>
      <c r="BI109" s="90" t="s">
        <v>816</v>
      </c>
      <c r="BJ109" s="90" t="s">
        <v>817</v>
      </c>
    </row>
    <row r="110" spans="1:62" s="90" customFormat="1" ht="12.75">
      <c r="A110" s="83" t="s">
        <v>818</v>
      </c>
      <c r="B110" s="84">
        <v>85</v>
      </c>
      <c r="C110" s="84" t="s">
        <v>819</v>
      </c>
      <c r="D110" s="84" t="s">
        <v>820</v>
      </c>
      <c r="E110" s="85">
        <v>2636249</v>
      </c>
      <c r="F110" s="85"/>
      <c r="G110" s="85">
        <v>52953</v>
      </c>
      <c r="H110" s="86">
        <v>44461</v>
      </c>
      <c r="I110" s="85">
        <v>2008352</v>
      </c>
      <c r="J110" s="84">
        <v>59</v>
      </c>
      <c r="K110" s="87">
        <f t="shared" ca="1" si="0"/>
        <v>34.066666666666663</v>
      </c>
      <c r="L110" s="88"/>
      <c r="M110" s="84">
        <f t="shared" ca="1" si="1"/>
        <v>52953</v>
      </c>
      <c r="N110" s="84"/>
      <c r="O110" s="89">
        <f t="shared" si="2"/>
        <v>0</v>
      </c>
      <c r="P110" s="89"/>
      <c r="Q110" s="85">
        <f t="shared" si="3"/>
        <v>0</v>
      </c>
      <c r="R110" s="85" t="str">
        <f t="shared" si="4"/>
        <v/>
      </c>
      <c r="S110" s="84"/>
      <c r="T110" s="85"/>
      <c r="U110" s="85"/>
      <c r="V110" s="84"/>
      <c r="W110" s="85"/>
      <c r="X110" s="85"/>
      <c r="Y110" s="84"/>
      <c r="Z110" s="85"/>
      <c r="AA110" s="85"/>
      <c r="AB110" s="84"/>
      <c r="AC110" s="85"/>
      <c r="AD110" s="85"/>
      <c r="AE110" s="84"/>
      <c r="AF110" s="85"/>
      <c r="AG110" s="85"/>
      <c r="AH110" s="84"/>
      <c r="AI110" s="85"/>
      <c r="AJ110" s="85"/>
      <c r="AK110" s="84"/>
      <c r="AL110" s="85"/>
      <c r="AM110" s="85"/>
      <c r="AN110" s="84"/>
      <c r="AO110" s="85"/>
      <c r="AP110" s="85"/>
      <c r="AQ110" s="84"/>
      <c r="AR110" s="85"/>
      <c r="AS110" s="85"/>
      <c r="AT110" s="84"/>
      <c r="AU110" s="85"/>
      <c r="AV110" s="85"/>
      <c r="AW110" s="84"/>
      <c r="AX110" s="85"/>
      <c r="AY110" s="85"/>
      <c r="AZ110" s="84"/>
      <c r="BA110" s="85"/>
      <c r="BB110" s="85"/>
      <c r="BC110" s="84"/>
      <c r="BD110" s="27"/>
      <c r="BI110" s="90" t="s">
        <v>821</v>
      </c>
      <c r="BJ110" s="90" t="s">
        <v>822</v>
      </c>
    </row>
    <row r="111" spans="1:62" s="90" customFormat="1" ht="12.75">
      <c r="A111" s="83" t="s">
        <v>823</v>
      </c>
      <c r="B111" s="84">
        <v>86</v>
      </c>
      <c r="C111" s="84" t="s">
        <v>824</v>
      </c>
      <c r="D111" s="84" t="s">
        <v>825</v>
      </c>
      <c r="E111" s="85">
        <v>2636249</v>
      </c>
      <c r="F111" s="85"/>
      <c r="G111" s="85">
        <v>52954</v>
      </c>
      <c r="H111" s="86">
        <v>44461</v>
      </c>
      <c r="I111" s="85">
        <v>2008365</v>
      </c>
      <c r="J111" s="84">
        <v>59</v>
      </c>
      <c r="K111" s="87">
        <f t="shared" ca="1" si="0"/>
        <v>34.066666666666663</v>
      </c>
      <c r="L111" s="88"/>
      <c r="M111" s="84">
        <f t="shared" ca="1" si="1"/>
        <v>52954</v>
      </c>
      <c r="N111" s="84"/>
      <c r="O111" s="89">
        <f t="shared" si="2"/>
        <v>0</v>
      </c>
      <c r="P111" s="89"/>
      <c r="Q111" s="85">
        <f t="shared" si="3"/>
        <v>0</v>
      </c>
      <c r="R111" s="85" t="str">
        <f t="shared" si="4"/>
        <v/>
      </c>
      <c r="S111" s="84"/>
      <c r="T111" s="85"/>
      <c r="U111" s="85"/>
      <c r="V111" s="84"/>
      <c r="W111" s="85"/>
      <c r="X111" s="85"/>
      <c r="Y111" s="84"/>
      <c r="Z111" s="85"/>
      <c r="AA111" s="85"/>
      <c r="AB111" s="84"/>
      <c r="AC111" s="85"/>
      <c r="AD111" s="85"/>
      <c r="AE111" s="84"/>
      <c r="AF111" s="85"/>
      <c r="AG111" s="85"/>
      <c r="AH111" s="84"/>
      <c r="AI111" s="85"/>
      <c r="AJ111" s="85"/>
      <c r="AK111" s="84"/>
      <c r="AL111" s="85"/>
      <c r="AM111" s="85"/>
      <c r="AN111" s="84"/>
      <c r="AO111" s="85"/>
      <c r="AP111" s="85"/>
      <c r="AQ111" s="84"/>
      <c r="AR111" s="85"/>
      <c r="AS111" s="85"/>
      <c r="AT111" s="84"/>
      <c r="AU111" s="85"/>
      <c r="AV111" s="85"/>
      <c r="AW111" s="84"/>
      <c r="AX111" s="85"/>
      <c r="AY111" s="85"/>
      <c r="AZ111" s="84"/>
      <c r="BA111" s="85"/>
      <c r="BB111" s="85"/>
      <c r="BC111" s="84"/>
      <c r="BD111" s="27"/>
      <c r="BI111" s="90" t="s">
        <v>826</v>
      </c>
      <c r="BJ111" s="90" t="s">
        <v>827</v>
      </c>
    </row>
    <row r="112" spans="1:62" s="90" customFormat="1" ht="12.75">
      <c r="A112" s="83" t="s">
        <v>828</v>
      </c>
      <c r="B112" s="84">
        <v>87</v>
      </c>
      <c r="C112" s="84" t="s">
        <v>829</v>
      </c>
      <c r="D112" s="84" t="s">
        <v>830</v>
      </c>
      <c r="E112" s="85">
        <v>2636249</v>
      </c>
      <c r="F112" s="85"/>
      <c r="G112" s="85">
        <v>52953</v>
      </c>
      <c r="H112" s="86">
        <v>44461</v>
      </c>
      <c r="I112" s="85">
        <v>2008352</v>
      </c>
      <c r="J112" s="84">
        <v>59</v>
      </c>
      <c r="K112" s="87">
        <f t="shared" ca="1" si="0"/>
        <v>34.066666666666663</v>
      </c>
      <c r="L112" s="88"/>
      <c r="M112" s="84">
        <f t="shared" ca="1" si="1"/>
        <v>52953</v>
      </c>
      <c r="N112" s="84"/>
      <c r="O112" s="89">
        <f t="shared" si="2"/>
        <v>0</v>
      </c>
      <c r="P112" s="89"/>
      <c r="Q112" s="85">
        <f t="shared" si="3"/>
        <v>0</v>
      </c>
      <c r="R112" s="85" t="str">
        <f t="shared" si="4"/>
        <v/>
      </c>
      <c r="S112" s="84"/>
      <c r="T112" s="85"/>
      <c r="U112" s="85"/>
      <c r="V112" s="84"/>
      <c r="W112" s="85"/>
      <c r="X112" s="85"/>
      <c r="Y112" s="84"/>
      <c r="Z112" s="85"/>
      <c r="AA112" s="85"/>
      <c r="AB112" s="84"/>
      <c r="AC112" s="85"/>
      <c r="AD112" s="85"/>
      <c r="AE112" s="84"/>
      <c r="AF112" s="85"/>
      <c r="AG112" s="85"/>
      <c r="AH112" s="84"/>
      <c r="AI112" s="85"/>
      <c r="AJ112" s="85"/>
      <c r="AK112" s="84"/>
      <c r="AL112" s="85"/>
      <c r="AM112" s="85"/>
      <c r="AN112" s="84"/>
      <c r="AO112" s="85"/>
      <c r="AP112" s="85"/>
      <c r="AQ112" s="84"/>
      <c r="AR112" s="85"/>
      <c r="AS112" s="85"/>
      <c r="AT112" s="84"/>
      <c r="AU112" s="85"/>
      <c r="AV112" s="85"/>
      <c r="AW112" s="84"/>
      <c r="AX112" s="85"/>
      <c r="AY112" s="85"/>
      <c r="AZ112" s="84"/>
      <c r="BA112" s="85"/>
      <c r="BB112" s="85"/>
      <c r="BC112" s="84"/>
      <c r="BD112" s="27"/>
      <c r="BI112" s="90" t="s">
        <v>831</v>
      </c>
      <c r="BJ112" s="90" t="s">
        <v>832</v>
      </c>
    </row>
    <row r="113" spans="1:62" s="90" customFormat="1" ht="12.75">
      <c r="A113" s="83" t="s">
        <v>833</v>
      </c>
      <c r="B113" s="84">
        <v>88</v>
      </c>
      <c r="C113" s="84" t="s">
        <v>834</v>
      </c>
      <c r="D113" s="84" t="s">
        <v>835</v>
      </c>
      <c r="E113" s="85">
        <v>5245567</v>
      </c>
      <c r="F113" s="85"/>
      <c r="G113" s="85">
        <v>105355</v>
      </c>
      <c r="H113" s="86">
        <v>44500</v>
      </c>
      <c r="I113" s="85">
        <v>4158718</v>
      </c>
      <c r="J113" s="84">
        <v>59</v>
      </c>
      <c r="K113" s="87">
        <f t="shared" ca="1" si="0"/>
        <v>35.366666666666667</v>
      </c>
      <c r="L113" s="88"/>
      <c r="M113" s="84">
        <f t="shared" ca="1" si="1"/>
        <v>105355</v>
      </c>
      <c r="N113" s="84"/>
      <c r="O113" s="89">
        <f t="shared" si="2"/>
        <v>0</v>
      </c>
      <c r="P113" s="89"/>
      <c r="Q113" s="85">
        <f t="shared" si="3"/>
        <v>0</v>
      </c>
      <c r="R113" s="85" t="str">
        <f t="shared" si="4"/>
        <v/>
      </c>
      <c r="S113" s="84"/>
      <c r="T113" s="85"/>
      <c r="U113" s="85"/>
      <c r="V113" s="84"/>
      <c r="W113" s="85"/>
      <c r="X113" s="85"/>
      <c r="Y113" s="84"/>
      <c r="Z113" s="85"/>
      <c r="AA113" s="85"/>
      <c r="AB113" s="84"/>
      <c r="AC113" s="85"/>
      <c r="AD113" s="85"/>
      <c r="AE113" s="84"/>
      <c r="AF113" s="85"/>
      <c r="AG113" s="85"/>
      <c r="AH113" s="84"/>
      <c r="AI113" s="85"/>
      <c r="AJ113" s="85"/>
      <c r="AK113" s="84"/>
      <c r="AL113" s="85"/>
      <c r="AM113" s="85"/>
      <c r="AN113" s="84"/>
      <c r="AO113" s="85"/>
      <c r="AP113" s="85"/>
      <c r="AQ113" s="84"/>
      <c r="AR113" s="85"/>
      <c r="AS113" s="85"/>
      <c r="AT113" s="84"/>
      <c r="AU113" s="85"/>
      <c r="AV113" s="85"/>
      <c r="AW113" s="84"/>
      <c r="AX113" s="85"/>
      <c r="AY113" s="85"/>
      <c r="AZ113" s="84"/>
      <c r="BA113" s="85"/>
      <c r="BB113" s="85"/>
      <c r="BC113" s="84"/>
      <c r="BD113" s="27"/>
      <c r="BI113" s="90" t="s">
        <v>836</v>
      </c>
      <c r="BJ113" s="90" t="s">
        <v>837</v>
      </c>
    </row>
    <row r="114" spans="1:62" s="90" customFormat="1" ht="12.75">
      <c r="A114" s="83" t="s">
        <v>838</v>
      </c>
      <c r="B114" s="84">
        <v>89</v>
      </c>
      <c r="C114" s="84" t="s">
        <v>839</v>
      </c>
      <c r="D114" s="84" t="s">
        <v>840</v>
      </c>
      <c r="E114" s="85">
        <v>1737000</v>
      </c>
      <c r="F114" s="85"/>
      <c r="G114" s="85">
        <v>55420</v>
      </c>
      <c r="H114" s="86">
        <v>44334</v>
      </c>
      <c r="I114" s="85">
        <v>791091</v>
      </c>
      <c r="J114" s="84">
        <v>35</v>
      </c>
      <c r="K114" s="87">
        <f t="shared" ca="1" si="0"/>
        <v>5.8333333333333321</v>
      </c>
      <c r="L114" s="88"/>
      <c r="M114" s="84">
        <f t="shared" ca="1" si="1"/>
        <v>55420</v>
      </c>
      <c r="N114" s="84"/>
      <c r="O114" s="89">
        <f t="shared" si="2"/>
        <v>0</v>
      </c>
      <c r="P114" s="89"/>
      <c r="Q114" s="85">
        <f t="shared" si="3"/>
        <v>0</v>
      </c>
      <c r="R114" s="85" t="str">
        <f t="shared" si="4"/>
        <v/>
      </c>
      <c r="S114" s="84"/>
      <c r="T114" s="85"/>
      <c r="U114" s="85"/>
      <c r="V114" s="84"/>
      <c r="W114" s="85"/>
      <c r="X114" s="85"/>
      <c r="Y114" s="84"/>
      <c r="Z114" s="85"/>
      <c r="AA114" s="85"/>
      <c r="AB114" s="84"/>
      <c r="AC114" s="85"/>
      <c r="AD114" s="85"/>
      <c r="AE114" s="84"/>
      <c r="AF114" s="85"/>
      <c r="AG114" s="85"/>
      <c r="AH114" s="84"/>
      <c r="AI114" s="85"/>
      <c r="AJ114" s="85"/>
      <c r="AK114" s="84"/>
      <c r="AL114" s="85"/>
      <c r="AM114" s="85"/>
      <c r="AN114" s="84"/>
      <c r="AO114" s="85"/>
      <c r="AP114" s="85"/>
      <c r="AQ114" s="84"/>
      <c r="AR114" s="85"/>
      <c r="AS114" s="85"/>
      <c r="AT114" s="84"/>
      <c r="AU114" s="85"/>
      <c r="AV114" s="85"/>
      <c r="AW114" s="84"/>
      <c r="AX114" s="85"/>
      <c r="AY114" s="85"/>
      <c r="AZ114" s="84"/>
      <c r="BA114" s="85"/>
      <c r="BB114" s="85"/>
      <c r="BC114" s="84"/>
      <c r="BD114" s="27"/>
      <c r="BI114" s="90" t="s">
        <v>841</v>
      </c>
      <c r="BJ114" s="90" t="s">
        <v>842</v>
      </c>
    </row>
    <row r="115" spans="1:62" s="90" customFormat="1" ht="12.75">
      <c r="A115" s="83" t="s">
        <v>843</v>
      </c>
      <c r="B115" s="84">
        <v>90</v>
      </c>
      <c r="C115" s="84" t="s">
        <v>844</v>
      </c>
      <c r="D115" s="84" t="s">
        <v>845</v>
      </c>
      <c r="E115" s="85">
        <v>4631992</v>
      </c>
      <c r="F115" s="85"/>
      <c r="G115" s="85">
        <v>147340</v>
      </c>
      <c r="H115" s="86">
        <v>44138</v>
      </c>
      <c r="I115" s="85">
        <v>1284220</v>
      </c>
      <c r="J115" s="84">
        <v>35</v>
      </c>
      <c r="K115" s="87" t="str">
        <f t="shared" ca="1" si="0"/>
        <v/>
      </c>
      <c r="L115" s="88"/>
      <c r="M115" s="84" t="str">
        <f t="shared" ca="1" si="1"/>
        <v/>
      </c>
      <c r="N115" s="84"/>
      <c r="O115" s="89">
        <f t="shared" si="2"/>
        <v>0</v>
      </c>
      <c r="P115" s="89"/>
      <c r="Q115" s="85">
        <f t="shared" si="3"/>
        <v>0</v>
      </c>
      <c r="R115" s="85" t="str">
        <f t="shared" si="4"/>
        <v/>
      </c>
      <c r="S115" s="84"/>
      <c r="T115" s="85"/>
      <c r="U115" s="85"/>
      <c r="V115" s="84"/>
      <c r="W115" s="85"/>
      <c r="X115" s="85"/>
      <c r="Y115" s="84"/>
      <c r="Z115" s="85"/>
      <c r="AA115" s="85"/>
      <c r="AB115" s="84"/>
      <c r="AC115" s="85"/>
      <c r="AD115" s="85"/>
      <c r="AE115" s="84"/>
      <c r="AF115" s="85"/>
      <c r="AG115" s="85"/>
      <c r="AH115" s="84"/>
      <c r="AI115" s="85"/>
      <c r="AJ115" s="85"/>
      <c r="AK115" s="84"/>
      <c r="AL115" s="85"/>
      <c r="AM115" s="85"/>
      <c r="AN115" s="84"/>
      <c r="AO115" s="85"/>
      <c r="AP115" s="85"/>
      <c r="AQ115" s="84"/>
      <c r="AR115" s="85"/>
      <c r="AS115" s="85"/>
      <c r="AT115" s="84"/>
      <c r="AU115" s="85"/>
      <c r="AV115" s="85"/>
      <c r="AW115" s="84"/>
      <c r="AX115" s="85"/>
      <c r="AY115" s="85"/>
      <c r="AZ115" s="84"/>
      <c r="BA115" s="85"/>
      <c r="BB115" s="85"/>
      <c r="BC115" s="84"/>
      <c r="BD115" s="27"/>
      <c r="BI115" s="90" t="s">
        <v>846</v>
      </c>
      <c r="BJ115" s="90" t="s">
        <v>847</v>
      </c>
    </row>
    <row r="116" spans="1:62" s="90" customFormat="1" ht="12.75">
      <c r="A116" s="83" t="s">
        <v>848</v>
      </c>
      <c r="B116" s="84">
        <v>91</v>
      </c>
      <c r="C116" s="84" t="s">
        <v>849</v>
      </c>
      <c r="D116" s="84" t="s">
        <v>850</v>
      </c>
      <c r="E116" s="85">
        <v>886000</v>
      </c>
      <c r="F116" s="85"/>
      <c r="G116" s="85">
        <v>21820</v>
      </c>
      <c r="H116" s="86">
        <v>44462</v>
      </c>
      <c r="I116" s="85">
        <v>613069</v>
      </c>
      <c r="J116" s="84">
        <v>47</v>
      </c>
      <c r="K116" s="87">
        <f t="shared" ca="1" si="0"/>
        <v>22.1</v>
      </c>
      <c r="L116" s="88"/>
      <c r="M116" s="84">
        <f t="shared" ca="1" si="1"/>
        <v>21820</v>
      </c>
      <c r="N116" s="84"/>
      <c r="O116" s="89">
        <f t="shared" si="2"/>
        <v>0</v>
      </c>
      <c r="P116" s="89"/>
      <c r="Q116" s="85">
        <f t="shared" si="3"/>
        <v>0</v>
      </c>
      <c r="R116" s="85" t="str">
        <f t="shared" si="4"/>
        <v/>
      </c>
      <c r="S116" s="84"/>
      <c r="T116" s="85"/>
      <c r="U116" s="85"/>
      <c r="V116" s="84"/>
      <c r="W116" s="85"/>
      <c r="X116" s="85"/>
      <c r="Y116" s="84"/>
      <c r="Z116" s="85"/>
      <c r="AA116" s="85"/>
      <c r="AB116" s="84"/>
      <c r="AC116" s="85"/>
      <c r="AD116" s="85"/>
      <c r="AE116" s="84"/>
      <c r="AF116" s="85"/>
      <c r="AG116" s="85"/>
      <c r="AH116" s="84"/>
      <c r="AI116" s="85"/>
      <c r="AJ116" s="85"/>
      <c r="AK116" s="84"/>
      <c r="AL116" s="85"/>
      <c r="AM116" s="85"/>
      <c r="AN116" s="84"/>
      <c r="AO116" s="85"/>
      <c r="AP116" s="85"/>
      <c r="AQ116" s="84"/>
      <c r="AR116" s="85"/>
      <c r="AS116" s="85"/>
      <c r="AT116" s="84"/>
      <c r="AU116" s="85"/>
      <c r="AV116" s="85"/>
      <c r="AW116" s="84"/>
      <c r="AX116" s="85"/>
      <c r="AY116" s="85"/>
      <c r="AZ116" s="84"/>
      <c r="BA116" s="85"/>
      <c r="BB116" s="85"/>
      <c r="BC116" s="84"/>
      <c r="BD116" s="27"/>
      <c r="BI116" s="90" t="s">
        <v>851</v>
      </c>
      <c r="BJ116" s="90" t="s">
        <v>852</v>
      </c>
    </row>
    <row r="117" spans="1:62" s="90" customFormat="1" ht="12.75">
      <c r="A117" s="83" t="s">
        <v>853</v>
      </c>
      <c r="B117" s="84">
        <v>92</v>
      </c>
      <c r="C117" s="84" t="s">
        <v>854</v>
      </c>
      <c r="D117" s="84" t="s">
        <v>855</v>
      </c>
      <c r="E117" s="85">
        <v>691000</v>
      </c>
      <c r="F117" s="85"/>
      <c r="G117" s="85">
        <v>22050</v>
      </c>
      <c r="H117" s="86">
        <v>44334</v>
      </c>
      <c r="I117" s="85">
        <v>314731</v>
      </c>
      <c r="J117" s="84">
        <v>35</v>
      </c>
      <c r="K117" s="87">
        <f t="shared" ca="1" si="0"/>
        <v>5.8333333333333321</v>
      </c>
      <c r="L117" s="88"/>
      <c r="M117" s="84">
        <f t="shared" ca="1" si="1"/>
        <v>22050</v>
      </c>
      <c r="N117" s="84"/>
      <c r="O117" s="89">
        <f t="shared" si="2"/>
        <v>0</v>
      </c>
      <c r="P117" s="89"/>
      <c r="Q117" s="85">
        <f t="shared" si="3"/>
        <v>0</v>
      </c>
      <c r="R117" s="85" t="str">
        <f t="shared" si="4"/>
        <v/>
      </c>
      <c r="S117" s="84"/>
      <c r="T117" s="85"/>
      <c r="U117" s="85"/>
      <c r="V117" s="84"/>
      <c r="W117" s="85"/>
      <c r="X117" s="85"/>
      <c r="Y117" s="84"/>
      <c r="Z117" s="85"/>
      <c r="AA117" s="85"/>
      <c r="AB117" s="84"/>
      <c r="AC117" s="85"/>
      <c r="AD117" s="85"/>
      <c r="AE117" s="84"/>
      <c r="AF117" s="85"/>
      <c r="AG117" s="85"/>
      <c r="AH117" s="84"/>
      <c r="AI117" s="85"/>
      <c r="AJ117" s="85"/>
      <c r="AK117" s="84"/>
      <c r="AL117" s="85"/>
      <c r="AM117" s="85"/>
      <c r="AN117" s="84"/>
      <c r="AO117" s="85"/>
      <c r="AP117" s="85"/>
      <c r="AQ117" s="84"/>
      <c r="AR117" s="85"/>
      <c r="AS117" s="85"/>
      <c r="AT117" s="84"/>
      <c r="AU117" s="85"/>
      <c r="AV117" s="85"/>
      <c r="AW117" s="84"/>
      <c r="AX117" s="85"/>
      <c r="AY117" s="85"/>
      <c r="AZ117" s="84"/>
      <c r="BA117" s="85"/>
      <c r="BB117" s="85"/>
      <c r="BC117" s="84"/>
      <c r="BD117" s="27"/>
      <c r="BI117" s="90" t="s">
        <v>856</v>
      </c>
      <c r="BJ117" s="90" t="s">
        <v>857</v>
      </c>
    </row>
    <row r="118" spans="1:62" s="90" customFormat="1" ht="12.75">
      <c r="A118" s="83" t="s">
        <v>858</v>
      </c>
      <c r="B118" s="84">
        <v>93</v>
      </c>
      <c r="C118" s="84" t="s">
        <v>859</v>
      </c>
      <c r="D118" s="84" t="s">
        <v>860</v>
      </c>
      <c r="E118" s="85">
        <v>1700000</v>
      </c>
      <c r="F118" s="85"/>
      <c r="G118" s="85">
        <v>34150</v>
      </c>
      <c r="H118" s="86">
        <v>44461</v>
      </c>
      <c r="I118" s="85">
        <v>1295128</v>
      </c>
      <c r="J118" s="84">
        <v>59</v>
      </c>
      <c r="K118" s="87">
        <f t="shared" ca="1" si="0"/>
        <v>34.066666666666663</v>
      </c>
      <c r="L118" s="88"/>
      <c r="M118" s="84">
        <f t="shared" ca="1" si="1"/>
        <v>34150</v>
      </c>
      <c r="N118" s="84"/>
      <c r="O118" s="89">
        <f t="shared" si="2"/>
        <v>0</v>
      </c>
      <c r="P118" s="89"/>
      <c r="Q118" s="85">
        <f t="shared" si="3"/>
        <v>0</v>
      </c>
      <c r="R118" s="85" t="str">
        <f t="shared" si="4"/>
        <v/>
      </c>
      <c r="S118" s="84"/>
      <c r="T118" s="85"/>
      <c r="U118" s="85"/>
      <c r="V118" s="84"/>
      <c r="W118" s="85"/>
      <c r="X118" s="85"/>
      <c r="Y118" s="84"/>
      <c r="Z118" s="85"/>
      <c r="AA118" s="85"/>
      <c r="AB118" s="84"/>
      <c r="AC118" s="85"/>
      <c r="AD118" s="85"/>
      <c r="AE118" s="84"/>
      <c r="AF118" s="85"/>
      <c r="AG118" s="85"/>
      <c r="AH118" s="84"/>
      <c r="AI118" s="85"/>
      <c r="AJ118" s="85"/>
      <c r="AK118" s="84"/>
      <c r="AL118" s="85"/>
      <c r="AM118" s="85"/>
      <c r="AN118" s="84"/>
      <c r="AO118" s="85"/>
      <c r="AP118" s="85"/>
      <c r="AQ118" s="84"/>
      <c r="AR118" s="85"/>
      <c r="AS118" s="85"/>
      <c r="AT118" s="84"/>
      <c r="AU118" s="85"/>
      <c r="AV118" s="85"/>
      <c r="AW118" s="84"/>
      <c r="AX118" s="85"/>
      <c r="AY118" s="85"/>
      <c r="AZ118" s="84"/>
      <c r="BA118" s="85"/>
      <c r="BB118" s="85"/>
      <c r="BC118" s="84"/>
      <c r="BD118" s="27"/>
      <c r="BI118" s="90" t="s">
        <v>861</v>
      </c>
      <c r="BJ118" s="90" t="s">
        <v>862</v>
      </c>
    </row>
    <row r="119" spans="1:62" s="90" customFormat="1" ht="12.75">
      <c r="A119" s="83" t="s">
        <v>863</v>
      </c>
      <c r="B119" s="84">
        <v>94</v>
      </c>
      <c r="C119" s="84" t="s">
        <v>864</v>
      </c>
      <c r="D119" s="84" t="s">
        <v>865</v>
      </c>
      <c r="E119" s="85">
        <v>1580000</v>
      </c>
      <c r="F119" s="85"/>
      <c r="G119" s="85">
        <v>50585</v>
      </c>
      <c r="H119" s="86">
        <v>44138</v>
      </c>
      <c r="I119" s="85">
        <v>440896</v>
      </c>
      <c r="J119" s="84">
        <v>35</v>
      </c>
      <c r="K119" s="87" t="str">
        <f t="shared" ca="1" si="0"/>
        <v/>
      </c>
      <c r="L119" s="88"/>
      <c r="M119" s="84" t="str">
        <f t="shared" ca="1" si="1"/>
        <v/>
      </c>
      <c r="N119" s="84"/>
      <c r="O119" s="89">
        <f t="shared" si="2"/>
        <v>0</v>
      </c>
      <c r="P119" s="89"/>
      <c r="Q119" s="85">
        <f t="shared" si="3"/>
        <v>0</v>
      </c>
      <c r="R119" s="85" t="str">
        <f t="shared" si="4"/>
        <v/>
      </c>
      <c r="S119" s="84"/>
      <c r="T119" s="85"/>
      <c r="U119" s="85"/>
      <c r="V119" s="84"/>
      <c r="W119" s="85"/>
      <c r="X119" s="85"/>
      <c r="Y119" s="84"/>
      <c r="Z119" s="85"/>
      <c r="AA119" s="85"/>
      <c r="AB119" s="84"/>
      <c r="AC119" s="85"/>
      <c r="AD119" s="85"/>
      <c r="AE119" s="84"/>
      <c r="AF119" s="85"/>
      <c r="AG119" s="85"/>
      <c r="AH119" s="84"/>
      <c r="AI119" s="85"/>
      <c r="AJ119" s="85"/>
      <c r="AK119" s="84"/>
      <c r="AL119" s="85"/>
      <c r="AM119" s="85"/>
      <c r="AN119" s="84"/>
      <c r="AO119" s="85"/>
      <c r="AP119" s="85"/>
      <c r="AQ119" s="84"/>
      <c r="AR119" s="85"/>
      <c r="AS119" s="85"/>
      <c r="AT119" s="84"/>
      <c r="AU119" s="85"/>
      <c r="AV119" s="85"/>
      <c r="AW119" s="84"/>
      <c r="AX119" s="85"/>
      <c r="AY119" s="85"/>
      <c r="AZ119" s="84"/>
      <c r="BA119" s="85"/>
      <c r="BB119" s="85"/>
      <c r="BC119" s="84"/>
      <c r="BD119" s="27"/>
      <c r="BI119" s="90" t="s">
        <v>866</v>
      </c>
      <c r="BJ119" s="90" t="s">
        <v>867</v>
      </c>
    </row>
    <row r="120" spans="1:62" s="90" customFormat="1" ht="12.75">
      <c r="A120" s="83" t="s">
        <v>868</v>
      </c>
      <c r="B120" s="84">
        <v>95</v>
      </c>
      <c r="C120" s="84" t="s">
        <v>869</v>
      </c>
      <c r="D120" s="84" t="s">
        <v>870</v>
      </c>
      <c r="E120" s="85">
        <v>1139000</v>
      </c>
      <c r="F120" s="85"/>
      <c r="G120" s="85">
        <v>27785</v>
      </c>
      <c r="H120" s="86">
        <v>44452</v>
      </c>
      <c r="I120" s="85">
        <v>785720</v>
      </c>
      <c r="J120" s="84">
        <v>47</v>
      </c>
      <c r="K120" s="87">
        <f t="shared" ca="1" si="0"/>
        <v>21.766666666666666</v>
      </c>
      <c r="L120" s="88"/>
      <c r="M120" s="84">
        <f t="shared" ca="1" si="1"/>
        <v>27785</v>
      </c>
      <c r="N120" s="84"/>
      <c r="O120" s="89">
        <f t="shared" si="2"/>
        <v>0</v>
      </c>
      <c r="P120" s="89"/>
      <c r="Q120" s="85">
        <f t="shared" si="3"/>
        <v>0</v>
      </c>
      <c r="R120" s="85" t="str">
        <f t="shared" si="4"/>
        <v/>
      </c>
      <c r="S120" s="84"/>
      <c r="T120" s="85"/>
      <c r="U120" s="85"/>
      <c r="V120" s="84"/>
      <c r="W120" s="85"/>
      <c r="X120" s="85"/>
      <c r="Y120" s="84"/>
      <c r="Z120" s="85"/>
      <c r="AA120" s="85"/>
      <c r="AB120" s="84"/>
      <c r="AC120" s="85"/>
      <c r="AD120" s="85"/>
      <c r="AE120" s="84"/>
      <c r="AF120" s="85"/>
      <c r="AG120" s="85"/>
      <c r="AH120" s="84"/>
      <c r="AI120" s="85"/>
      <c r="AJ120" s="85"/>
      <c r="AK120" s="84"/>
      <c r="AL120" s="85"/>
      <c r="AM120" s="85"/>
      <c r="AN120" s="84"/>
      <c r="AO120" s="85"/>
      <c r="AP120" s="85"/>
      <c r="AQ120" s="84"/>
      <c r="AR120" s="85"/>
      <c r="AS120" s="85"/>
      <c r="AT120" s="84"/>
      <c r="AU120" s="85"/>
      <c r="AV120" s="85"/>
      <c r="AW120" s="84"/>
      <c r="AX120" s="85"/>
      <c r="AY120" s="85"/>
      <c r="AZ120" s="84"/>
      <c r="BA120" s="85"/>
      <c r="BB120" s="85"/>
      <c r="BC120" s="84"/>
      <c r="BD120" s="27"/>
      <c r="BI120" s="90" t="s">
        <v>871</v>
      </c>
      <c r="BJ120" s="90" t="s">
        <v>872</v>
      </c>
    </row>
    <row r="121" spans="1:62" s="90" customFormat="1" ht="12.75">
      <c r="A121" s="83" t="s">
        <v>873</v>
      </c>
      <c r="B121" s="84">
        <v>96</v>
      </c>
      <c r="C121" s="84" t="s">
        <v>874</v>
      </c>
      <c r="D121" s="84" t="s">
        <v>875</v>
      </c>
      <c r="E121" s="85">
        <v>2868000</v>
      </c>
      <c r="F121" s="85"/>
      <c r="G121" s="85">
        <v>57610</v>
      </c>
      <c r="H121" s="86">
        <v>44609</v>
      </c>
      <c r="I121" s="85">
        <v>2405261</v>
      </c>
      <c r="J121" s="84">
        <v>59</v>
      </c>
      <c r="K121" s="87">
        <f t="shared" ca="1" si="0"/>
        <v>39</v>
      </c>
      <c r="L121" s="88"/>
      <c r="M121" s="84">
        <f t="shared" ca="1" si="1"/>
        <v>57610</v>
      </c>
      <c r="N121" s="84"/>
      <c r="O121" s="89">
        <f t="shared" si="2"/>
        <v>0</v>
      </c>
      <c r="P121" s="89"/>
      <c r="Q121" s="85">
        <f t="shared" si="3"/>
        <v>0</v>
      </c>
      <c r="R121" s="85" t="str">
        <f t="shared" si="4"/>
        <v/>
      </c>
      <c r="S121" s="84"/>
      <c r="T121" s="85"/>
      <c r="U121" s="85"/>
      <c r="V121" s="84"/>
      <c r="W121" s="85"/>
      <c r="X121" s="85"/>
      <c r="Y121" s="84"/>
      <c r="Z121" s="85"/>
      <c r="AA121" s="85"/>
      <c r="AB121" s="84"/>
      <c r="AC121" s="85"/>
      <c r="AD121" s="85"/>
      <c r="AE121" s="84"/>
      <c r="AF121" s="85"/>
      <c r="AG121" s="85"/>
      <c r="AH121" s="84"/>
      <c r="AI121" s="85"/>
      <c r="AJ121" s="85"/>
      <c r="AK121" s="84"/>
      <c r="AL121" s="85"/>
      <c r="AM121" s="85"/>
      <c r="AN121" s="84"/>
      <c r="AO121" s="85"/>
      <c r="AP121" s="85"/>
      <c r="AQ121" s="84"/>
      <c r="AR121" s="85"/>
      <c r="AS121" s="85"/>
      <c r="AT121" s="84"/>
      <c r="AU121" s="85"/>
      <c r="AV121" s="85"/>
      <c r="AW121" s="84"/>
      <c r="AX121" s="85"/>
      <c r="AY121" s="85"/>
      <c r="AZ121" s="84"/>
      <c r="BA121" s="85"/>
      <c r="BB121" s="85"/>
      <c r="BC121" s="84"/>
      <c r="BD121" s="27"/>
      <c r="BI121" s="90" t="s">
        <v>876</v>
      </c>
      <c r="BJ121" s="90" t="s">
        <v>877</v>
      </c>
    </row>
    <row r="122" spans="1:62" s="90" customFormat="1" ht="12.75">
      <c r="A122" s="83" t="s">
        <v>878</v>
      </c>
      <c r="B122" s="84">
        <v>97</v>
      </c>
      <c r="C122" s="84" t="s">
        <v>879</v>
      </c>
      <c r="D122" s="84" t="s">
        <v>880</v>
      </c>
      <c r="E122" s="85">
        <v>1024000</v>
      </c>
      <c r="F122" s="85"/>
      <c r="G122" s="85">
        <v>32715</v>
      </c>
      <c r="H122" s="86">
        <v>44201</v>
      </c>
      <c r="I122" s="85">
        <v>346544</v>
      </c>
      <c r="J122" s="84">
        <v>35</v>
      </c>
      <c r="K122" s="87">
        <f t="shared" ca="1" si="0"/>
        <v>1.3999999999999986</v>
      </c>
      <c r="L122" s="88"/>
      <c r="M122" s="84">
        <f t="shared" ca="1" si="1"/>
        <v>32715</v>
      </c>
      <c r="N122" s="84"/>
      <c r="O122" s="89">
        <f t="shared" si="2"/>
        <v>0</v>
      </c>
      <c r="P122" s="89"/>
      <c r="Q122" s="85">
        <f t="shared" si="3"/>
        <v>0</v>
      </c>
      <c r="R122" s="85" t="str">
        <f t="shared" si="4"/>
        <v/>
      </c>
      <c r="S122" s="84"/>
      <c r="T122" s="85"/>
      <c r="U122" s="85"/>
      <c r="V122" s="84"/>
      <c r="W122" s="85"/>
      <c r="X122" s="85"/>
      <c r="Y122" s="84"/>
      <c r="Z122" s="85"/>
      <c r="AA122" s="85"/>
      <c r="AB122" s="84"/>
      <c r="AC122" s="85"/>
      <c r="AD122" s="85"/>
      <c r="AE122" s="84"/>
      <c r="AF122" s="85"/>
      <c r="AG122" s="85"/>
      <c r="AH122" s="84"/>
      <c r="AI122" s="85"/>
      <c r="AJ122" s="85"/>
      <c r="AK122" s="84"/>
      <c r="AL122" s="85"/>
      <c r="AM122" s="85"/>
      <c r="AN122" s="84"/>
      <c r="AO122" s="85"/>
      <c r="AP122" s="85"/>
      <c r="AQ122" s="84"/>
      <c r="AR122" s="85"/>
      <c r="AS122" s="85"/>
      <c r="AT122" s="84"/>
      <c r="AU122" s="85"/>
      <c r="AV122" s="85"/>
      <c r="AW122" s="84"/>
      <c r="AX122" s="85"/>
      <c r="AY122" s="85"/>
      <c r="AZ122" s="84"/>
      <c r="BA122" s="85"/>
      <c r="BB122" s="85"/>
      <c r="BC122" s="84"/>
      <c r="BD122" s="27"/>
      <c r="BI122" s="90" t="s">
        <v>881</v>
      </c>
      <c r="BJ122" s="90" t="s">
        <v>882</v>
      </c>
    </row>
    <row r="123" spans="1:62" s="90" customFormat="1" ht="12.75">
      <c r="A123" s="83" t="s">
        <v>883</v>
      </c>
      <c r="B123" s="84">
        <v>98</v>
      </c>
      <c r="C123" s="84" t="s">
        <v>884</v>
      </c>
      <c r="D123" s="84" t="s">
        <v>885</v>
      </c>
      <c r="E123" s="85">
        <v>869793</v>
      </c>
      <c r="F123" s="85"/>
      <c r="G123" s="85">
        <v>27785</v>
      </c>
      <c r="H123" s="86">
        <v>44195</v>
      </c>
      <c r="I123" s="85">
        <v>320093</v>
      </c>
      <c r="J123" s="84">
        <v>35</v>
      </c>
      <c r="K123" s="87">
        <f t="shared" ca="1" si="0"/>
        <v>1.2000000000000028</v>
      </c>
      <c r="L123" s="88"/>
      <c r="M123" s="84">
        <f t="shared" ca="1" si="1"/>
        <v>27785</v>
      </c>
      <c r="N123" s="84"/>
      <c r="O123" s="89">
        <f t="shared" si="2"/>
        <v>0</v>
      </c>
      <c r="P123" s="89"/>
      <c r="Q123" s="85">
        <f t="shared" si="3"/>
        <v>0</v>
      </c>
      <c r="R123" s="85" t="str">
        <f t="shared" si="4"/>
        <v/>
      </c>
      <c r="S123" s="84"/>
      <c r="T123" s="85"/>
      <c r="U123" s="85"/>
      <c r="V123" s="84"/>
      <c r="W123" s="85"/>
      <c r="X123" s="85"/>
      <c r="Y123" s="84"/>
      <c r="Z123" s="85"/>
      <c r="AA123" s="85"/>
      <c r="AB123" s="84"/>
      <c r="AC123" s="85"/>
      <c r="AD123" s="85"/>
      <c r="AE123" s="84"/>
      <c r="AF123" s="85"/>
      <c r="AG123" s="85"/>
      <c r="AH123" s="84"/>
      <c r="AI123" s="85"/>
      <c r="AJ123" s="85"/>
      <c r="AK123" s="84"/>
      <c r="AL123" s="85"/>
      <c r="AM123" s="85"/>
      <c r="AN123" s="84"/>
      <c r="AO123" s="85"/>
      <c r="AP123" s="85"/>
      <c r="AQ123" s="84"/>
      <c r="AR123" s="85"/>
      <c r="AS123" s="85"/>
      <c r="AT123" s="84"/>
      <c r="AU123" s="85"/>
      <c r="AV123" s="85"/>
      <c r="AW123" s="84"/>
      <c r="AX123" s="85"/>
      <c r="AY123" s="85"/>
      <c r="AZ123" s="84"/>
      <c r="BA123" s="85"/>
      <c r="BB123" s="85"/>
      <c r="BC123" s="84"/>
      <c r="BD123" s="27"/>
      <c r="BI123" s="90" t="s">
        <v>886</v>
      </c>
      <c r="BJ123" s="90" t="s">
        <v>887</v>
      </c>
    </row>
    <row r="124" spans="1:62" s="90" customFormat="1" ht="12.75">
      <c r="A124" s="83" t="s">
        <v>888</v>
      </c>
      <c r="B124" s="84">
        <v>99</v>
      </c>
      <c r="C124" s="84" t="s">
        <v>889</v>
      </c>
      <c r="D124" s="84" t="s">
        <v>890</v>
      </c>
      <c r="E124" s="85">
        <v>3387000</v>
      </c>
      <c r="F124" s="85"/>
      <c r="G124" s="85">
        <v>107535</v>
      </c>
      <c r="H124" s="86">
        <v>44196</v>
      </c>
      <c r="I124" s="85">
        <v>1238748</v>
      </c>
      <c r="J124" s="84">
        <v>35</v>
      </c>
      <c r="K124" s="87">
        <f t="shared" ca="1" si="0"/>
        <v>1.2333333333333343</v>
      </c>
      <c r="L124" s="88"/>
      <c r="M124" s="84">
        <f t="shared" ca="1" si="1"/>
        <v>107535</v>
      </c>
      <c r="N124" s="84"/>
      <c r="O124" s="89">
        <f t="shared" si="2"/>
        <v>0</v>
      </c>
      <c r="P124" s="89"/>
      <c r="Q124" s="85">
        <f t="shared" si="3"/>
        <v>0</v>
      </c>
      <c r="R124" s="85" t="str">
        <f t="shared" si="4"/>
        <v/>
      </c>
      <c r="S124" s="84"/>
      <c r="T124" s="85"/>
      <c r="U124" s="85"/>
      <c r="V124" s="84"/>
      <c r="W124" s="85"/>
      <c r="X124" s="85"/>
      <c r="Y124" s="84"/>
      <c r="Z124" s="85"/>
      <c r="AA124" s="85"/>
      <c r="AB124" s="84"/>
      <c r="AC124" s="85"/>
      <c r="AD124" s="85"/>
      <c r="AE124" s="84"/>
      <c r="AF124" s="85"/>
      <c r="AG124" s="85"/>
      <c r="AH124" s="84"/>
      <c r="AI124" s="85"/>
      <c r="AJ124" s="85"/>
      <c r="AK124" s="84"/>
      <c r="AL124" s="85"/>
      <c r="AM124" s="85"/>
      <c r="AN124" s="84"/>
      <c r="AO124" s="85"/>
      <c r="AP124" s="85"/>
      <c r="AQ124" s="84"/>
      <c r="AR124" s="85"/>
      <c r="AS124" s="85"/>
      <c r="AT124" s="84"/>
      <c r="AU124" s="85"/>
      <c r="AV124" s="85"/>
      <c r="AW124" s="84"/>
      <c r="AX124" s="85"/>
      <c r="AY124" s="85"/>
      <c r="AZ124" s="84"/>
      <c r="BA124" s="85"/>
      <c r="BB124" s="85"/>
      <c r="BC124" s="84"/>
      <c r="BD124" s="27"/>
      <c r="BI124" s="90" t="s">
        <v>891</v>
      </c>
      <c r="BJ124" s="90" t="s">
        <v>892</v>
      </c>
    </row>
    <row r="125" spans="1:62" s="90" customFormat="1" ht="12.75">
      <c r="A125" s="83" t="s">
        <v>893</v>
      </c>
      <c r="B125" s="84">
        <v>100</v>
      </c>
      <c r="C125" s="84" t="s">
        <v>894</v>
      </c>
      <c r="D125" s="84" t="s">
        <v>895</v>
      </c>
      <c r="E125" s="85">
        <v>6500000</v>
      </c>
      <c r="F125" s="85"/>
      <c r="G125" s="85">
        <v>206080</v>
      </c>
      <c r="H125" s="86">
        <v>44249</v>
      </c>
      <c r="I125" s="85">
        <v>2565283</v>
      </c>
      <c r="J125" s="84">
        <v>35</v>
      </c>
      <c r="K125" s="87">
        <f t="shared" ca="1" si="0"/>
        <v>3</v>
      </c>
      <c r="L125" s="88"/>
      <c r="M125" s="84">
        <f t="shared" ca="1" si="1"/>
        <v>206080</v>
      </c>
      <c r="N125" s="84"/>
      <c r="O125" s="89">
        <f t="shared" si="2"/>
        <v>0</v>
      </c>
      <c r="P125" s="89"/>
      <c r="Q125" s="85">
        <f t="shared" si="3"/>
        <v>0</v>
      </c>
      <c r="R125" s="85" t="str">
        <f t="shared" si="4"/>
        <v/>
      </c>
      <c r="S125" s="84"/>
      <c r="T125" s="85"/>
      <c r="U125" s="85"/>
      <c r="V125" s="84"/>
      <c r="W125" s="85"/>
      <c r="X125" s="85"/>
      <c r="Y125" s="84"/>
      <c r="Z125" s="85"/>
      <c r="AA125" s="85"/>
      <c r="AB125" s="84"/>
      <c r="AC125" s="85"/>
      <c r="AD125" s="85"/>
      <c r="AE125" s="84"/>
      <c r="AF125" s="85"/>
      <c r="AG125" s="85"/>
      <c r="AH125" s="84"/>
      <c r="AI125" s="85"/>
      <c r="AJ125" s="85"/>
      <c r="AK125" s="84"/>
      <c r="AL125" s="85"/>
      <c r="AM125" s="85"/>
      <c r="AN125" s="84"/>
      <c r="AO125" s="85"/>
      <c r="AP125" s="85"/>
      <c r="AQ125" s="84"/>
      <c r="AR125" s="85"/>
      <c r="AS125" s="85"/>
      <c r="AT125" s="84"/>
      <c r="AU125" s="85"/>
      <c r="AV125" s="85"/>
      <c r="AW125" s="84"/>
      <c r="AX125" s="85"/>
      <c r="AY125" s="85"/>
      <c r="AZ125" s="84"/>
      <c r="BA125" s="85"/>
      <c r="BB125" s="85"/>
      <c r="BC125" s="84"/>
      <c r="BD125" s="27"/>
      <c r="BI125" s="90" t="s">
        <v>896</v>
      </c>
      <c r="BJ125" s="90" t="s">
        <v>897</v>
      </c>
    </row>
    <row r="126" spans="1:62" s="90" customFormat="1" ht="12.75">
      <c r="A126" s="83" t="s">
        <v>898</v>
      </c>
      <c r="B126" s="84">
        <v>101</v>
      </c>
      <c r="C126" s="84" t="s">
        <v>899</v>
      </c>
      <c r="D126" s="84" t="s">
        <v>900</v>
      </c>
      <c r="E126" s="85">
        <v>896000</v>
      </c>
      <c r="F126" s="85"/>
      <c r="G126" s="85">
        <v>28790</v>
      </c>
      <c r="H126" s="86">
        <v>44252</v>
      </c>
      <c r="I126" s="85">
        <v>357357</v>
      </c>
      <c r="J126" s="84">
        <v>35</v>
      </c>
      <c r="K126" s="87">
        <f t="shared" ca="1" si="0"/>
        <v>3.1000000000000014</v>
      </c>
      <c r="L126" s="88"/>
      <c r="M126" s="84">
        <f t="shared" ca="1" si="1"/>
        <v>28790</v>
      </c>
      <c r="N126" s="84"/>
      <c r="O126" s="89">
        <f t="shared" si="2"/>
        <v>0</v>
      </c>
      <c r="P126" s="89"/>
      <c r="Q126" s="85">
        <f t="shared" si="3"/>
        <v>0</v>
      </c>
      <c r="R126" s="85" t="str">
        <f t="shared" si="4"/>
        <v/>
      </c>
      <c r="S126" s="84"/>
      <c r="T126" s="85"/>
      <c r="U126" s="85"/>
      <c r="V126" s="84"/>
      <c r="W126" s="85"/>
      <c r="X126" s="85"/>
      <c r="Y126" s="84"/>
      <c r="Z126" s="85"/>
      <c r="AA126" s="85"/>
      <c r="AB126" s="84"/>
      <c r="AC126" s="85"/>
      <c r="AD126" s="85"/>
      <c r="AE126" s="84"/>
      <c r="AF126" s="85"/>
      <c r="AG126" s="85"/>
      <c r="AH126" s="84"/>
      <c r="AI126" s="85"/>
      <c r="AJ126" s="85"/>
      <c r="AK126" s="84"/>
      <c r="AL126" s="85"/>
      <c r="AM126" s="85"/>
      <c r="AN126" s="84"/>
      <c r="AO126" s="85"/>
      <c r="AP126" s="85"/>
      <c r="AQ126" s="84"/>
      <c r="AR126" s="85"/>
      <c r="AS126" s="85"/>
      <c r="AT126" s="84"/>
      <c r="AU126" s="85"/>
      <c r="AV126" s="85"/>
      <c r="AW126" s="84"/>
      <c r="AX126" s="85"/>
      <c r="AY126" s="85"/>
      <c r="AZ126" s="84"/>
      <c r="BA126" s="85"/>
      <c r="BB126" s="85"/>
      <c r="BC126" s="84"/>
      <c r="BD126" s="27"/>
      <c r="BI126" s="90" t="s">
        <v>901</v>
      </c>
      <c r="BJ126" s="90" t="s">
        <v>902</v>
      </c>
    </row>
    <row r="127" spans="1:62" s="90" customFormat="1" ht="12.75">
      <c r="A127" s="83" t="s">
        <v>903</v>
      </c>
      <c r="B127" s="84">
        <v>102</v>
      </c>
      <c r="C127" s="84" t="s">
        <v>904</v>
      </c>
      <c r="D127" s="84" t="s">
        <v>905</v>
      </c>
      <c r="E127" s="85">
        <v>5167800</v>
      </c>
      <c r="F127" s="85"/>
      <c r="G127" s="85">
        <v>165116</v>
      </c>
      <c r="H127" s="86">
        <v>44195</v>
      </c>
      <c r="I127" s="85">
        <v>1902056</v>
      </c>
      <c r="J127" s="84">
        <v>35</v>
      </c>
      <c r="K127" s="87">
        <f t="shared" ca="1" si="0"/>
        <v>1.2000000000000028</v>
      </c>
      <c r="L127" s="88"/>
      <c r="M127" s="84">
        <f t="shared" ca="1" si="1"/>
        <v>165116</v>
      </c>
      <c r="N127" s="84"/>
      <c r="O127" s="89">
        <f t="shared" si="2"/>
        <v>0</v>
      </c>
      <c r="P127" s="89"/>
      <c r="Q127" s="85">
        <f t="shared" si="3"/>
        <v>0</v>
      </c>
      <c r="R127" s="85" t="str">
        <f t="shared" si="4"/>
        <v/>
      </c>
      <c r="S127" s="84"/>
      <c r="T127" s="85"/>
      <c r="U127" s="85"/>
      <c r="V127" s="84"/>
      <c r="W127" s="85"/>
      <c r="X127" s="85"/>
      <c r="Y127" s="84"/>
      <c r="Z127" s="85"/>
      <c r="AA127" s="85"/>
      <c r="AB127" s="84"/>
      <c r="AC127" s="85"/>
      <c r="AD127" s="85"/>
      <c r="AE127" s="84"/>
      <c r="AF127" s="85"/>
      <c r="AG127" s="85"/>
      <c r="AH127" s="84"/>
      <c r="AI127" s="85"/>
      <c r="AJ127" s="85"/>
      <c r="AK127" s="84"/>
      <c r="AL127" s="85"/>
      <c r="AM127" s="85"/>
      <c r="AN127" s="84"/>
      <c r="AO127" s="85"/>
      <c r="AP127" s="85"/>
      <c r="AQ127" s="84"/>
      <c r="AR127" s="85"/>
      <c r="AS127" s="85"/>
      <c r="AT127" s="84"/>
      <c r="AU127" s="85"/>
      <c r="AV127" s="85"/>
      <c r="AW127" s="84"/>
      <c r="AX127" s="85"/>
      <c r="AY127" s="85"/>
      <c r="AZ127" s="84"/>
      <c r="BA127" s="85"/>
      <c r="BB127" s="85"/>
      <c r="BC127" s="84"/>
      <c r="BD127" s="27"/>
      <c r="BI127" s="90" t="s">
        <v>906</v>
      </c>
      <c r="BJ127" s="90" t="s">
        <v>907</v>
      </c>
    </row>
    <row r="128" spans="1:62" s="90" customFormat="1" ht="12.75">
      <c r="A128" s="83" t="s">
        <v>908</v>
      </c>
      <c r="B128" s="84">
        <v>103</v>
      </c>
      <c r="C128" s="84" t="s">
        <v>909</v>
      </c>
      <c r="D128" s="84" t="s">
        <v>910</v>
      </c>
      <c r="E128" s="85">
        <v>2354000</v>
      </c>
      <c r="F128" s="85"/>
      <c r="G128" s="85">
        <v>73840</v>
      </c>
      <c r="H128" s="86">
        <v>44195</v>
      </c>
      <c r="I128" s="85">
        <v>850612</v>
      </c>
      <c r="J128" s="84">
        <v>35</v>
      </c>
      <c r="K128" s="87">
        <f t="shared" ca="1" si="0"/>
        <v>1.2000000000000028</v>
      </c>
      <c r="L128" s="88"/>
      <c r="M128" s="84">
        <f t="shared" ca="1" si="1"/>
        <v>73840</v>
      </c>
      <c r="N128" s="84"/>
      <c r="O128" s="89">
        <f t="shared" si="2"/>
        <v>0</v>
      </c>
      <c r="P128" s="89"/>
      <c r="Q128" s="85">
        <f t="shared" si="3"/>
        <v>0</v>
      </c>
      <c r="R128" s="85" t="str">
        <f t="shared" si="4"/>
        <v/>
      </c>
      <c r="S128" s="84"/>
      <c r="T128" s="85"/>
      <c r="U128" s="85"/>
      <c r="V128" s="84"/>
      <c r="W128" s="85"/>
      <c r="X128" s="85"/>
      <c r="Y128" s="84"/>
      <c r="Z128" s="85"/>
      <c r="AA128" s="85"/>
      <c r="AB128" s="84"/>
      <c r="AC128" s="85"/>
      <c r="AD128" s="85"/>
      <c r="AE128" s="84"/>
      <c r="AF128" s="85"/>
      <c r="AG128" s="85"/>
      <c r="AH128" s="84"/>
      <c r="AI128" s="85"/>
      <c r="AJ128" s="85"/>
      <c r="AK128" s="84"/>
      <c r="AL128" s="85"/>
      <c r="AM128" s="85"/>
      <c r="AN128" s="84"/>
      <c r="AO128" s="85"/>
      <c r="AP128" s="85"/>
      <c r="AQ128" s="84"/>
      <c r="AR128" s="85"/>
      <c r="AS128" s="85"/>
      <c r="AT128" s="84"/>
      <c r="AU128" s="85"/>
      <c r="AV128" s="85"/>
      <c r="AW128" s="84"/>
      <c r="AX128" s="85"/>
      <c r="AY128" s="85"/>
      <c r="AZ128" s="84"/>
      <c r="BA128" s="85"/>
      <c r="BB128" s="85"/>
      <c r="BC128" s="84"/>
      <c r="BD128" s="27"/>
      <c r="BI128" s="90" t="s">
        <v>911</v>
      </c>
      <c r="BJ128" s="90" t="s">
        <v>912</v>
      </c>
    </row>
    <row r="129" spans="1:62" s="90" customFormat="1" ht="12.75">
      <c r="A129" s="83" t="s">
        <v>913</v>
      </c>
      <c r="B129" s="84">
        <v>104</v>
      </c>
      <c r="C129" s="84" t="s">
        <v>914</v>
      </c>
      <c r="D129" s="84" t="s">
        <v>915</v>
      </c>
      <c r="E129" s="85">
        <v>4242000</v>
      </c>
      <c r="F129" s="85"/>
      <c r="G129" s="85">
        <v>135335</v>
      </c>
      <c r="H129" s="86">
        <v>44249</v>
      </c>
      <c r="I129" s="85">
        <v>1684644</v>
      </c>
      <c r="J129" s="84">
        <v>35</v>
      </c>
      <c r="K129" s="87">
        <f t="shared" ca="1" si="0"/>
        <v>3</v>
      </c>
      <c r="L129" s="88"/>
      <c r="M129" s="84">
        <f t="shared" ca="1" si="1"/>
        <v>135335</v>
      </c>
      <c r="N129" s="84"/>
      <c r="O129" s="89">
        <f t="shared" si="2"/>
        <v>0</v>
      </c>
      <c r="P129" s="89"/>
      <c r="Q129" s="85">
        <f t="shared" si="3"/>
        <v>0</v>
      </c>
      <c r="R129" s="85" t="str">
        <f t="shared" si="4"/>
        <v/>
      </c>
      <c r="S129" s="84"/>
      <c r="T129" s="85"/>
      <c r="U129" s="85"/>
      <c r="V129" s="84"/>
      <c r="W129" s="85"/>
      <c r="X129" s="85"/>
      <c r="Y129" s="84"/>
      <c r="Z129" s="85"/>
      <c r="AA129" s="85"/>
      <c r="AB129" s="84"/>
      <c r="AC129" s="85"/>
      <c r="AD129" s="85"/>
      <c r="AE129" s="84"/>
      <c r="AF129" s="85"/>
      <c r="AG129" s="85"/>
      <c r="AH129" s="84"/>
      <c r="AI129" s="85"/>
      <c r="AJ129" s="85"/>
      <c r="AK129" s="84"/>
      <c r="AL129" s="85"/>
      <c r="AM129" s="85"/>
      <c r="AN129" s="84"/>
      <c r="AO129" s="85"/>
      <c r="AP129" s="85"/>
      <c r="AQ129" s="84"/>
      <c r="AR129" s="85"/>
      <c r="AS129" s="85"/>
      <c r="AT129" s="84"/>
      <c r="AU129" s="85"/>
      <c r="AV129" s="85"/>
      <c r="AW129" s="84"/>
      <c r="AX129" s="85"/>
      <c r="AY129" s="85"/>
      <c r="AZ129" s="84"/>
      <c r="BA129" s="85"/>
      <c r="BB129" s="85"/>
      <c r="BC129" s="84"/>
      <c r="BD129" s="27"/>
      <c r="BI129" s="90" t="s">
        <v>916</v>
      </c>
      <c r="BJ129" s="90" t="s">
        <v>917</v>
      </c>
    </row>
    <row r="130" spans="1:62" s="90" customFormat="1" ht="12.75">
      <c r="A130" s="83" t="s">
        <v>918</v>
      </c>
      <c r="B130" s="84">
        <v>105</v>
      </c>
      <c r="C130" s="84" t="s">
        <v>919</v>
      </c>
      <c r="D130" s="84" t="s">
        <v>920</v>
      </c>
      <c r="E130" s="85">
        <v>660000</v>
      </c>
      <c r="F130" s="85"/>
      <c r="G130" s="85">
        <v>21280</v>
      </c>
      <c r="H130" s="86">
        <v>44197</v>
      </c>
      <c r="I130" s="85">
        <v>244310</v>
      </c>
      <c r="J130" s="84">
        <v>35</v>
      </c>
      <c r="K130" s="87">
        <f t="shared" ca="1" si="0"/>
        <v>1.2666666666666657</v>
      </c>
      <c r="L130" s="88"/>
      <c r="M130" s="84">
        <f t="shared" ca="1" si="1"/>
        <v>21280</v>
      </c>
      <c r="N130" s="84"/>
      <c r="O130" s="89">
        <f t="shared" si="2"/>
        <v>0</v>
      </c>
      <c r="P130" s="89"/>
      <c r="Q130" s="85">
        <f t="shared" si="3"/>
        <v>0</v>
      </c>
      <c r="R130" s="85" t="str">
        <f t="shared" si="4"/>
        <v/>
      </c>
      <c r="S130" s="84"/>
      <c r="T130" s="85"/>
      <c r="U130" s="85"/>
      <c r="V130" s="84"/>
      <c r="W130" s="85"/>
      <c r="X130" s="85"/>
      <c r="Y130" s="84"/>
      <c r="Z130" s="85"/>
      <c r="AA130" s="85"/>
      <c r="AB130" s="84"/>
      <c r="AC130" s="85"/>
      <c r="AD130" s="85"/>
      <c r="AE130" s="84"/>
      <c r="AF130" s="85"/>
      <c r="AG130" s="85"/>
      <c r="AH130" s="84"/>
      <c r="AI130" s="85"/>
      <c r="AJ130" s="85"/>
      <c r="AK130" s="84"/>
      <c r="AL130" s="85"/>
      <c r="AM130" s="85"/>
      <c r="AN130" s="84"/>
      <c r="AO130" s="85"/>
      <c r="AP130" s="85"/>
      <c r="AQ130" s="84"/>
      <c r="AR130" s="85"/>
      <c r="AS130" s="85"/>
      <c r="AT130" s="84"/>
      <c r="AU130" s="85"/>
      <c r="AV130" s="85"/>
      <c r="AW130" s="84"/>
      <c r="AX130" s="85"/>
      <c r="AY130" s="85"/>
      <c r="AZ130" s="84"/>
      <c r="BA130" s="85"/>
      <c r="BB130" s="85"/>
      <c r="BC130" s="84"/>
      <c r="BD130" s="27"/>
      <c r="BI130" s="90" t="s">
        <v>921</v>
      </c>
      <c r="BJ130" s="90" t="s">
        <v>922</v>
      </c>
    </row>
    <row r="131" spans="1:62" s="90" customFormat="1" ht="12.75">
      <c r="A131" s="83" t="s">
        <v>923</v>
      </c>
      <c r="B131" s="84">
        <v>106</v>
      </c>
      <c r="C131" s="84" t="s">
        <v>924</v>
      </c>
      <c r="D131" s="84" t="s">
        <v>925</v>
      </c>
      <c r="E131" s="85">
        <v>578000</v>
      </c>
      <c r="F131" s="85"/>
      <c r="G131" s="85">
        <v>18700</v>
      </c>
      <c r="H131" s="86">
        <v>44197</v>
      </c>
      <c r="I131" s="85">
        <v>214417</v>
      </c>
      <c r="J131" s="84">
        <v>35</v>
      </c>
      <c r="K131" s="87">
        <f t="shared" ca="1" si="0"/>
        <v>1.2666666666666657</v>
      </c>
      <c r="L131" s="88"/>
      <c r="M131" s="84">
        <f t="shared" ca="1" si="1"/>
        <v>18700</v>
      </c>
      <c r="N131" s="84"/>
      <c r="O131" s="89">
        <f t="shared" si="2"/>
        <v>0</v>
      </c>
      <c r="P131" s="89"/>
      <c r="Q131" s="85">
        <f t="shared" si="3"/>
        <v>0</v>
      </c>
      <c r="R131" s="85" t="str">
        <f t="shared" si="4"/>
        <v/>
      </c>
      <c r="S131" s="84"/>
      <c r="T131" s="85"/>
      <c r="U131" s="85"/>
      <c r="V131" s="84"/>
      <c r="W131" s="85"/>
      <c r="X131" s="85"/>
      <c r="Y131" s="84"/>
      <c r="Z131" s="85"/>
      <c r="AA131" s="85"/>
      <c r="AB131" s="84"/>
      <c r="AC131" s="85"/>
      <c r="AD131" s="85"/>
      <c r="AE131" s="84"/>
      <c r="AF131" s="85"/>
      <c r="AG131" s="85"/>
      <c r="AH131" s="84"/>
      <c r="AI131" s="85"/>
      <c r="AJ131" s="85"/>
      <c r="AK131" s="84"/>
      <c r="AL131" s="85"/>
      <c r="AM131" s="85"/>
      <c r="AN131" s="84"/>
      <c r="AO131" s="85"/>
      <c r="AP131" s="85"/>
      <c r="AQ131" s="84"/>
      <c r="AR131" s="85"/>
      <c r="AS131" s="85"/>
      <c r="AT131" s="84"/>
      <c r="AU131" s="85"/>
      <c r="AV131" s="85"/>
      <c r="AW131" s="84"/>
      <c r="AX131" s="85"/>
      <c r="AY131" s="85"/>
      <c r="AZ131" s="84"/>
      <c r="BA131" s="85"/>
      <c r="BB131" s="85"/>
      <c r="BC131" s="84"/>
      <c r="BD131" s="27"/>
      <c r="BI131" s="90" t="s">
        <v>926</v>
      </c>
      <c r="BJ131" s="90" t="s">
        <v>927</v>
      </c>
    </row>
    <row r="132" spans="1:62" s="90" customFormat="1" ht="12.75">
      <c r="A132" s="83" t="s">
        <v>928</v>
      </c>
      <c r="B132" s="84">
        <v>107</v>
      </c>
      <c r="C132" s="84" t="s">
        <v>929</v>
      </c>
      <c r="D132" s="84" t="s">
        <v>930</v>
      </c>
      <c r="E132" s="85">
        <v>3330000</v>
      </c>
      <c r="F132" s="85"/>
      <c r="G132" s="85"/>
      <c r="H132" s="86">
        <v>44354</v>
      </c>
      <c r="I132" s="85">
        <v>1900187</v>
      </c>
      <c r="J132" s="84"/>
      <c r="K132" s="87" t="str">
        <f t="shared" ca="1" si="0"/>
        <v/>
      </c>
      <c r="L132" s="88"/>
      <c r="M132" s="84" t="str">
        <f t="shared" ca="1" si="1"/>
        <v/>
      </c>
      <c r="N132" s="84"/>
      <c r="O132" s="89" t="str">
        <f t="shared" si="2"/>
        <v/>
      </c>
      <c r="P132" s="89"/>
      <c r="Q132" s="85" t="str">
        <f t="shared" si="3"/>
        <v/>
      </c>
      <c r="R132" s="85" t="str">
        <f t="shared" si="4"/>
        <v/>
      </c>
      <c r="S132" s="84"/>
      <c r="T132" s="85"/>
      <c r="U132" s="85"/>
      <c r="V132" s="84"/>
      <c r="W132" s="85"/>
      <c r="X132" s="85"/>
      <c r="Y132" s="84"/>
      <c r="Z132" s="85"/>
      <c r="AA132" s="85"/>
      <c r="AB132" s="84"/>
      <c r="AC132" s="85"/>
      <c r="AD132" s="85"/>
      <c r="AE132" s="84"/>
      <c r="AF132" s="85"/>
      <c r="AG132" s="85"/>
      <c r="AH132" s="84"/>
      <c r="AI132" s="85"/>
      <c r="AJ132" s="85"/>
      <c r="AK132" s="84"/>
      <c r="AL132" s="85"/>
      <c r="AM132" s="85"/>
      <c r="AN132" s="84"/>
      <c r="AO132" s="85"/>
      <c r="AP132" s="85"/>
      <c r="AQ132" s="84"/>
      <c r="AR132" s="85"/>
      <c r="AS132" s="85"/>
      <c r="AT132" s="84"/>
      <c r="AU132" s="85"/>
      <c r="AV132" s="85"/>
      <c r="AW132" s="84"/>
      <c r="AX132" s="85"/>
      <c r="AY132" s="85"/>
      <c r="AZ132" s="84"/>
      <c r="BA132" s="85"/>
      <c r="BB132" s="85"/>
      <c r="BC132" s="84" t="s">
        <v>931</v>
      </c>
      <c r="BD132" s="27"/>
      <c r="BI132" s="90" t="s">
        <v>932</v>
      </c>
      <c r="BJ132" s="90" t="s">
        <v>933</v>
      </c>
    </row>
    <row r="133" spans="1:62" s="90" customFormat="1" ht="12.75">
      <c r="A133" s="83" t="s">
        <v>934</v>
      </c>
      <c r="B133" s="84">
        <v>108</v>
      </c>
      <c r="C133" s="84" t="s">
        <v>935</v>
      </c>
      <c r="D133" s="84" t="s">
        <v>936</v>
      </c>
      <c r="E133" s="85">
        <v>3420000</v>
      </c>
      <c r="F133" s="85"/>
      <c r="G133" s="85"/>
      <c r="H133" s="86">
        <v>44113</v>
      </c>
      <c r="I133" s="85">
        <v>1163759</v>
      </c>
      <c r="J133" s="84"/>
      <c r="K133" s="87" t="str">
        <f t="shared" ca="1" si="0"/>
        <v/>
      </c>
      <c r="L133" s="88"/>
      <c r="M133" s="84" t="str">
        <f t="shared" ca="1" si="1"/>
        <v/>
      </c>
      <c r="N133" s="84"/>
      <c r="O133" s="89" t="str">
        <f t="shared" si="2"/>
        <v/>
      </c>
      <c r="P133" s="89"/>
      <c r="Q133" s="85" t="str">
        <f t="shared" si="3"/>
        <v/>
      </c>
      <c r="R133" s="85" t="str">
        <f t="shared" si="4"/>
        <v/>
      </c>
      <c r="S133" s="84"/>
      <c r="T133" s="85"/>
      <c r="U133" s="85"/>
      <c r="V133" s="84"/>
      <c r="W133" s="85"/>
      <c r="X133" s="85"/>
      <c r="Y133" s="84"/>
      <c r="Z133" s="85"/>
      <c r="AA133" s="85"/>
      <c r="AB133" s="84"/>
      <c r="AC133" s="85"/>
      <c r="AD133" s="85"/>
      <c r="AE133" s="84"/>
      <c r="AF133" s="85"/>
      <c r="AG133" s="85"/>
      <c r="AH133" s="84"/>
      <c r="AI133" s="85"/>
      <c r="AJ133" s="85"/>
      <c r="AK133" s="84"/>
      <c r="AL133" s="85"/>
      <c r="AM133" s="85"/>
      <c r="AN133" s="84"/>
      <c r="AO133" s="85"/>
      <c r="AP133" s="85"/>
      <c r="AQ133" s="84"/>
      <c r="AR133" s="85"/>
      <c r="AS133" s="85"/>
      <c r="AT133" s="84"/>
      <c r="AU133" s="85"/>
      <c r="AV133" s="85"/>
      <c r="AW133" s="84"/>
      <c r="AX133" s="85"/>
      <c r="AY133" s="85"/>
      <c r="AZ133" s="84"/>
      <c r="BA133" s="85"/>
      <c r="BB133" s="85"/>
      <c r="BC133" s="84"/>
      <c r="BD133" s="27"/>
      <c r="BI133" s="90" t="s">
        <v>937</v>
      </c>
      <c r="BJ133" s="90" t="s">
        <v>938</v>
      </c>
    </row>
    <row r="134" spans="1:62" s="90" customFormat="1" ht="12.75">
      <c r="A134" s="83"/>
      <c r="B134" s="84">
        <v>109</v>
      </c>
      <c r="C134" s="84" t="s">
        <v>939</v>
      </c>
      <c r="D134" s="84" t="s">
        <v>940</v>
      </c>
      <c r="E134" s="85">
        <v>548581000</v>
      </c>
      <c r="F134" s="85"/>
      <c r="G134" s="85"/>
      <c r="H134" s="84"/>
      <c r="I134" s="85"/>
      <c r="J134" s="84"/>
      <c r="K134" s="87" t="str">
        <f t="shared" ca="1" si="0"/>
        <v/>
      </c>
      <c r="L134" s="88"/>
      <c r="M134" s="84" t="str">
        <f t="shared" ca="1" si="1"/>
        <v/>
      </c>
      <c r="N134" s="84"/>
      <c r="O134" s="89" t="str">
        <f t="shared" si="2"/>
        <v/>
      </c>
      <c r="P134" s="89"/>
      <c r="Q134" s="85" t="str">
        <f t="shared" si="3"/>
        <v/>
      </c>
      <c r="R134" s="85" t="str">
        <f t="shared" si="4"/>
        <v/>
      </c>
      <c r="S134" s="84"/>
      <c r="T134" s="85"/>
      <c r="U134" s="85"/>
      <c r="V134" s="84"/>
      <c r="W134" s="85"/>
      <c r="X134" s="85"/>
      <c r="Y134" s="84"/>
      <c r="Z134" s="85"/>
      <c r="AA134" s="85"/>
      <c r="AB134" s="84"/>
      <c r="AC134" s="85"/>
      <c r="AD134" s="85"/>
      <c r="AE134" s="84"/>
      <c r="AF134" s="85"/>
      <c r="AG134" s="85"/>
      <c r="AH134" s="84"/>
      <c r="AI134" s="85"/>
      <c r="AJ134" s="85"/>
      <c r="AK134" s="84"/>
      <c r="AL134" s="85"/>
      <c r="AM134" s="85"/>
      <c r="AN134" s="84"/>
      <c r="AO134" s="85"/>
      <c r="AP134" s="85"/>
      <c r="AQ134" s="84"/>
      <c r="AR134" s="85"/>
      <c r="AS134" s="85"/>
      <c r="AT134" s="84"/>
      <c r="AU134" s="85"/>
      <c r="AV134" s="85"/>
      <c r="AW134" s="84"/>
      <c r="AX134" s="85"/>
      <c r="AY134" s="85"/>
      <c r="AZ134" s="84"/>
      <c r="BA134" s="85"/>
      <c r="BB134" s="85"/>
      <c r="BC134" s="84"/>
      <c r="BD134" s="27"/>
    </row>
    <row r="135" spans="1:62" s="90" customFormat="1" ht="12.75">
      <c r="A135" s="83" t="s">
        <v>941</v>
      </c>
      <c r="B135" s="84">
        <v>1</v>
      </c>
      <c r="C135" s="84" t="s">
        <v>942</v>
      </c>
      <c r="D135" s="84" t="s">
        <v>943</v>
      </c>
      <c r="E135" s="85">
        <v>4531000</v>
      </c>
      <c r="F135" s="85"/>
      <c r="G135" s="85">
        <v>93898</v>
      </c>
      <c r="H135" s="86">
        <v>44925</v>
      </c>
      <c r="I135" s="85">
        <v>4458373</v>
      </c>
      <c r="J135" s="84">
        <v>59</v>
      </c>
      <c r="K135" s="87">
        <f t="shared" ca="1" si="0"/>
        <v>49.533333333333331</v>
      </c>
      <c r="L135" s="88"/>
      <c r="M135" s="84">
        <f t="shared" ca="1" si="1"/>
        <v>93898</v>
      </c>
      <c r="N135" s="84"/>
      <c r="O135" s="89">
        <f t="shared" si="2"/>
        <v>0</v>
      </c>
      <c r="P135" s="89"/>
      <c r="Q135" s="85">
        <f t="shared" si="3"/>
        <v>0</v>
      </c>
      <c r="R135" s="85" t="str">
        <f t="shared" si="4"/>
        <v/>
      </c>
      <c r="S135" s="84"/>
      <c r="T135" s="85"/>
      <c r="U135" s="85"/>
      <c r="V135" s="84"/>
      <c r="W135" s="85"/>
      <c r="X135" s="85"/>
      <c r="Y135" s="84"/>
      <c r="Z135" s="85"/>
      <c r="AA135" s="85"/>
      <c r="AB135" s="84"/>
      <c r="AC135" s="85"/>
      <c r="AD135" s="85"/>
      <c r="AE135" s="84"/>
      <c r="AF135" s="85"/>
      <c r="AG135" s="85"/>
      <c r="AH135" s="84"/>
      <c r="AI135" s="85"/>
      <c r="AJ135" s="85"/>
      <c r="AK135" s="84"/>
      <c r="AL135" s="85"/>
      <c r="AM135" s="85"/>
      <c r="AN135" s="84"/>
      <c r="AO135" s="85"/>
      <c r="AP135" s="85"/>
      <c r="AQ135" s="84"/>
      <c r="AR135" s="85"/>
      <c r="AS135" s="85"/>
      <c r="AT135" s="84"/>
      <c r="AU135" s="85"/>
      <c r="AV135" s="85"/>
      <c r="AW135" s="84"/>
      <c r="AX135" s="85"/>
      <c r="AY135" s="85"/>
      <c r="AZ135" s="84"/>
      <c r="BA135" s="85"/>
      <c r="BB135" s="85"/>
      <c r="BC135" s="84"/>
      <c r="BD135" s="27"/>
      <c r="BJ135" s="90" t="s">
        <v>944</v>
      </c>
    </row>
    <row r="136" spans="1:62" s="90" customFormat="1" ht="12.75">
      <c r="A136" s="83" t="s">
        <v>945</v>
      </c>
      <c r="B136" s="84">
        <v>2</v>
      </c>
      <c r="C136" s="84" t="s">
        <v>946</v>
      </c>
      <c r="D136" s="84" t="s">
        <v>947</v>
      </c>
      <c r="E136" s="85">
        <v>3042000</v>
      </c>
      <c r="F136" s="85"/>
      <c r="G136" s="85">
        <v>63174</v>
      </c>
      <c r="H136" s="86">
        <v>44903</v>
      </c>
      <c r="I136" s="85">
        <v>2999533</v>
      </c>
      <c r="J136" s="84">
        <v>59</v>
      </c>
      <c r="K136" s="87">
        <f t="shared" ca="1" si="0"/>
        <v>48.8</v>
      </c>
      <c r="L136" s="88"/>
      <c r="M136" s="84">
        <f t="shared" ca="1" si="1"/>
        <v>63174</v>
      </c>
      <c r="N136" s="84"/>
      <c r="O136" s="89">
        <f t="shared" si="2"/>
        <v>0</v>
      </c>
      <c r="P136" s="89"/>
      <c r="Q136" s="85">
        <f t="shared" si="3"/>
        <v>0</v>
      </c>
      <c r="R136" s="85" t="str">
        <f t="shared" si="4"/>
        <v/>
      </c>
      <c r="S136" s="84"/>
      <c r="T136" s="85"/>
      <c r="U136" s="85"/>
      <c r="V136" s="84"/>
      <c r="W136" s="85"/>
      <c r="X136" s="85"/>
      <c r="Y136" s="84"/>
      <c r="Z136" s="85"/>
      <c r="AA136" s="85"/>
      <c r="AB136" s="84"/>
      <c r="AC136" s="85"/>
      <c r="AD136" s="85"/>
      <c r="AE136" s="84"/>
      <c r="AF136" s="85"/>
      <c r="AG136" s="85"/>
      <c r="AH136" s="84"/>
      <c r="AI136" s="85"/>
      <c r="AJ136" s="85"/>
      <c r="AK136" s="84"/>
      <c r="AL136" s="85"/>
      <c r="AM136" s="85"/>
      <c r="AN136" s="84"/>
      <c r="AO136" s="85"/>
      <c r="AP136" s="85"/>
      <c r="AQ136" s="84"/>
      <c r="AR136" s="85"/>
      <c r="AS136" s="85"/>
      <c r="AT136" s="84"/>
      <c r="AU136" s="85"/>
      <c r="AV136" s="85"/>
      <c r="AW136" s="84"/>
      <c r="AX136" s="85"/>
      <c r="AY136" s="85"/>
      <c r="AZ136" s="84"/>
      <c r="BA136" s="85"/>
      <c r="BB136" s="85"/>
      <c r="BC136" s="84"/>
      <c r="BD136" s="27"/>
      <c r="BJ136" s="90" t="s">
        <v>948</v>
      </c>
    </row>
    <row r="137" spans="1:62" s="90" customFormat="1" ht="12.75">
      <c r="A137" s="83" t="s">
        <v>949</v>
      </c>
      <c r="B137" s="84">
        <v>3</v>
      </c>
      <c r="C137" s="84" t="s">
        <v>950</v>
      </c>
      <c r="D137" s="84" t="s">
        <v>951</v>
      </c>
      <c r="E137" s="85">
        <v>3154576</v>
      </c>
      <c r="F137" s="85"/>
      <c r="G137" s="85">
        <v>65240</v>
      </c>
      <c r="H137" s="86">
        <v>44889</v>
      </c>
      <c r="I137" s="85">
        <v>3064505</v>
      </c>
      <c r="J137" s="84">
        <v>59</v>
      </c>
      <c r="K137" s="87">
        <f t="shared" ca="1" si="0"/>
        <v>48.333333333333336</v>
      </c>
      <c r="L137" s="88"/>
      <c r="M137" s="84">
        <f t="shared" ca="1" si="1"/>
        <v>65240</v>
      </c>
      <c r="N137" s="84"/>
      <c r="O137" s="89">
        <f t="shared" si="2"/>
        <v>0</v>
      </c>
      <c r="P137" s="89"/>
      <c r="Q137" s="85">
        <f t="shared" si="3"/>
        <v>0</v>
      </c>
      <c r="R137" s="85" t="str">
        <f t="shared" si="4"/>
        <v/>
      </c>
      <c r="S137" s="84"/>
      <c r="T137" s="85"/>
      <c r="U137" s="85"/>
      <c r="V137" s="84"/>
      <c r="W137" s="85"/>
      <c r="X137" s="85"/>
      <c r="Y137" s="84"/>
      <c r="Z137" s="85"/>
      <c r="AA137" s="85"/>
      <c r="AB137" s="84"/>
      <c r="AC137" s="85"/>
      <c r="AD137" s="85"/>
      <c r="AE137" s="84"/>
      <c r="AF137" s="85"/>
      <c r="AG137" s="85"/>
      <c r="AH137" s="84"/>
      <c r="AI137" s="85"/>
      <c r="AJ137" s="85"/>
      <c r="AK137" s="84"/>
      <c r="AL137" s="85"/>
      <c r="AM137" s="85"/>
      <c r="AN137" s="84"/>
      <c r="AO137" s="85"/>
      <c r="AP137" s="85"/>
      <c r="AQ137" s="84"/>
      <c r="AR137" s="85"/>
      <c r="AS137" s="85"/>
      <c r="AT137" s="84"/>
      <c r="AU137" s="85"/>
      <c r="AV137" s="85"/>
      <c r="AW137" s="84"/>
      <c r="AX137" s="85"/>
      <c r="AY137" s="85"/>
      <c r="AZ137" s="84"/>
      <c r="BA137" s="85"/>
      <c r="BB137" s="85"/>
      <c r="BC137" s="84"/>
      <c r="BD137" s="27"/>
      <c r="BJ137" s="90" t="s">
        <v>952</v>
      </c>
    </row>
    <row r="138" spans="1:62" s="90" customFormat="1" ht="12.75">
      <c r="A138" s="83" t="s">
        <v>953</v>
      </c>
      <c r="B138" s="84">
        <v>4</v>
      </c>
      <c r="C138" s="84" t="s">
        <v>954</v>
      </c>
      <c r="D138" s="84" t="s">
        <v>955</v>
      </c>
      <c r="E138" s="85">
        <v>3485099</v>
      </c>
      <c r="F138" s="85"/>
      <c r="G138" s="85">
        <v>72158</v>
      </c>
      <c r="H138" s="86">
        <v>44879</v>
      </c>
      <c r="I138" s="85">
        <v>3389470</v>
      </c>
      <c r="J138" s="84">
        <v>59</v>
      </c>
      <c r="K138" s="87">
        <f t="shared" ca="1" si="0"/>
        <v>48</v>
      </c>
      <c r="L138" s="88"/>
      <c r="M138" s="84">
        <f t="shared" ca="1" si="1"/>
        <v>72158</v>
      </c>
      <c r="N138" s="84"/>
      <c r="O138" s="89">
        <f t="shared" si="2"/>
        <v>0</v>
      </c>
      <c r="P138" s="89"/>
      <c r="Q138" s="85">
        <f t="shared" si="3"/>
        <v>0</v>
      </c>
      <c r="R138" s="85" t="str">
        <f t="shared" si="4"/>
        <v/>
      </c>
      <c r="S138" s="84"/>
      <c r="T138" s="85"/>
      <c r="U138" s="85"/>
      <c r="V138" s="84"/>
      <c r="W138" s="85"/>
      <c r="X138" s="85"/>
      <c r="Y138" s="84"/>
      <c r="Z138" s="85"/>
      <c r="AA138" s="85"/>
      <c r="AB138" s="84"/>
      <c r="AC138" s="85"/>
      <c r="AD138" s="85"/>
      <c r="AE138" s="84"/>
      <c r="AF138" s="85"/>
      <c r="AG138" s="85"/>
      <c r="AH138" s="84"/>
      <c r="AI138" s="85"/>
      <c r="AJ138" s="85"/>
      <c r="AK138" s="84"/>
      <c r="AL138" s="85"/>
      <c r="AM138" s="85"/>
      <c r="AN138" s="84"/>
      <c r="AO138" s="85"/>
      <c r="AP138" s="85"/>
      <c r="AQ138" s="84"/>
      <c r="AR138" s="85"/>
      <c r="AS138" s="85"/>
      <c r="AT138" s="84"/>
      <c r="AU138" s="85"/>
      <c r="AV138" s="85"/>
      <c r="AW138" s="84"/>
      <c r="AX138" s="85"/>
      <c r="AY138" s="85"/>
      <c r="AZ138" s="84"/>
      <c r="BA138" s="85"/>
      <c r="BB138" s="85"/>
      <c r="BC138" s="84"/>
      <c r="BD138" s="27"/>
      <c r="BJ138" s="90" t="s">
        <v>956</v>
      </c>
    </row>
    <row r="139" spans="1:62" s="90" customFormat="1" ht="12.75">
      <c r="A139" s="83" t="s">
        <v>957</v>
      </c>
      <c r="B139" s="84">
        <v>5</v>
      </c>
      <c r="C139" s="84" t="s">
        <v>958</v>
      </c>
      <c r="D139" s="84" t="s">
        <v>959</v>
      </c>
      <c r="E139" s="85">
        <v>2897500</v>
      </c>
      <c r="F139" s="85"/>
      <c r="G139" s="85">
        <v>59992</v>
      </c>
      <c r="H139" s="86">
        <v>44879</v>
      </c>
      <c r="I139" s="85">
        <v>2817994</v>
      </c>
      <c r="J139" s="84">
        <v>59</v>
      </c>
      <c r="K139" s="87">
        <f t="shared" ca="1" si="0"/>
        <v>48</v>
      </c>
      <c r="L139" s="88"/>
      <c r="M139" s="84">
        <f t="shared" ca="1" si="1"/>
        <v>59992</v>
      </c>
      <c r="N139" s="84"/>
      <c r="O139" s="89">
        <f t="shared" si="2"/>
        <v>0</v>
      </c>
      <c r="P139" s="89"/>
      <c r="Q139" s="85">
        <f t="shared" si="3"/>
        <v>0</v>
      </c>
      <c r="R139" s="85" t="str">
        <f t="shared" si="4"/>
        <v/>
      </c>
      <c r="S139" s="84"/>
      <c r="T139" s="85"/>
      <c r="U139" s="85"/>
      <c r="V139" s="84"/>
      <c r="W139" s="85"/>
      <c r="X139" s="85"/>
      <c r="Y139" s="84"/>
      <c r="Z139" s="85"/>
      <c r="AA139" s="85"/>
      <c r="AB139" s="84"/>
      <c r="AC139" s="85"/>
      <c r="AD139" s="85"/>
      <c r="AE139" s="84"/>
      <c r="AF139" s="85"/>
      <c r="AG139" s="85"/>
      <c r="AH139" s="84"/>
      <c r="AI139" s="85"/>
      <c r="AJ139" s="85"/>
      <c r="AK139" s="84"/>
      <c r="AL139" s="85"/>
      <c r="AM139" s="85"/>
      <c r="AN139" s="84"/>
      <c r="AO139" s="85"/>
      <c r="AP139" s="85"/>
      <c r="AQ139" s="84"/>
      <c r="AR139" s="85"/>
      <c r="AS139" s="85"/>
      <c r="AT139" s="84"/>
      <c r="AU139" s="85"/>
      <c r="AV139" s="85"/>
      <c r="AW139" s="84"/>
      <c r="AX139" s="85"/>
      <c r="AY139" s="85"/>
      <c r="AZ139" s="84"/>
      <c r="BA139" s="85"/>
      <c r="BB139" s="85"/>
      <c r="BC139" s="84"/>
      <c r="BD139" s="27"/>
      <c r="BJ139" s="90" t="s">
        <v>960</v>
      </c>
    </row>
    <row r="140" spans="1:62" s="90" customFormat="1" ht="12.75">
      <c r="A140" s="83" t="s">
        <v>961</v>
      </c>
      <c r="B140" s="84">
        <v>6</v>
      </c>
      <c r="C140" s="84" t="s">
        <v>962</v>
      </c>
      <c r="D140" s="84" t="s">
        <v>963</v>
      </c>
      <c r="E140" s="85">
        <v>2490000</v>
      </c>
      <c r="F140" s="85"/>
      <c r="G140" s="85">
        <v>61015</v>
      </c>
      <c r="H140" s="86">
        <v>44671</v>
      </c>
      <c r="I140" s="85">
        <v>2017585</v>
      </c>
      <c r="J140" s="84"/>
      <c r="K140" s="87" t="str">
        <f t="shared" ca="1" si="0"/>
        <v/>
      </c>
      <c r="L140" s="88"/>
      <c r="M140" s="84" t="str">
        <f t="shared" ca="1" si="1"/>
        <v/>
      </c>
      <c r="N140" s="84"/>
      <c r="O140" s="89">
        <f t="shared" si="2"/>
        <v>0</v>
      </c>
      <c r="P140" s="89"/>
      <c r="Q140" s="85">
        <f t="shared" si="3"/>
        <v>0</v>
      </c>
      <c r="R140" s="85" t="str">
        <f t="shared" si="4"/>
        <v/>
      </c>
      <c r="S140" s="84"/>
      <c r="T140" s="85"/>
      <c r="U140" s="85"/>
      <c r="V140" s="84"/>
      <c r="W140" s="85"/>
      <c r="X140" s="85"/>
      <c r="Y140" s="84"/>
      <c r="Z140" s="85"/>
      <c r="AA140" s="85"/>
      <c r="AB140" s="84"/>
      <c r="AC140" s="85"/>
      <c r="AD140" s="85"/>
      <c r="AE140" s="84"/>
      <c r="AF140" s="85"/>
      <c r="AG140" s="85"/>
      <c r="AH140" s="84"/>
      <c r="AI140" s="85"/>
      <c r="AJ140" s="85"/>
      <c r="AK140" s="84"/>
      <c r="AL140" s="85"/>
      <c r="AM140" s="85"/>
      <c r="AN140" s="84"/>
      <c r="AO140" s="85"/>
      <c r="AP140" s="85"/>
      <c r="AQ140" s="84"/>
      <c r="AR140" s="85"/>
      <c r="AS140" s="85"/>
      <c r="AT140" s="84"/>
      <c r="AU140" s="85"/>
      <c r="AV140" s="85"/>
      <c r="AW140" s="84"/>
      <c r="AX140" s="85"/>
      <c r="AY140" s="85"/>
      <c r="AZ140" s="84"/>
      <c r="BA140" s="85"/>
      <c r="BB140" s="85"/>
      <c r="BC140" s="84"/>
      <c r="BD140" s="27"/>
      <c r="BJ140" s="90" t="s">
        <v>964</v>
      </c>
    </row>
    <row r="141" spans="1:62" s="90" customFormat="1" ht="12.75">
      <c r="A141" s="83" t="s">
        <v>965</v>
      </c>
      <c r="B141" s="84">
        <v>7</v>
      </c>
      <c r="C141" s="84" t="s">
        <v>966</v>
      </c>
      <c r="D141" s="84" t="s">
        <v>967</v>
      </c>
      <c r="E141" s="85">
        <v>2500000</v>
      </c>
      <c r="F141" s="85"/>
      <c r="G141" s="85">
        <v>80668</v>
      </c>
      <c r="H141" s="86">
        <v>44610</v>
      </c>
      <c r="I141" s="85">
        <v>1748144</v>
      </c>
      <c r="J141" s="84"/>
      <c r="K141" s="87" t="str">
        <f t="shared" ca="1" si="0"/>
        <v/>
      </c>
      <c r="L141" s="88"/>
      <c r="M141" s="84" t="str">
        <f t="shared" ca="1" si="1"/>
        <v/>
      </c>
      <c r="N141" s="84"/>
      <c r="O141" s="89">
        <f t="shared" si="2"/>
        <v>0</v>
      </c>
      <c r="P141" s="89"/>
      <c r="Q141" s="85">
        <f t="shared" si="3"/>
        <v>0</v>
      </c>
      <c r="R141" s="85" t="str">
        <f t="shared" si="4"/>
        <v/>
      </c>
      <c r="S141" s="84"/>
      <c r="T141" s="85"/>
      <c r="U141" s="85"/>
      <c r="V141" s="84"/>
      <c r="W141" s="85"/>
      <c r="X141" s="85"/>
      <c r="Y141" s="84"/>
      <c r="Z141" s="85"/>
      <c r="AA141" s="85"/>
      <c r="AB141" s="84"/>
      <c r="AC141" s="85"/>
      <c r="AD141" s="85"/>
      <c r="AE141" s="84"/>
      <c r="AF141" s="85"/>
      <c r="AG141" s="85"/>
      <c r="AH141" s="84"/>
      <c r="AI141" s="85"/>
      <c r="AJ141" s="85"/>
      <c r="AK141" s="84"/>
      <c r="AL141" s="85"/>
      <c r="AM141" s="85"/>
      <c r="AN141" s="84"/>
      <c r="AO141" s="85"/>
      <c r="AP141" s="85"/>
      <c r="AQ141" s="84"/>
      <c r="AR141" s="85"/>
      <c r="AS141" s="85"/>
      <c r="AT141" s="84"/>
      <c r="AU141" s="85"/>
      <c r="AV141" s="85"/>
      <c r="AW141" s="84"/>
      <c r="AX141" s="85"/>
      <c r="AY141" s="85"/>
      <c r="AZ141" s="84"/>
      <c r="BA141" s="85"/>
      <c r="BB141" s="85"/>
      <c r="BC141" s="84"/>
      <c r="BD141" s="27"/>
      <c r="BJ141" s="90" t="s">
        <v>968</v>
      </c>
    </row>
    <row r="142" spans="1:62" s="90" customFormat="1" ht="12.75">
      <c r="A142" s="83" t="s">
        <v>969</v>
      </c>
      <c r="B142" s="84">
        <v>8</v>
      </c>
      <c r="C142" s="84" t="s">
        <v>970</v>
      </c>
      <c r="D142" s="84" t="s">
        <v>971</v>
      </c>
      <c r="E142" s="85">
        <v>3500000</v>
      </c>
      <c r="F142" s="85"/>
      <c r="G142" s="85">
        <v>69950</v>
      </c>
      <c r="H142" s="86">
        <v>44610</v>
      </c>
      <c r="I142" s="85">
        <v>2865744</v>
      </c>
      <c r="J142" s="84"/>
      <c r="K142" s="87" t="str">
        <f t="shared" ca="1" si="0"/>
        <v/>
      </c>
      <c r="L142" s="88"/>
      <c r="M142" s="84" t="str">
        <f t="shared" ca="1" si="1"/>
        <v/>
      </c>
      <c r="N142" s="84"/>
      <c r="O142" s="89">
        <f t="shared" si="2"/>
        <v>0</v>
      </c>
      <c r="P142" s="89"/>
      <c r="Q142" s="85">
        <f t="shared" si="3"/>
        <v>0</v>
      </c>
      <c r="R142" s="85" t="str">
        <f t="shared" si="4"/>
        <v/>
      </c>
      <c r="S142" s="84"/>
      <c r="T142" s="85"/>
      <c r="U142" s="85"/>
      <c r="V142" s="84"/>
      <c r="W142" s="85"/>
      <c r="X142" s="85"/>
      <c r="Y142" s="84"/>
      <c r="Z142" s="85"/>
      <c r="AA142" s="85"/>
      <c r="AB142" s="84"/>
      <c r="AC142" s="85"/>
      <c r="AD142" s="85"/>
      <c r="AE142" s="84"/>
      <c r="AF142" s="85"/>
      <c r="AG142" s="85"/>
      <c r="AH142" s="84"/>
      <c r="AI142" s="85"/>
      <c r="AJ142" s="85"/>
      <c r="AK142" s="84"/>
      <c r="AL142" s="85"/>
      <c r="AM142" s="85"/>
      <c r="AN142" s="84"/>
      <c r="AO142" s="85"/>
      <c r="AP142" s="85"/>
      <c r="AQ142" s="84"/>
      <c r="AR142" s="85"/>
      <c r="AS142" s="85"/>
      <c r="AT142" s="84"/>
      <c r="AU142" s="85"/>
      <c r="AV142" s="85"/>
      <c r="AW142" s="84"/>
      <c r="AX142" s="85"/>
      <c r="AY142" s="85"/>
      <c r="AZ142" s="84"/>
      <c r="BA142" s="85"/>
      <c r="BB142" s="85"/>
      <c r="BC142" s="84"/>
      <c r="BD142" s="27"/>
      <c r="BJ142" s="90" t="s">
        <v>972</v>
      </c>
    </row>
    <row r="143" spans="1:62" s="90" customFormat="1" ht="12.75">
      <c r="A143" s="83" t="s">
        <v>973</v>
      </c>
      <c r="B143" s="84">
        <v>9</v>
      </c>
      <c r="C143" s="84" t="s">
        <v>974</v>
      </c>
      <c r="D143" s="84" t="s">
        <v>975</v>
      </c>
      <c r="E143" s="85">
        <v>2868000</v>
      </c>
      <c r="F143" s="85"/>
      <c r="G143" s="85">
        <v>57610</v>
      </c>
      <c r="H143" s="86">
        <v>44609</v>
      </c>
      <c r="I143" s="85">
        <v>2361704</v>
      </c>
      <c r="J143" s="84"/>
      <c r="K143" s="87" t="str">
        <f t="shared" ca="1" si="0"/>
        <v/>
      </c>
      <c r="L143" s="88"/>
      <c r="M143" s="84" t="str">
        <f t="shared" ca="1" si="1"/>
        <v/>
      </c>
      <c r="N143" s="84"/>
      <c r="O143" s="89">
        <f t="shared" si="2"/>
        <v>0</v>
      </c>
      <c r="P143" s="89"/>
      <c r="Q143" s="85">
        <f t="shared" si="3"/>
        <v>0</v>
      </c>
      <c r="R143" s="85" t="str">
        <f t="shared" si="4"/>
        <v/>
      </c>
      <c r="S143" s="84"/>
      <c r="T143" s="85"/>
      <c r="U143" s="85"/>
      <c r="V143" s="84"/>
      <c r="W143" s="85"/>
      <c r="X143" s="85"/>
      <c r="Y143" s="84"/>
      <c r="Z143" s="85"/>
      <c r="AA143" s="85"/>
      <c r="AB143" s="84"/>
      <c r="AC143" s="85"/>
      <c r="AD143" s="85"/>
      <c r="AE143" s="84"/>
      <c r="AF143" s="85"/>
      <c r="AG143" s="85"/>
      <c r="AH143" s="84"/>
      <c r="AI143" s="85"/>
      <c r="AJ143" s="85"/>
      <c r="AK143" s="84"/>
      <c r="AL143" s="85"/>
      <c r="AM143" s="85"/>
      <c r="AN143" s="84"/>
      <c r="AO143" s="85"/>
      <c r="AP143" s="85"/>
      <c r="AQ143" s="84"/>
      <c r="AR143" s="85"/>
      <c r="AS143" s="85"/>
      <c r="AT143" s="84"/>
      <c r="AU143" s="85"/>
      <c r="AV143" s="85"/>
      <c r="AW143" s="84"/>
      <c r="AX143" s="85"/>
      <c r="AY143" s="85"/>
      <c r="AZ143" s="84"/>
      <c r="BA143" s="85"/>
      <c r="BB143" s="85"/>
      <c r="BC143" s="84"/>
      <c r="BD143" s="27"/>
      <c r="BJ143" s="90" t="s">
        <v>976</v>
      </c>
    </row>
    <row r="144" spans="1:62" s="90" customFormat="1" ht="12.75">
      <c r="A144" s="83" t="s">
        <v>977</v>
      </c>
      <c r="B144" s="84">
        <v>10</v>
      </c>
      <c r="C144" s="84" t="s">
        <v>978</v>
      </c>
      <c r="D144" s="84" t="s">
        <v>979</v>
      </c>
      <c r="E144" s="85">
        <v>3538000</v>
      </c>
      <c r="F144" s="85"/>
      <c r="G144" s="85">
        <v>71067</v>
      </c>
      <c r="H144" s="86">
        <v>44609</v>
      </c>
      <c r="I144" s="85">
        <v>2913421</v>
      </c>
      <c r="J144" s="84"/>
      <c r="K144" s="87" t="str">
        <f t="shared" ca="1" si="0"/>
        <v/>
      </c>
      <c r="L144" s="88"/>
      <c r="M144" s="84" t="str">
        <f t="shared" ca="1" si="1"/>
        <v/>
      </c>
      <c r="N144" s="84"/>
      <c r="O144" s="89">
        <f t="shared" si="2"/>
        <v>0</v>
      </c>
      <c r="P144" s="89"/>
      <c r="Q144" s="85">
        <f t="shared" si="3"/>
        <v>0</v>
      </c>
      <c r="R144" s="85" t="str">
        <f t="shared" si="4"/>
        <v/>
      </c>
      <c r="S144" s="84"/>
      <c r="T144" s="85"/>
      <c r="U144" s="85"/>
      <c r="V144" s="84"/>
      <c r="W144" s="85"/>
      <c r="X144" s="85"/>
      <c r="Y144" s="84"/>
      <c r="Z144" s="85"/>
      <c r="AA144" s="85"/>
      <c r="AB144" s="84"/>
      <c r="AC144" s="85"/>
      <c r="AD144" s="85"/>
      <c r="AE144" s="84"/>
      <c r="AF144" s="85"/>
      <c r="AG144" s="85"/>
      <c r="AH144" s="84"/>
      <c r="AI144" s="85"/>
      <c r="AJ144" s="85"/>
      <c r="AK144" s="84"/>
      <c r="AL144" s="85"/>
      <c r="AM144" s="85"/>
      <c r="AN144" s="84"/>
      <c r="AO144" s="85"/>
      <c r="AP144" s="85"/>
      <c r="AQ144" s="84"/>
      <c r="AR144" s="85"/>
      <c r="AS144" s="85"/>
      <c r="AT144" s="84"/>
      <c r="AU144" s="85"/>
      <c r="AV144" s="85"/>
      <c r="AW144" s="84"/>
      <c r="AX144" s="85"/>
      <c r="AY144" s="85"/>
      <c r="AZ144" s="84"/>
      <c r="BA144" s="85"/>
      <c r="BB144" s="85"/>
      <c r="BC144" s="84"/>
      <c r="BD144" s="27"/>
      <c r="BJ144" s="90" t="s">
        <v>980</v>
      </c>
    </row>
    <row r="145" spans="1:62" s="90" customFormat="1" ht="12.75">
      <c r="A145" s="83" t="s">
        <v>981</v>
      </c>
      <c r="B145" s="84">
        <v>11</v>
      </c>
      <c r="C145" s="84" t="s">
        <v>982</v>
      </c>
      <c r="D145" s="84" t="s">
        <v>983</v>
      </c>
      <c r="E145" s="85">
        <v>3538000</v>
      </c>
      <c r="F145" s="85"/>
      <c r="G145" s="85">
        <v>71068</v>
      </c>
      <c r="H145" s="86">
        <v>44609</v>
      </c>
      <c r="I145" s="85">
        <v>2913433</v>
      </c>
      <c r="J145" s="84"/>
      <c r="K145" s="87" t="str">
        <f t="shared" ca="1" si="0"/>
        <v/>
      </c>
      <c r="L145" s="88"/>
      <c r="M145" s="84" t="str">
        <f t="shared" ca="1" si="1"/>
        <v/>
      </c>
      <c r="N145" s="84"/>
      <c r="O145" s="89">
        <f t="shared" si="2"/>
        <v>0</v>
      </c>
      <c r="P145" s="89"/>
      <c r="Q145" s="85">
        <f t="shared" si="3"/>
        <v>0</v>
      </c>
      <c r="R145" s="85" t="str">
        <f t="shared" si="4"/>
        <v/>
      </c>
      <c r="S145" s="84"/>
      <c r="T145" s="85"/>
      <c r="U145" s="85"/>
      <c r="V145" s="84"/>
      <c r="W145" s="85"/>
      <c r="X145" s="85"/>
      <c r="Y145" s="84"/>
      <c r="Z145" s="85"/>
      <c r="AA145" s="85"/>
      <c r="AB145" s="84"/>
      <c r="AC145" s="85"/>
      <c r="AD145" s="85"/>
      <c r="AE145" s="84"/>
      <c r="AF145" s="85"/>
      <c r="AG145" s="85"/>
      <c r="AH145" s="84"/>
      <c r="AI145" s="85"/>
      <c r="AJ145" s="85"/>
      <c r="AK145" s="84"/>
      <c r="AL145" s="85"/>
      <c r="AM145" s="85"/>
      <c r="AN145" s="84"/>
      <c r="AO145" s="85"/>
      <c r="AP145" s="85"/>
      <c r="AQ145" s="84"/>
      <c r="AR145" s="85"/>
      <c r="AS145" s="85"/>
      <c r="AT145" s="84"/>
      <c r="AU145" s="85"/>
      <c r="AV145" s="85"/>
      <c r="AW145" s="84"/>
      <c r="AX145" s="85"/>
      <c r="AY145" s="85"/>
      <c r="AZ145" s="84"/>
      <c r="BA145" s="85"/>
      <c r="BB145" s="85"/>
      <c r="BC145" s="84"/>
      <c r="BD145" s="27"/>
      <c r="BJ145" s="90" t="s">
        <v>984</v>
      </c>
    </row>
    <row r="146" spans="1:62" s="90" customFormat="1" ht="12.75">
      <c r="A146" s="83" t="s">
        <v>985</v>
      </c>
      <c r="B146" s="84">
        <v>12</v>
      </c>
      <c r="C146" s="84" t="s">
        <v>986</v>
      </c>
      <c r="D146" s="84" t="s">
        <v>987</v>
      </c>
      <c r="E146" s="85">
        <v>3504900</v>
      </c>
      <c r="F146" s="85"/>
      <c r="G146" s="85">
        <v>70385</v>
      </c>
      <c r="H146" s="86">
        <v>44530</v>
      </c>
      <c r="I146" s="85">
        <v>2778624</v>
      </c>
      <c r="J146" s="84"/>
      <c r="K146" s="87" t="str">
        <f t="shared" ca="1" si="0"/>
        <v/>
      </c>
      <c r="L146" s="88"/>
      <c r="M146" s="84" t="str">
        <f t="shared" ca="1" si="1"/>
        <v/>
      </c>
      <c r="N146" s="84"/>
      <c r="O146" s="89">
        <f t="shared" si="2"/>
        <v>0</v>
      </c>
      <c r="P146" s="89"/>
      <c r="Q146" s="85">
        <f t="shared" si="3"/>
        <v>0</v>
      </c>
      <c r="R146" s="85" t="str">
        <f t="shared" si="4"/>
        <v/>
      </c>
      <c r="S146" s="84"/>
      <c r="T146" s="85"/>
      <c r="U146" s="85"/>
      <c r="V146" s="84"/>
      <c r="W146" s="85"/>
      <c r="X146" s="85"/>
      <c r="Y146" s="84"/>
      <c r="Z146" s="85"/>
      <c r="AA146" s="85"/>
      <c r="AB146" s="84"/>
      <c r="AC146" s="85"/>
      <c r="AD146" s="85"/>
      <c r="AE146" s="84"/>
      <c r="AF146" s="85"/>
      <c r="AG146" s="85"/>
      <c r="AH146" s="84"/>
      <c r="AI146" s="85"/>
      <c r="AJ146" s="85"/>
      <c r="AK146" s="84"/>
      <c r="AL146" s="85"/>
      <c r="AM146" s="85"/>
      <c r="AN146" s="84"/>
      <c r="AO146" s="85"/>
      <c r="AP146" s="85"/>
      <c r="AQ146" s="84"/>
      <c r="AR146" s="85"/>
      <c r="AS146" s="85"/>
      <c r="AT146" s="84"/>
      <c r="AU146" s="85"/>
      <c r="AV146" s="85"/>
      <c r="AW146" s="84"/>
      <c r="AX146" s="85"/>
      <c r="AY146" s="85"/>
      <c r="AZ146" s="84"/>
      <c r="BA146" s="85"/>
      <c r="BB146" s="85"/>
      <c r="BC146" s="84"/>
      <c r="BD146" s="27"/>
      <c r="BJ146" s="90" t="s">
        <v>988</v>
      </c>
    </row>
    <row r="147" spans="1:62" s="90" customFormat="1" ht="12.75">
      <c r="A147" s="83" t="s">
        <v>989</v>
      </c>
      <c r="B147" s="84">
        <v>13</v>
      </c>
      <c r="C147" s="84" t="s">
        <v>990</v>
      </c>
      <c r="D147" s="84" t="s">
        <v>991</v>
      </c>
      <c r="E147" s="85">
        <v>15581000</v>
      </c>
      <c r="F147" s="85"/>
      <c r="G147" s="85">
        <v>311160</v>
      </c>
      <c r="H147" s="86">
        <v>44530</v>
      </c>
      <c r="I147" s="85">
        <v>12281277</v>
      </c>
      <c r="J147" s="84"/>
      <c r="K147" s="87" t="str">
        <f t="shared" ca="1" si="0"/>
        <v/>
      </c>
      <c r="L147" s="88"/>
      <c r="M147" s="84" t="str">
        <f t="shared" ca="1" si="1"/>
        <v/>
      </c>
      <c r="N147" s="84"/>
      <c r="O147" s="89">
        <f t="shared" si="2"/>
        <v>0</v>
      </c>
      <c r="P147" s="89"/>
      <c r="Q147" s="85">
        <f t="shared" si="3"/>
        <v>0</v>
      </c>
      <c r="R147" s="85" t="str">
        <f t="shared" si="4"/>
        <v/>
      </c>
      <c r="S147" s="84"/>
      <c r="T147" s="85"/>
      <c r="U147" s="85"/>
      <c r="V147" s="84"/>
      <c r="W147" s="85"/>
      <c r="X147" s="85"/>
      <c r="Y147" s="84"/>
      <c r="Z147" s="85"/>
      <c r="AA147" s="85"/>
      <c r="AB147" s="84"/>
      <c r="AC147" s="85"/>
      <c r="AD147" s="85"/>
      <c r="AE147" s="84"/>
      <c r="AF147" s="85"/>
      <c r="AG147" s="85"/>
      <c r="AH147" s="84"/>
      <c r="AI147" s="85"/>
      <c r="AJ147" s="85"/>
      <c r="AK147" s="84"/>
      <c r="AL147" s="85"/>
      <c r="AM147" s="85"/>
      <c r="AN147" s="84"/>
      <c r="AO147" s="85"/>
      <c r="AP147" s="85"/>
      <c r="AQ147" s="84"/>
      <c r="AR147" s="85"/>
      <c r="AS147" s="85"/>
      <c r="AT147" s="84"/>
      <c r="AU147" s="85"/>
      <c r="AV147" s="85"/>
      <c r="AW147" s="84"/>
      <c r="AX147" s="85"/>
      <c r="AY147" s="85"/>
      <c r="AZ147" s="84"/>
      <c r="BA147" s="85"/>
      <c r="BB147" s="85"/>
      <c r="BC147" s="84"/>
      <c r="BD147" s="27"/>
      <c r="BJ147" s="90" t="s">
        <v>992</v>
      </c>
    </row>
    <row r="148" spans="1:62" s="90" customFormat="1" ht="12.75">
      <c r="A148" s="83" t="s">
        <v>993</v>
      </c>
      <c r="B148" s="84">
        <v>14</v>
      </c>
      <c r="C148" s="84" t="s">
        <v>994</v>
      </c>
      <c r="D148" s="84" t="s">
        <v>995</v>
      </c>
      <c r="E148" s="85">
        <v>3038000</v>
      </c>
      <c r="F148" s="85"/>
      <c r="G148" s="85">
        <v>61025</v>
      </c>
      <c r="H148" s="86">
        <v>44512</v>
      </c>
      <c r="I148" s="85">
        <v>2361667</v>
      </c>
      <c r="J148" s="84"/>
      <c r="K148" s="87" t="str">
        <f t="shared" ca="1" si="0"/>
        <v/>
      </c>
      <c r="L148" s="88"/>
      <c r="M148" s="84" t="str">
        <f t="shared" ca="1" si="1"/>
        <v/>
      </c>
      <c r="N148" s="84"/>
      <c r="O148" s="89">
        <f t="shared" si="2"/>
        <v>0</v>
      </c>
      <c r="P148" s="89"/>
      <c r="Q148" s="85">
        <f t="shared" si="3"/>
        <v>0</v>
      </c>
      <c r="R148" s="85" t="str">
        <f t="shared" si="4"/>
        <v/>
      </c>
      <c r="S148" s="84"/>
      <c r="T148" s="85"/>
      <c r="U148" s="85"/>
      <c r="V148" s="84"/>
      <c r="W148" s="85"/>
      <c r="X148" s="85"/>
      <c r="Y148" s="84"/>
      <c r="Z148" s="85"/>
      <c r="AA148" s="85"/>
      <c r="AB148" s="84"/>
      <c r="AC148" s="85"/>
      <c r="AD148" s="85"/>
      <c r="AE148" s="84"/>
      <c r="AF148" s="85"/>
      <c r="AG148" s="85"/>
      <c r="AH148" s="84"/>
      <c r="AI148" s="85"/>
      <c r="AJ148" s="85"/>
      <c r="AK148" s="84"/>
      <c r="AL148" s="85"/>
      <c r="AM148" s="85"/>
      <c r="AN148" s="84"/>
      <c r="AO148" s="85"/>
      <c r="AP148" s="85"/>
      <c r="AQ148" s="84"/>
      <c r="AR148" s="85"/>
      <c r="AS148" s="85"/>
      <c r="AT148" s="84"/>
      <c r="AU148" s="85"/>
      <c r="AV148" s="85"/>
      <c r="AW148" s="84"/>
      <c r="AX148" s="85"/>
      <c r="AY148" s="85"/>
      <c r="AZ148" s="84"/>
      <c r="BA148" s="85"/>
      <c r="BB148" s="85"/>
      <c r="BC148" s="84"/>
      <c r="BD148" s="27"/>
      <c r="BJ148" s="90" t="s">
        <v>996</v>
      </c>
    </row>
    <row r="149" spans="1:62" s="90" customFormat="1" ht="12.75">
      <c r="A149" s="83" t="s">
        <v>997</v>
      </c>
      <c r="B149" s="84">
        <v>15</v>
      </c>
      <c r="C149" s="84" t="s">
        <v>998</v>
      </c>
      <c r="D149" s="84" t="s">
        <v>999</v>
      </c>
      <c r="E149" s="85">
        <v>5245567</v>
      </c>
      <c r="F149" s="85"/>
      <c r="G149" s="85">
        <v>105355</v>
      </c>
      <c r="H149" s="86">
        <v>44500</v>
      </c>
      <c r="I149" s="85">
        <v>4077644</v>
      </c>
      <c r="J149" s="84"/>
      <c r="K149" s="87" t="str">
        <f t="shared" ca="1" si="0"/>
        <v/>
      </c>
      <c r="L149" s="88"/>
      <c r="M149" s="84" t="str">
        <f t="shared" ca="1" si="1"/>
        <v/>
      </c>
      <c r="N149" s="84"/>
      <c r="O149" s="89">
        <f t="shared" si="2"/>
        <v>0</v>
      </c>
      <c r="P149" s="89"/>
      <c r="Q149" s="85">
        <f t="shared" si="3"/>
        <v>0</v>
      </c>
      <c r="R149" s="85" t="str">
        <f t="shared" si="4"/>
        <v/>
      </c>
      <c r="S149" s="84"/>
      <c r="T149" s="85"/>
      <c r="U149" s="85"/>
      <c r="V149" s="84"/>
      <c r="W149" s="85"/>
      <c r="X149" s="85"/>
      <c r="Y149" s="84"/>
      <c r="Z149" s="85"/>
      <c r="AA149" s="85"/>
      <c r="AB149" s="84"/>
      <c r="AC149" s="85"/>
      <c r="AD149" s="85"/>
      <c r="AE149" s="84"/>
      <c r="AF149" s="85"/>
      <c r="AG149" s="85"/>
      <c r="AH149" s="84"/>
      <c r="AI149" s="85"/>
      <c r="AJ149" s="85"/>
      <c r="AK149" s="84"/>
      <c r="AL149" s="85"/>
      <c r="AM149" s="85"/>
      <c r="AN149" s="84"/>
      <c r="AO149" s="85"/>
      <c r="AP149" s="85"/>
      <c r="AQ149" s="84"/>
      <c r="AR149" s="85"/>
      <c r="AS149" s="85"/>
      <c r="AT149" s="84"/>
      <c r="AU149" s="85"/>
      <c r="AV149" s="85"/>
      <c r="AW149" s="84"/>
      <c r="AX149" s="85"/>
      <c r="AY149" s="85"/>
      <c r="AZ149" s="84"/>
      <c r="BA149" s="85"/>
      <c r="BB149" s="85"/>
      <c r="BC149" s="84"/>
      <c r="BD149" s="27"/>
      <c r="BJ149" s="90" t="s">
        <v>1000</v>
      </c>
    </row>
    <row r="150" spans="1:62" s="90" customFormat="1" ht="12.75">
      <c r="A150" s="83" t="s">
        <v>1001</v>
      </c>
      <c r="B150" s="84">
        <v>16</v>
      </c>
      <c r="C150" s="84" t="s">
        <v>1002</v>
      </c>
      <c r="D150" s="84" t="s">
        <v>1003</v>
      </c>
      <c r="E150" s="85">
        <v>547000</v>
      </c>
      <c r="F150" s="85"/>
      <c r="G150" s="85">
        <v>13470</v>
      </c>
      <c r="H150" s="86">
        <v>44494</v>
      </c>
      <c r="I150" s="85">
        <v>378486</v>
      </c>
      <c r="J150" s="84"/>
      <c r="K150" s="87" t="str">
        <f t="shared" ca="1" si="0"/>
        <v/>
      </c>
      <c r="L150" s="88"/>
      <c r="M150" s="84" t="str">
        <f t="shared" ca="1" si="1"/>
        <v/>
      </c>
      <c r="N150" s="84"/>
      <c r="O150" s="89">
        <f t="shared" si="2"/>
        <v>0</v>
      </c>
      <c r="P150" s="89"/>
      <c r="Q150" s="85">
        <f t="shared" si="3"/>
        <v>0</v>
      </c>
      <c r="R150" s="85" t="str">
        <f t="shared" si="4"/>
        <v/>
      </c>
      <c r="S150" s="84"/>
      <c r="T150" s="85"/>
      <c r="U150" s="85"/>
      <c r="V150" s="84"/>
      <c r="W150" s="85"/>
      <c r="X150" s="85"/>
      <c r="Y150" s="84"/>
      <c r="Z150" s="85"/>
      <c r="AA150" s="85"/>
      <c r="AB150" s="84"/>
      <c r="AC150" s="85"/>
      <c r="AD150" s="85"/>
      <c r="AE150" s="84"/>
      <c r="AF150" s="85"/>
      <c r="AG150" s="85"/>
      <c r="AH150" s="84"/>
      <c r="AI150" s="85"/>
      <c r="AJ150" s="85"/>
      <c r="AK150" s="84"/>
      <c r="AL150" s="85"/>
      <c r="AM150" s="85"/>
      <c r="AN150" s="84"/>
      <c r="AO150" s="85"/>
      <c r="AP150" s="85"/>
      <c r="AQ150" s="84"/>
      <c r="AR150" s="85"/>
      <c r="AS150" s="85"/>
      <c r="AT150" s="84"/>
      <c r="AU150" s="85"/>
      <c r="AV150" s="85"/>
      <c r="AW150" s="84"/>
      <c r="AX150" s="85"/>
      <c r="AY150" s="85"/>
      <c r="AZ150" s="84"/>
      <c r="BA150" s="85"/>
      <c r="BB150" s="85"/>
      <c r="BC150" s="84"/>
      <c r="BD150" s="27"/>
      <c r="BJ150" s="90" t="s">
        <v>1004</v>
      </c>
    </row>
    <row r="151" spans="1:62" s="90" customFormat="1" ht="12.75">
      <c r="A151" s="83" t="s">
        <v>1005</v>
      </c>
      <c r="B151" s="84">
        <v>17</v>
      </c>
      <c r="C151" s="84" t="s">
        <v>1006</v>
      </c>
      <c r="D151" s="84" t="s">
        <v>1007</v>
      </c>
      <c r="E151" s="85">
        <v>3026000</v>
      </c>
      <c r="F151" s="85"/>
      <c r="G151" s="85">
        <v>60785</v>
      </c>
      <c r="H151" s="86">
        <v>44468</v>
      </c>
      <c r="I151" s="85">
        <v>2305301</v>
      </c>
      <c r="J151" s="84"/>
      <c r="K151" s="87" t="str">
        <f t="shared" ca="1" si="0"/>
        <v/>
      </c>
      <c r="L151" s="88"/>
      <c r="M151" s="84" t="str">
        <f t="shared" ca="1" si="1"/>
        <v/>
      </c>
      <c r="N151" s="84"/>
      <c r="O151" s="89">
        <f t="shared" si="2"/>
        <v>0</v>
      </c>
      <c r="P151" s="89"/>
      <c r="Q151" s="85">
        <f t="shared" si="3"/>
        <v>0</v>
      </c>
      <c r="R151" s="85" t="str">
        <f t="shared" si="4"/>
        <v/>
      </c>
      <c r="S151" s="84"/>
      <c r="T151" s="85"/>
      <c r="U151" s="85"/>
      <c r="V151" s="84"/>
      <c r="W151" s="85"/>
      <c r="X151" s="85"/>
      <c r="Y151" s="84"/>
      <c r="Z151" s="85"/>
      <c r="AA151" s="85"/>
      <c r="AB151" s="84"/>
      <c r="AC151" s="85"/>
      <c r="AD151" s="85"/>
      <c r="AE151" s="84"/>
      <c r="AF151" s="85"/>
      <c r="AG151" s="85"/>
      <c r="AH151" s="84"/>
      <c r="AI151" s="85"/>
      <c r="AJ151" s="85"/>
      <c r="AK151" s="84"/>
      <c r="AL151" s="85"/>
      <c r="AM151" s="85"/>
      <c r="AN151" s="84"/>
      <c r="AO151" s="85"/>
      <c r="AP151" s="85"/>
      <c r="AQ151" s="84"/>
      <c r="AR151" s="85"/>
      <c r="AS151" s="85"/>
      <c r="AT151" s="84"/>
      <c r="AU151" s="85"/>
      <c r="AV151" s="85"/>
      <c r="AW151" s="84"/>
      <c r="AX151" s="85"/>
      <c r="AY151" s="85"/>
      <c r="AZ151" s="84"/>
      <c r="BA151" s="85"/>
      <c r="BB151" s="85"/>
      <c r="BC151" s="84"/>
      <c r="BD151" s="27"/>
      <c r="BJ151" s="90" t="s">
        <v>1008</v>
      </c>
    </row>
    <row r="152" spans="1:62" s="90" customFormat="1" ht="12.75">
      <c r="A152" s="83" t="s">
        <v>1009</v>
      </c>
      <c r="B152" s="84">
        <v>18</v>
      </c>
      <c r="C152" s="84" t="s">
        <v>1010</v>
      </c>
      <c r="D152" s="84" t="s">
        <v>1011</v>
      </c>
      <c r="E152" s="85">
        <v>9304000</v>
      </c>
      <c r="F152" s="85"/>
      <c r="G152" s="85">
        <v>186890</v>
      </c>
      <c r="H152" s="86">
        <v>44468</v>
      </c>
      <c r="I152" s="85">
        <v>7088055</v>
      </c>
      <c r="J152" s="84"/>
      <c r="K152" s="87" t="str">
        <f t="shared" ca="1" si="0"/>
        <v/>
      </c>
      <c r="L152" s="88"/>
      <c r="M152" s="84" t="str">
        <f t="shared" ca="1" si="1"/>
        <v/>
      </c>
      <c r="N152" s="84"/>
      <c r="O152" s="89">
        <f t="shared" si="2"/>
        <v>0</v>
      </c>
      <c r="P152" s="89"/>
      <c r="Q152" s="85">
        <f t="shared" si="3"/>
        <v>0</v>
      </c>
      <c r="R152" s="85" t="str">
        <f t="shared" si="4"/>
        <v/>
      </c>
      <c r="S152" s="84"/>
      <c r="T152" s="85"/>
      <c r="U152" s="85"/>
      <c r="V152" s="84"/>
      <c r="W152" s="85"/>
      <c r="X152" s="85"/>
      <c r="Y152" s="84"/>
      <c r="Z152" s="85"/>
      <c r="AA152" s="85"/>
      <c r="AB152" s="84"/>
      <c r="AC152" s="85"/>
      <c r="AD152" s="85"/>
      <c r="AE152" s="84"/>
      <c r="AF152" s="85"/>
      <c r="AG152" s="85"/>
      <c r="AH152" s="84"/>
      <c r="AI152" s="85"/>
      <c r="AJ152" s="85"/>
      <c r="AK152" s="84"/>
      <c r="AL152" s="85"/>
      <c r="AM152" s="85"/>
      <c r="AN152" s="84"/>
      <c r="AO152" s="85"/>
      <c r="AP152" s="85"/>
      <c r="AQ152" s="84"/>
      <c r="AR152" s="85"/>
      <c r="AS152" s="85"/>
      <c r="AT152" s="84"/>
      <c r="AU152" s="85"/>
      <c r="AV152" s="85"/>
      <c r="AW152" s="84"/>
      <c r="AX152" s="85"/>
      <c r="AY152" s="85"/>
      <c r="AZ152" s="84"/>
      <c r="BA152" s="85"/>
      <c r="BB152" s="85"/>
      <c r="BC152" s="84"/>
      <c r="BD152" s="27"/>
      <c r="BJ152" s="90" t="s">
        <v>1012</v>
      </c>
    </row>
    <row r="153" spans="1:62" s="90" customFormat="1" ht="12.75">
      <c r="A153" s="83" t="s">
        <v>1013</v>
      </c>
      <c r="B153" s="84">
        <v>19</v>
      </c>
      <c r="C153" s="84" t="s">
        <v>1014</v>
      </c>
      <c r="D153" s="84" t="s">
        <v>1015</v>
      </c>
      <c r="E153" s="85">
        <v>1746000</v>
      </c>
      <c r="F153" s="85"/>
      <c r="G153" s="85">
        <v>55640</v>
      </c>
      <c r="H153" s="86">
        <v>44468</v>
      </c>
      <c r="I153" s="85">
        <v>1043861</v>
      </c>
      <c r="J153" s="84">
        <v>35</v>
      </c>
      <c r="K153" s="87">
        <f t="shared" ca="1" si="0"/>
        <v>10.3</v>
      </c>
      <c r="L153" s="88"/>
      <c r="M153" s="84">
        <f t="shared" ca="1" si="1"/>
        <v>55640</v>
      </c>
      <c r="N153" s="84"/>
      <c r="O153" s="89">
        <f t="shared" si="2"/>
        <v>0</v>
      </c>
      <c r="P153" s="89"/>
      <c r="Q153" s="85">
        <f t="shared" si="3"/>
        <v>0</v>
      </c>
      <c r="R153" s="85" t="str">
        <f t="shared" si="4"/>
        <v/>
      </c>
      <c r="S153" s="84"/>
      <c r="T153" s="85"/>
      <c r="U153" s="85"/>
      <c r="V153" s="84"/>
      <c r="W153" s="85"/>
      <c r="X153" s="85"/>
      <c r="Y153" s="84"/>
      <c r="Z153" s="85"/>
      <c r="AA153" s="85"/>
      <c r="AB153" s="84"/>
      <c r="AC153" s="85"/>
      <c r="AD153" s="85"/>
      <c r="AE153" s="84"/>
      <c r="AF153" s="85"/>
      <c r="AG153" s="85"/>
      <c r="AH153" s="84"/>
      <c r="AI153" s="85"/>
      <c r="AJ153" s="85"/>
      <c r="AK153" s="84"/>
      <c r="AL153" s="85"/>
      <c r="AM153" s="85"/>
      <c r="AN153" s="84"/>
      <c r="AO153" s="85"/>
      <c r="AP153" s="85"/>
      <c r="AQ153" s="84"/>
      <c r="AR153" s="85"/>
      <c r="AS153" s="85"/>
      <c r="AT153" s="84"/>
      <c r="AU153" s="85"/>
      <c r="AV153" s="85"/>
      <c r="AW153" s="84"/>
      <c r="AX153" s="85"/>
      <c r="AY153" s="85"/>
      <c r="AZ153" s="84"/>
      <c r="BA153" s="85"/>
      <c r="BB153" s="85"/>
      <c r="BC153" s="84"/>
      <c r="BD153" s="27"/>
      <c r="BJ153" s="90" t="s">
        <v>1016</v>
      </c>
    </row>
    <row r="154" spans="1:62" s="90" customFormat="1" ht="12.75">
      <c r="A154" s="83" t="s">
        <v>1017</v>
      </c>
      <c r="B154" s="84">
        <v>20</v>
      </c>
      <c r="C154" s="84" t="s">
        <v>1018</v>
      </c>
      <c r="D154" s="84" t="s">
        <v>1019</v>
      </c>
      <c r="E154" s="85">
        <v>1196000</v>
      </c>
      <c r="F154" s="85"/>
      <c r="G154" s="85">
        <v>38722</v>
      </c>
      <c r="H154" s="86">
        <v>44468</v>
      </c>
      <c r="I154" s="85">
        <v>719677</v>
      </c>
      <c r="J154" s="84">
        <v>35</v>
      </c>
      <c r="K154" s="87">
        <f t="shared" ca="1" si="0"/>
        <v>10.3</v>
      </c>
      <c r="L154" s="88"/>
      <c r="M154" s="84">
        <f t="shared" ca="1" si="1"/>
        <v>38722</v>
      </c>
      <c r="N154" s="84"/>
      <c r="O154" s="89">
        <f t="shared" si="2"/>
        <v>0</v>
      </c>
      <c r="P154" s="89"/>
      <c r="Q154" s="85">
        <f t="shared" si="3"/>
        <v>0</v>
      </c>
      <c r="R154" s="85" t="str">
        <f t="shared" si="4"/>
        <v/>
      </c>
      <c r="S154" s="84"/>
      <c r="T154" s="85"/>
      <c r="U154" s="85"/>
      <c r="V154" s="84"/>
      <c r="W154" s="85"/>
      <c r="X154" s="85"/>
      <c r="Y154" s="84"/>
      <c r="Z154" s="85"/>
      <c r="AA154" s="85"/>
      <c r="AB154" s="84"/>
      <c r="AC154" s="85"/>
      <c r="AD154" s="85"/>
      <c r="AE154" s="84"/>
      <c r="AF154" s="85"/>
      <c r="AG154" s="85"/>
      <c r="AH154" s="84"/>
      <c r="AI154" s="85"/>
      <c r="AJ154" s="85"/>
      <c r="AK154" s="84"/>
      <c r="AL154" s="85"/>
      <c r="AM154" s="85"/>
      <c r="AN154" s="84"/>
      <c r="AO154" s="85"/>
      <c r="AP154" s="85"/>
      <c r="AQ154" s="84"/>
      <c r="AR154" s="85"/>
      <c r="AS154" s="85"/>
      <c r="AT154" s="84"/>
      <c r="AU154" s="85"/>
      <c r="AV154" s="85"/>
      <c r="AW154" s="84"/>
      <c r="AX154" s="85"/>
      <c r="AY154" s="85"/>
      <c r="AZ154" s="84"/>
      <c r="BA154" s="85"/>
      <c r="BB154" s="85"/>
      <c r="BC154" s="84"/>
      <c r="BD154" s="27"/>
      <c r="BJ154" s="90" t="s">
        <v>1020</v>
      </c>
    </row>
    <row r="155" spans="1:62" s="90" customFormat="1" ht="12.75">
      <c r="A155" s="83" t="s">
        <v>1021</v>
      </c>
      <c r="B155" s="84">
        <v>21</v>
      </c>
      <c r="C155" s="84" t="s">
        <v>1022</v>
      </c>
      <c r="D155" s="84" t="s">
        <v>1023</v>
      </c>
      <c r="E155" s="85">
        <v>1542240</v>
      </c>
      <c r="F155" s="85"/>
      <c r="G155" s="85">
        <v>49931</v>
      </c>
      <c r="H155" s="86">
        <v>44468</v>
      </c>
      <c r="I155" s="85">
        <v>928036</v>
      </c>
      <c r="J155" s="84">
        <v>35</v>
      </c>
      <c r="K155" s="87">
        <f t="shared" ca="1" si="0"/>
        <v>10.3</v>
      </c>
      <c r="L155" s="88"/>
      <c r="M155" s="84">
        <f t="shared" ca="1" si="1"/>
        <v>49931</v>
      </c>
      <c r="N155" s="84"/>
      <c r="O155" s="89">
        <f t="shared" si="2"/>
        <v>0</v>
      </c>
      <c r="P155" s="89"/>
      <c r="Q155" s="85">
        <f t="shared" si="3"/>
        <v>0</v>
      </c>
      <c r="R155" s="85" t="str">
        <f t="shared" si="4"/>
        <v/>
      </c>
      <c r="S155" s="84"/>
      <c r="T155" s="85"/>
      <c r="U155" s="85"/>
      <c r="V155" s="84"/>
      <c r="W155" s="85"/>
      <c r="X155" s="85"/>
      <c r="Y155" s="84"/>
      <c r="Z155" s="85"/>
      <c r="AA155" s="85"/>
      <c r="AB155" s="84"/>
      <c r="AC155" s="85"/>
      <c r="AD155" s="85"/>
      <c r="AE155" s="84"/>
      <c r="AF155" s="85"/>
      <c r="AG155" s="85"/>
      <c r="AH155" s="84"/>
      <c r="AI155" s="85"/>
      <c r="AJ155" s="85"/>
      <c r="AK155" s="84"/>
      <c r="AL155" s="85"/>
      <c r="AM155" s="85"/>
      <c r="AN155" s="84"/>
      <c r="AO155" s="85"/>
      <c r="AP155" s="85"/>
      <c r="AQ155" s="84"/>
      <c r="AR155" s="85"/>
      <c r="AS155" s="85"/>
      <c r="AT155" s="84"/>
      <c r="AU155" s="85"/>
      <c r="AV155" s="85"/>
      <c r="AW155" s="84"/>
      <c r="AX155" s="85"/>
      <c r="AY155" s="85"/>
      <c r="AZ155" s="84"/>
      <c r="BA155" s="85"/>
      <c r="BB155" s="85"/>
      <c r="BC155" s="84"/>
      <c r="BD155" s="27"/>
      <c r="BJ155" s="90" t="s">
        <v>1024</v>
      </c>
    </row>
    <row r="156" spans="1:62" s="90" customFormat="1" ht="12.75">
      <c r="A156" s="83" t="s">
        <v>1025</v>
      </c>
      <c r="B156" s="84">
        <v>22</v>
      </c>
      <c r="C156" s="84" t="s">
        <v>1026</v>
      </c>
      <c r="D156" s="84" t="s">
        <v>1027</v>
      </c>
      <c r="E156" s="85">
        <v>2093040</v>
      </c>
      <c r="F156" s="85"/>
      <c r="G156" s="85">
        <v>67764</v>
      </c>
      <c r="H156" s="86">
        <v>44468</v>
      </c>
      <c r="I156" s="85">
        <v>1259472</v>
      </c>
      <c r="J156" s="84">
        <v>35</v>
      </c>
      <c r="K156" s="87">
        <f t="shared" ca="1" si="0"/>
        <v>10.3</v>
      </c>
      <c r="L156" s="88"/>
      <c r="M156" s="84">
        <f t="shared" ca="1" si="1"/>
        <v>67764</v>
      </c>
      <c r="N156" s="84"/>
      <c r="O156" s="89">
        <f t="shared" si="2"/>
        <v>0</v>
      </c>
      <c r="P156" s="89"/>
      <c r="Q156" s="85">
        <f t="shared" si="3"/>
        <v>0</v>
      </c>
      <c r="R156" s="85" t="str">
        <f t="shared" si="4"/>
        <v/>
      </c>
      <c r="S156" s="84"/>
      <c r="T156" s="85"/>
      <c r="U156" s="85"/>
      <c r="V156" s="84"/>
      <c r="W156" s="85"/>
      <c r="X156" s="85"/>
      <c r="Y156" s="84"/>
      <c r="Z156" s="85"/>
      <c r="AA156" s="85"/>
      <c r="AB156" s="84"/>
      <c r="AC156" s="85"/>
      <c r="AD156" s="85"/>
      <c r="AE156" s="84"/>
      <c r="AF156" s="85"/>
      <c r="AG156" s="85"/>
      <c r="AH156" s="84"/>
      <c r="AI156" s="85"/>
      <c r="AJ156" s="85"/>
      <c r="AK156" s="84"/>
      <c r="AL156" s="85"/>
      <c r="AM156" s="85"/>
      <c r="AN156" s="84"/>
      <c r="AO156" s="85"/>
      <c r="AP156" s="85"/>
      <c r="AQ156" s="84"/>
      <c r="AR156" s="85"/>
      <c r="AS156" s="85"/>
      <c r="AT156" s="84"/>
      <c r="AU156" s="85"/>
      <c r="AV156" s="85"/>
      <c r="AW156" s="84"/>
      <c r="AX156" s="85"/>
      <c r="AY156" s="85"/>
      <c r="AZ156" s="84"/>
      <c r="BA156" s="85"/>
      <c r="BB156" s="85"/>
      <c r="BC156" s="84"/>
      <c r="BD156" s="27"/>
      <c r="BJ156" s="90" t="s">
        <v>1028</v>
      </c>
    </row>
    <row r="157" spans="1:62" s="90" customFormat="1" ht="12.75">
      <c r="A157" s="83" t="s">
        <v>1029</v>
      </c>
      <c r="B157" s="84">
        <v>23</v>
      </c>
      <c r="C157" s="84" t="s">
        <v>1030</v>
      </c>
      <c r="D157" s="84" t="s">
        <v>1031</v>
      </c>
      <c r="E157" s="85">
        <v>1756080</v>
      </c>
      <c r="F157" s="85"/>
      <c r="G157" s="85">
        <v>56854</v>
      </c>
      <c r="H157" s="86">
        <v>44468</v>
      </c>
      <c r="I157" s="85">
        <v>1056984</v>
      </c>
      <c r="J157" s="84">
        <v>35</v>
      </c>
      <c r="K157" s="87">
        <f t="shared" ca="1" si="0"/>
        <v>10.3</v>
      </c>
      <c r="L157" s="88"/>
      <c r="M157" s="84">
        <f t="shared" ca="1" si="1"/>
        <v>56854</v>
      </c>
      <c r="N157" s="84"/>
      <c r="O157" s="89">
        <f t="shared" si="2"/>
        <v>0</v>
      </c>
      <c r="P157" s="89"/>
      <c r="Q157" s="85">
        <f t="shared" si="3"/>
        <v>0</v>
      </c>
      <c r="R157" s="85" t="str">
        <f t="shared" si="4"/>
        <v/>
      </c>
      <c r="S157" s="84"/>
      <c r="T157" s="85"/>
      <c r="U157" s="85"/>
      <c r="V157" s="84"/>
      <c r="W157" s="85"/>
      <c r="X157" s="85"/>
      <c r="Y157" s="84"/>
      <c r="Z157" s="85"/>
      <c r="AA157" s="85"/>
      <c r="AB157" s="84"/>
      <c r="AC157" s="85"/>
      <c r="AD157" s="85"/>
      <c r="AE157" s="84"/>
      <c r="AF157" s="85"/>
      <c r="AG157" s="85"/>
      <c r="AH157" s="84"/>
      <c r="AI157" s="85"/>
      <c r="AJ157" s="85"/>
      <c r="AK157" s="84"/>
      <c r="AL157" s="85"/>
      <c r="AM157" s="85"/>
      <c r="AN157" s="84"/>
      <c r="AO157" s="85"/>
      <c r="AP157" s="85"/>
      <c r="AQ157" s="84"/>
      <c r="AR157" s="85"/>
      <c r="AS157" s="85"/>
      <c r="AT157" s="84"/>
      <c r="AU157" s="85"/>
      <c r="AV157" s="85"/>
      <c r="AW157" s="84"/>
      <c r="AX157" s="85"/>
      <c r="AY157" s="85"/>
      <c r="AZ157" s="84"/>
      <c r="BA157" s="85"/>
      <c r="BB157" s="85"/>
      <c r="BC157" s="84" t="s">
        <v>1032</v>
      </c>
      <c r="BD157" s="27"/>
      <c r="BJ157" s="90" t="s">
        <v>1033</v>
      </c>
    </row>
    <row r="158" spans="1:62" s="90" customFormat="1" ht="12.75">
      <c r="A158" s="83" t="s">
        <v>1034</v>
      </c>
      <c r="B158" s="84">
        <v>24</v>
      </c>
      <c r="C158" s="84" t="s">
        <v>1035</v>
      </c>
      <c r="D158" s="84" t="s">
        <v>1036</v>
      </c>
      <c r="E158" s="85">
        <v>886000</v>
      </c>
      <c r="F158" s="85"/>
      <c r="G158" s="85">
        <v>21820</v>
      </c>
      <c r="H158" s="86">
        <v>44462</v>
      </c>
      <c r="I158" s="85">
        <v>595089</v>
      </c>
      <c r="J158" s="84"/>
      <c r="K158" s="87" t="str">
        <f t="shared" ca="1" si="0"/>
        <v/>
      </c>
      <c r="L158" s="88"/>
      <c r="M158" s="84" t="str">
        <f t="shared" ca="1" si="1"/>
        <v/>
      </c>
      <c r="N158" s="84"/>
      <c r="O158" s="89">
        <f t="shared" si="2"/>
        <v>0</v>
      </c>
      <c r="P158" s="89"/>
      <c r="Q158" s="85">
        <f t="shared" si="3"/>
        <v>0</v>
      </c>
      <c r="R158" s="85" t="str">
        <f t="shared" si="4"/>
        <v/>
      </c>
      <c r="S158" s="84"/>
      <c r="T158" s="85"/>
      <c r="U158" s="85"/>
      <c r="V158" s="84"/>
      <c r="W158" s="85"/>
      <c r="X158" s="85"/>
      <c r="Y158" s="84"/>
      <c r="Z158" s="85"/>
      <c r="AA158" s="85"/>
      <c r="AB158" s="84"/>
      <c r="AC158" s="85"/>
      <c r="AD158" s="85"/>
      <c r="AE158" s="84"/>
      <c r="AF158" s="85"/>
      <c r="AG158" s="85"/>
      <c r="AH158" s="84"/>
      <c r="AI158" s="85"/>
      <c r="AJ158" s="85"/>
      <c r="AK158" s="84"/>
      <c r="AL158" s="85"/>
      <c r="AM158" s="85"/>
      <c r="AN158" s="84"/>
      <c r="AO158" s="85"/>
      <c r="AP158" s="85"/>
      <c r="AQ158" s="84"/>
      <c r="AR158" s="85"/>
      <c r="AS158" s="85"/>
      <c r="AT158" s="84"/>
      <c r="AU158" s="85"/>
      <c r="AV158" s="85"/>
      <c r="AW158" s="84"/>
      <c r="AX158" s="85"/>
      <c r="AY158" s="85"/>
      <c r="AZ158" s="84"/>
      <c r="BA158" s="85"/>
      <c r="BB158" s="85"/>
      <c r="BC158" s="84"/>
      <c r="BD158" s="27"/>
      <c r="BJ158" s="90" t="s">
        <v>1037</v>
      </c>
    </row>
    <row r="159" spans="1:62" s="90" customFormat="1" ht="12.75">
      <c r="A159" s="83" t="s">
        <v>1038</v>
      </c>
      <c r="B159" s="84">
        <v>25</v>
      </c>
      <c r="C159" s="84" t="s">
        <v>1039</v>
      </c>
      <c r="D159" s="84" t="s">
        <v>1040</v>
      </c>
      <c r="E159" s="85">
        <v>2636249</v>
      </c>
      <c r="F159" s="85"/>
      <c r="G159" s="85">
        <v>52954</v>
      </c>
      <c r="H159" s="86">
        <v>44461</v>
      </c>
      <c r="I159" s="85">
        <v>1967145</v>
      </c>
      <c r="J159" s="84"/>
      <c r="K159" s="87" t="str">
        <f t="shared" ca="1" si="0"/>
        <v/>
      </c>
      <c r="L159" s="88"/>
      <c r="M159" s="84" t="str">
        <f t="shared" ca="1" si="1"/>
        <v/>
      </c>
      <c r="N159" s="84"/>
      <c r="O159" s="89">
        <f t="shared" si="2"/>
        <v>0</v>
      </c>
      <c r="P159" s="89"/>
      <c r="Q159" s="85">
        <f t="shared" si="3"/>
        <v>0</v>
      </c>
      <c r="R159" s="85" t="str">
        <f t="shared" si="4"/>
        <v/>
      </c>
      <c r="S159" s="84"/>
      <c r="T159" s="85"/>
      <c r="U159" s="85"/>
      <c r="V159" s="84"/>
      <c r="W159" s="85"/>
      <c r="X159" s="85"/>
      <c r="Y159" s="84"/>
      <c r="Z159" s="85"/>
      <c r="AA159" s="85"/>
      <c r="AB159" s="84"/>
      <c r="AC159" s="85"/>
      <c r="AD159" s="85"/>
      <c r="AE159" s="84"/>
      <c r="AF159" s="85"/>
      <c r="AG159" s="85"/>
      <c r="AH159" s="84"/>
      <c r="AI159" s="85"/>
      <c r="AJ159" s="85"/>
      <c r="AK159" s="84"/>
      <c r="AL159" s="85"/>
      <c r="AM159" s="85"/>
      <c r="AN159" s="84"/>
      <c r="AO159" s="85"/>
      <c r="AP159" s="85"/>
      <c r="AQ159" s="84"/>
      <c r="AR159" s="85"/>
      <c r="AS159" s="85"/>
      <c r="AT159" s="84"/>
      <c r="AU159" s="85"/>
      <c r="AV159" s="85"/>
      <c r="AW159" s="84"/>
      <c r="AX159" s="85"/>
      <c r="AY159" s="85"/>
      <c r="AZ159" s="84"/>
      <c r="BA159" s="85"/>
      <c r="BB159" s="85"/>
      <c r="BC159" s="84"/>
      <c r="BD159" s="27"/>
      <c r="BJ159" s="90" t="s">
        <v>1041</v>
      </c>
    </row>
    <row r="160" spans="1:62" s="90" customFormat="1" ht="12.75">
      <c r="A160" s="83" t="s">
        <v>1042</v>
      </c>
      <c r="B160" s="84">
        <v>26</v>
      </c>
      <c r="C160" s="84" t="s">
        <v>1043</v>
      </c>
      <c r="D160" s="84" t="s">
        <v>1044</v>
      </c>
      <c r="E160" s="85">
        <v>2636249</v>
      </c>
      <c r="F160" s="85"/>
      <c r="G160" s="85">
        <v>52953</v>
      </c>
      <c r="H160" s="86">
        <v>44461</v>
      </c>
      <c r="I160" s="85">
        <v>1967132</v>
      </c>
      <c r="J160" s="84"/>
      <c r="K160" s="87" t="str">
        <f t="shared" ca="1" si="0"/>
        <v/>
      </c>
      <c r="L160" s="88"/>
      <c r="M160" s="84" t="str">
        <f t="shared" ca="1" si="1"/>
        <v/>
      </c>
      <c r="N160" s="84"/>
      <c r="O160" s="89">
        <f t="shared" si="2"/>
        <v>0</v>
      </c>
      <c r="P160" s="89"/>
      <c r="Q160" s="85">
        <f t="shared" si="3"/>
        <v>0</v>
      </c>
      <c r="R160" s="85" t="str">
        <f t="shared" si="4"/>
        <v/>
      </c>
      <c r="S160" s="84"/>
      <c r="T160" s="85"/>
      <c r="U160" s="85"/>
      <c r="V160" s="84"/>
      <c r="W160" s="85"/>
      <c r="X160" s="85"/>
      <c r="Y160" s="84"/>
      <c r="Z160" s="85"/>
      <c r="AA160" s="85"/>
      <c r="AB160" s="84"/>
      <c r="AC160" s="85"/>
      <c r="AD160" s="85"/>
      <c r="AE160" s="84"/>
      <c r="AF160" s="85"/>
      <c r="AG160" s="85"/>
      <c r="AH160" s="84"/>
      <c r="AI160" s="85"/>
      <c r="AJ160" s="85"/>
      <c r="AK160" s="84"/>
      <c r="AL160" s="85"/>
      <c r="AM160" s="85"/>
      <c r="AN160" s="84"/>
      <c r="AO160" s="85"/>
      <c r="AP160" s="85"/>
      <c r="AQ160" s="84"/>
      <c r="AR160" s="85"/>
      <c r="AS160" s="85"/>
      <c r="AT160" s="84"/>
      <c r="AU160" s="85"/>
      <c r="AV160" s="85"/>
      <c r="AW160" s="84"/>
      <c r="AX160" s="85"/>
      <c r="AY160" s="85"/>
      <c r="AZ160" s="84"/>
      <c r="BA160" s="85"/>
      <c r="BB160" s="85"/>
      <c r="BC160" s="84"/>
      <c r="BD160" s="27"/>
      <c r="BJ160" s="90" t="s">
        <v>1045</v>
      </c>
    </row>
    <row r="161" spans="1:62" s="90" customFormat="1" ht="12.75">
      <c r="A161" s="83" t="s">
        <v>1046</v>
      </c>
      <c r="B161" s="84">
        <v>27</v>
      </c>
      <c r="C161" s="84" t="s">
        <v>1047</v>
      </c>
      <c r="D161" s="84" t="s">
        <v>1048</v>
      </c>
      <c r="E161" s="85">
        <v>1700000</v>
      </c>
      <c r="F161" s="85"/>
      <c r="G161" s="85">
        <v>34150</v>
      </c>
      <c r="H161" s="86">
        <v>44461</v>
      </c>
      <c r="I161" s="85">
        <v>1268548</v>
      </c>
      <c r="J161" s="84"/>
      <c r="K161" s="87" t="str">
        <f t="shared" ca="1" si="0"/>
        <v/>
      </c>
      <c r="L161" s="88"/>
      <c r="M161" s="84" t="str">
        <f t="shared" ca="1" si="1"/>
        <v/>
      </c>
      <c r="N161" s="84"/>
      <c r="O161" s="89">
        <f t="shared" si="2"/>
        <v>0</v>
      </c>
      <c r="P161" s="89"/>
      <c r="Q161" s="85">
        <f t="shared" si="3"/>
        <v>0</v>
      </c>
      <c r="R161" s="85" t="str">
        <f t="shared" si="4"/>
        <v/>
      </c>
      <c r="S161" s="84"/>
      <c r="T161" s="85"/>
      <c r="U161" s="85"/>
      <c r="V161" s="84"/>
      <c r="W161" s="85"/>
      <c r="X161" s="85"/>
      <c r="Y161" s="84"/>
      <c r="Z161" s="85"/>
      <c r="AA161" s="85"/>
      <c r="AB161" s="84"/>
      <c r="AC161" s="85"/>
      <c r="AD161" s="85"/>
      <c r="AE161" s="84"/>
      <c r="AF161" s="85"/>
      <c r="AG161" s="85"/>
      <c r="AH161" s="84"/>
      <c r="AI161" s="85"/>
      <c r="AJ161" s="85"/>
      <c r="AK161" s="84"/>
      <c r="AL161" s="85"/>
      <c r="AM161" s="85"/>
      <c r="AN161" s="84"/>
      <c r="AO161" s="85"/>
      <c r="AP161" s="85"/>
      <c r="AQ161" s="84"/>
      <c r="AR161" s="85"/>
      <c r="AS161" s="85"/>
      <c r="AT161" s="84"/>
      <c r="AU161" s="85"/>
      <c r="AV161" s="85"/>
      <c r="AW161" s="84"/>
      <c r="AX161" s="85"/>
      <c r="AY161" s="85"/>
      <c r="AZ161" s="84"/>
      <c r="BA161" s="85"/>
      <c r="BB161" s="85"/>
      <c r="BC161" s="84"/>
      <c r="BD161" s="27"/>
      <c r="BJ161" s="90" t="s">
        <v>1049</v>
      </c>
    </row>
    <row r="162" spans="1:62" s="90" customFormat="1" ht="12.75">
      <c r="A162" s="83" t="s">
        <v>1050</v>
      </c>
      <c r="B162" s="84">
        <v>28</v>
      </c>
      <c r="C162" s="84" t="s">
        <v>1051</v>
      </c>
      <c r="D162" s="84" t="s">
        <v>1052</v>
      </c>
      <c r="E162" s="85">
        <v>783500</v>
      </c>
      <c r="F162" s="85"/>
      <c r="G162" s="85">
        <v>15740</v>
      </c>
      <c r="H162" s="86">
        <v>44461</v>
      </c>
      <c r="I162" s="85">
        <v>584658</v>
      </c>
      <c r="J162" s="84"/>
      <c r="K162" s="87" t="str">
        <f t="shared" ca="1" si="0"/>
        <v/>
      </c>
      <c r="L162" s="88"/>
      <c r="M162" s="84" t="str">
        <f t="shared" ca="1" si="1"/>
        <v/>
      </c>
      <c r="N162" s="84"/>
      <c r="O162" s="89">
        <f t="shared" si="2"/>
        <v>0</v>
      </c>
      <c r="P162" s="89"/>
      <c r="Q162" s="85">
        <f t="shared" si="3"/>
        <v>0</v>
      </c>
      <c r="R162" s="85" t="str">
        <f t="shared" si="4"/>
        <v/>
      </c>
      <c r="S162" s="84"/>
      <c r="T162" s="85"/>
      <c r="U162" s="85"/>
      <c r="V162" s="84"/>
      <c r="W162" s="85"/>
      <c r="X162" s="85"/>
      <c r="Y162" s="84"/>
      <c r="Z162" s="85"/>
      <c r="AA162" s="85"/>
      <c r="AB162" s="84"/>
      <c r="AC162" s="85"/>
      <c r="AD162" s="85"/>
      <c r="AE162" s="84"/>
      <c r="AF162" s="85"/>
      <c r="AG162" s="85"/>
      <c r="AH162" s="84"/>
      <c r="AI162" s="85"/>
      <c r="AJ162" s="85"/>
      <c r="AK162" s="84"/>
      <c r="AL162" s="85"/>
      <c r="AM162" s="85"/>
      <c r="AN162" s="84"/>
      <c r="AO162" s="85"/>
      <c r="AP162" s="85"/>
      <c r="AQ162" s="84"/>
      <c r="AR162" s="85"/>
      <c r="AS162" s="85"/>
      <c r="AT162" s="84"/>
      <c r="AU162" s="85"/>
      <c r="AV162" s="85"/>
      <c r="AW162" s="84"/>
      <c r="AX162" s="85"/>
      <c r="AY162" s="85"/>
      <c r="AZ162" s="84"/>
      <c r="BA162" s="85"/>
      <c r="BB162" s="85"/>
      <c r="BC162" s="84"/>
      <c r="BD162" s="27"/>
      <c r="BJ162" s="90" t="s">
        <v>1053</v>
      </c>
    </row>
    <row r="163" spans="1:62" s="90" customFormat="1" ht="12.75">
      <c r="A163" s="83" t="s">
        <v>1054</v>
      </c>
      <c r="B163" s="84">
        <v>29</v>
      </c>
      <c r="C163" s="84" t="s">
        <v>1055</v>
      </c>
      <c r="D163" s="84" t="s">
        <v>1056</v>
      </c>
      <c r="E163" s="85">
        <v>1139000</v>
      </c>
      <c r="F163" s="85"/>
      <c r="G163" s="85">
        <v>27785</v>
      </c>
      <c r="H163" s="86">
        <v>44452</v>
      </c>
      <c r="I163" s="85">
        <v>762527</v>
      </c>
      <c r="J163" s="84"/>
      <c r="K163" s="87" t="str">
        <f t="shared" ca="1" si="0"/>
        <v/>
      </c>
      <c r="L163" s="88"/>
      <c r="M163" s="84" t="str">
        <f t="shared" ca="1" si="1"/>
        <v/>
      </c>
      <c r="N163" s="84"/>
      <c r="O163" s="89">
        <f t="shared" si="2"/>
        <v>0</v>
      </c>
      <c r="P163" s="89"/>
      <c r="Q163" s="85">
        <f t="shared" si="3"/>
        <v>0</v>
      </c>
      <c r="R163" s="85" t="str">
        <f t="shared" si="4"/>
        <v/>
      </c>
      <c r="S163" s="84"/>
      <c r="T163" s="85"/>
      <c r="U163" s="85"/>
      <c r="V163" s="84"/>
      <c r="W163" s="85"/>
      <c r="X163" s="85"/>
      <c r="Y163" s="84"/>
      <c r="Z163" s="85"/>
      <c r="AA163" s="85"/>
      <c r="AB163" s="84"/>
      <c r="AC163" s="85"/>
      <c r="AD163" s="85"/>
      <c r="AE163" s="84"/>
      <c r="AF163" s="85"/>
      <c r="AG163" s="85"/>
      <c r="AH163" s="84"/>
      <c r="AI163" s="85"/>
      <c r="AJ163" s="85"/>
      <c r="AK163" s="84"/>
      <c r="AL163" s="85"/>
      <c r="AM163" s="85"/>
      <c r="AN163" s="84"/>
      <c r="AO163" s="85"/>
      <c r="AP163" s="85"/>
      <c r="AQ163" s="84"/>
      <c r="AR163" s="85"/>
      <c r="AS163" s="85"/>
      <c r="AT163" s="84"/>
      <c r="AU163" s="85"/>
      <c r="AV163" s="85"/>
      <c r="AW163" s="84"/>
      <c r="AX163" s="85"/>
      <c r="AY163" s="85"/>
      <c r="AZ163" s="84"/>
      <c r="BA163" s="85"/>
      <c r="BB163" s="85"/>
      <c r="BC163" s="84"/>
      <c r="BD163" s="27"/>
      <c r="BJ163" s="90" t="s">
        <v>1057</v>
      </c>
    </row>
    <row r="164" spans="1:62" s="90" customFormat="1" ht="12.75">
      <c r="A164" s="83" t="s">
        <v>1058</v>
      </c>
      <c r="B164" s="84">
        <v>30</v>
      </c>
      <c r="C164" s="84" t="s">
        <v>1059</v>
      </c>
      <c r="D164" s="84" t="s">
        <v>1060</v>
      </c>
      <c r="E164" s="85">
        <v>5273077</v>
      </c>
      <c r="F164" s="85"/>
      <c r="G164" s="85">
        <v>105920</v>
      </c>
      <c r="H164" s="86">
        <v>44449</v>
      </c>
      <c r="I164" s="85">
        <v>3934716</v>
      </c>
      <c r="J164" s="84"/>
      <c r="K164" s="87" t="str">
        <f t="shared" ca="1" si="0"/>
        <v/>
      </c>
      <c r="L164" s="88"/>
      <c r="M164" s="84" t="str">
        <f t="shared" ca="1" si="1"/>
        <v/>
      </c>
      <c r="N164" s="84"/>
      <c r="O164" s="89">
        <f t="shared" si="2"/>
        <v>0</v>
      </c>
      <c r="P164" s="89"/>
      <c r="Q164" s="85">
        <f t="shared" si="3"/>
        <v>0</v>
      </c>
      <c r="R164" s="85" t="str">
        <f t="shared" si="4"/>
        <v/>
      </c>
      <c r="S164" s="84"/>
      <c r="T164" s="85"/>
      <c r="U164" s="85"/>
      <c r="V164" s="84"/>
      <c r="W164" s="85"/>
      <c r="X164" s="85"/>
      <c r="Y164" s="84"/>
      <c r="Z164" s="85"/>
      <c r="AA164" s="85"/>
      <c r="AB164" s="84"/>
      <c r="AC164" s="85"/>
      <c r="AD164" s="85"/>
      <c r="AE164" s="84"/>
      <c r="AF164" s="85"/>
      <c r="AG164" s="85"/>
      <c r="AH164" s="84"/>
      <c r="AI164" s="85"/>
      <c r="AJ164" s="85"/>
      <c r="AK164" s="84"/>
      <c r="AL164" s="85"/>
      <c r="AM164" s="85"/>
      <c r="AN164" s="84"/>
      <c r="AO164" s="85"/>
      <c r="AP164" s="85"/>
      <c r="AQ164" s="84"/>
      <c r="AR164" s="85"/>
      <c r="AS164" s="85"/>
      <c r="AT164" s="84"/>
      <c r="AU164" s="85"/>
      <c r="AV164" s="85"/>
      <c r="AW164" s="84"/>
      <c r="AX164" s="85"/>
      <c r="AY164" s="85"/>
      <c r="AZ164" s="84"/>
      <c r="BA164" s="85"/>
      <c r="BB164" s="85"/>
      <c r="BC164" s="84"/>
      <c r="BD164" s="27"/>
      <c r="BJ164" s="90" t="s">
        <v>1061</v>
      </c>
    </row>
    <row r="165" spans="1:62" s="90" customFormat="1" ht="12.75">
      <c r="A165" s="83" t="s">
        <v>1062</v>
      </c>
      <c r="B165" s="84">
        <v>31</v>
      </c>
      <c r="C165" s="84" t="s">
        <v>1063</v>
      </c>
      <c r="D165" s="84" t="s">
        <v>1064</v>
      </c>
      <c r="E165" s="85">
        <v>3330000</v>
      </c>
      <c r="F165" s="85"/>
      <c r="G165" s="85">
        <v>106561</v>
      </c>
      <c r="H165" s="86">
        <v>44356</v>
      </c>
      <c r="I165" s="85">
        <v>1615477</v>
      </c>
      <c r="J165" s="84">
        <v>35</v>
      </c>
      <c r="K165" s="87">
        <f t="shared" ca="1" si="0"/>
        <v>6.5666666666666664</v>
      </c>
      <c r="L165" s="88"/>
      <c r="M165" s="84">
        <f t="shared" ca="1" si="1"/>
        <v>106561</v>
      </c>
      <c r="N165" s="84"/>
      <c r="O165" s="89">
        <f t="shared" si="2"/>
        <v>0</v>
      </c>
      <c r="P165" s="89"/>
      <c r="Q165" s="85">
        <f t="shared" si="3"/>
        <v>0</v>
      </c>
      <c r="R165" s="85" t="str">
        <f t="shared" si="4"/>
        <v/>
      </c>
      <c r="S165" s="84"/>
      <c r="T165" s="85"/>
      <c r="U165" s="85"/>
      <c r="V165" s="84"/>
      <c r="W165" s="85"/>
      <c r="X165" s="85"/>
      <c r="Y165" s="84"/>
      <c r="Z165" s="85"/>
      <c r="AA165" s="85"/>
      <c r="AB165" s="84"/>
      <c r="AC165" s="85"/>
      <c r="AD165" s="85"/>
      <c r="AE165" s="84"/>
      <c r="AF165" s="85"/>
      <c r="AG165" s="85"/>
      <c r="AH165" s="84"/>
      <c r="AI165" s="85"/>
      <c r="AJ165" s="85"/>
      <c r="AK165" s="84"/>
      <c r="AL165" s="85"/>
      <c r="AM165" s="85"/>
      <c r="AN165" s="84"/>
      <c r="AO165" s="85"/>
      <c r="AP165" s="85"/>
      <c r="AQ165" s="84"/>
      <c r="AR165" s="85"/>
      <c r="AS165" s="85"/>
      <c r="AT165" s="84"/>
      <c r="AU165" s="85"/>
      <c r="AV165" s="85"/>
      <c r="AW165" s="84"/>
      <c r="AX165" s="85"/>
      <c r="AY165" s="85"/>
      <c r="AZ165" s="84"/>
      <c r="BA165" s="85"/>
      <c r="BB165" s="85"/>
      <c r="BC165" s="84" t="s">
        <v>1065</v>
      </c>
      <c r="BD165" s="27"/>
      <c r="BJ165" s="90" t="s">
        <v>1066</v>
      </c>
    </row>
    <row r="166" spans="1:62" s="90" customFormat="1" ht="12.75">
      <c r="A166" s="83" t="s">
        <v>1067</v>
      </c>
      <c r="B166" s="84">
        <v>32</v>
      </c>
      <c r="C166" s="84" t="s">
        <v>1068</v>
      </c>
      <c r="D166" s="84" t="s">
        <v>1069</v>
      </c>
      <c r="E166" s="85">
        <v>3215800</v>
      </c>
      <c r="F166" s="85"/>
      <c r="G166" s="85">
        <v>102702</v>
      </c>
      <c r="H166" s="86">
        <v>44347</v>
      </c>
      <c r="I166" s="85">
        <v>1464238</v>
      </c>
      <c r="J166" s="84">
        <v>35</v>
      </c>
      <c r="K166" s="87">
        <f t="shared" ca="1" si="0"/>
        <v>6.2666666666666657</v>
      </c>
      <c r="L166" s="88"/>
      <c r="M166" s="84">
        <f t="shared" ca="1" si="1"/>
        <v>102702</v>
      </c>
      <c r="N166" s="84"/>
      <c r="O166" s="89">
        <f t="shared" si="2"/>
        <v>0</v>
      </c>
      <c r="P166" s="89"/>
      <c r="Q166" s="85">
        <f t="shared" si="3"/>
        <v>0</v>
      </c>
      <c r="R166" s="85" t="str">
        <f t="shared" si="4"/>
        <v/>
      </c>
      <c r="S166" s="84"/>
      <c r="T166" s="85"/>
      <c r="U166" s="85"/>
      <c r="V166" s="84"/>
      <c r="W166" s="85"/>
      <c r="X166" s="85"/>
      <c r="Y166" s="84"/>
      <c r="Z166" s="85"/>
      <c r="AA166" s="85"/>
      <c r="AB166" s="84"/>
      <c r="AC166" s="85"/>
      <c r="AD166" s="85"/>
      <c r="AE166" s="84"/>
      <c r="AF166" s="85"/>
      <c r="AG166" s="85"/>
      <c r="AH166" s="84"/>
      <c r="AI166" s="85"/>
      <c r="AJ166" s="85"/>
      <c r="AK166" s="84"/>
      <c r="AL166" s="85"/>
      <c r="AM166" s="85"/>
      <c r="AN166" s="84"/>
      <c r="AO166" s="85"/>
      <c r="AP166" s="85"/>
      <c r="AQ166" s="84"/>
      <c r="AR166" s="85"/>
      <c r="AS166" s="85"/>
      <c r="AT166" s="84"/>
      <c r="AU166" s="85"/>
      <c r="AV166" s="85"/>
      <c r="AW166" s="84"/>
      <c r="AX166" s="85"/>
      <c r="AY166" s="85"/>
      <c r="AZ166" s="84"/>
      <c r="BA166" s="85"/>
      <c r="BB166" s="85"/>
      <c r="BC166" s="84"/>
      <c r="BD166" s="27"/>
      <c r="BJ166" s="90" t="s">
        <v>1070</v>
      </c>
    </row>
    <row r="167" spans="1:62" s="90" customFormat="1" ht="12.75">
      <c r="A167" s="83" t="s">
        <v>1071</v>
      </c>
      <c r="B167" s="84">
        <v>33</v>
      </c>
      <c r="C167" s="84" t="s">
        <v>1072</v>
      </c>
      <c r="D167" s="84" t="s">
        <v>1073</v>
      </c>
      <c r="E167" s="85">
        <v>832500</v>
      </c>
      <c r="F167" s="85"/>
      <c r="G167" s="85">
        <v>26588</v>
      </c>
      <c r="H167" s="86">
        <v>44347</v>
      </c>
      <c r="I167" s="85">
        <v>379063</v>
      </c>
      <c r="J167" s="84">
        <v>35</v>
      </c>
      <c r="K167" s="87">
        <f t="shared" ca="1" si="0"/>
        <v>6.2666666666666657</v>
      </c>
      <c r="L167" s="88"/>
      <c r="M167" s="84">
        <f t="shared" ca="1" si="1"/>
        <v>26588</v>
      </c>
      <c r="N167" s="84"/>
      <c r="O167" s="89">
        <f t="shared" si="2"/>
        <v>0</v>
      </c>
      <c r="P167" s="89"/>
      <c r="Q167" s="85">
        <f t="shared" si="3"/>
        <v>0</v>
      </c>
      <c r="R167" s="85" t="str">
        <f t="shared" si="4"/>
        <v/>
      </c>
      <c r="S167" s="84"/>
      <c r="T167" s="85"/>
      <c r="U167" s="85"/>
      <c r="V167" s="84"/>
      <c r="W167" s="85"/>
      <c r="X167" s="85"/>
      <c r="Y167" s="84"/>
      <c r="Z167" s="85"/>
      <c r="AA167" s="85"/>
      <c r="AB167" s="84"/>
      <c r="AC167" s="85"/>
      <c r="AD167" s="85"/>
      <c r="AE167" s="84"/>
      <c r="AF167" s="85"/>
      <c r="AG167" s="85"/>
      <c r="AH167" s="84"/>
      <c r="AI167" s="85"/>
      <c r="AJ167" s="85"/>
      <c r="AK167" s="84"/>
      <c r="AL167" s="85"/>
      <c r="AM167" s="85"/>
      <c r="AN167" s="84"/>
      <c r="AO167" s="85"/>
      <c r="AP167" s="85"/>
      <c r="AQ167" s="84"/>
      <c r="AR167" s="85"/>
      <c r="AS167" s="85"/>
      <c r="AT167" s="84"/>
      <c r="AU167" s="85"/>
      <c r="AV167" s="85"/>
      <c r="AW167" s="84"/>
      <c r="AX167" s="85"/>
      <c r="AY167" s="85"/>
      <c r="AZ167" s="84"/>
      <c r="BA167" s="85"/>
      <c r="BB167" s="85"/>
      <c r="BC167" s="84"/>
      <c r="BD167" s="27"/>
      <c r="BJ167" s="90" t="s">
        <v>1074</v>
      </c>
    </row>
    <row r="168" spans="1:62" s="90" customFormat="1" ht="12.75">
      <c r="A168" s="83" t="s">
        <v>1075</v>
      </c>
      <c r="B168" s="84">
        <v>34</v>
      </c>
      <c r="C168" s="84" t="s">
        <v>1076</v>
      </c>
      <c r="D168" s="84" t="s">
        <v>1077</v>
      </c>
      <c r="E168" s="85">
        <v>3451000</v>
      </c>
      <c r="F168" s="85"/>
      <c r="G168" s="85">
        <v>109420</v>
      </c>
      <c r="H168" s="86">
        <v>44341</v>
      </c>
      <c r="I168" s="85">
        <v>1362022</v>
      </c>
      <c r="J168" s="84"/>
      <c r="K168" s="87" t="str">
        <f t="shared" ca="1" si="0"/>
        <v/>
      </c>
      <c r="L168" s="88"/>
      <c r="M168" s="84" t="str">
        <f t="shared" ca="1" si="1"/>
        <v/>
      </c>
      <c r="N168" s="84"/>
      <c r="O168" s="89">
        <f t="shared" si="2"/>
        <v>0</v>
      </c>
      <c r="P168" s="89"/>
      <c r="Q168" s="85">
        <f t="shared" si="3"/>
        <v>0</v>
      </c>
      <c r="R168" s="85" t="str">
        <f t="shared" si="4"/>
        <v/>
      </c>
      <c r="S168" s="84"/>
      <c r="T168" s="85"/>
      <c r="U168" s="85"/>
      <c r="V168" s="84"/>
      <c r="W168" s="85"/>
      <c r="X168" s="85"/>
      <c r="Y168" s="84"/>
      <c r="Z168" s="85"/>
      <c r="AA168" s="85"/>
      <c r="AB168" s="84"/>
      <c r="AC168" s="85"/>
      <c r="AD168" s="85"/>
      <c r="AE168" s="84"/>
      <c r="AF168" s="85"/>
      <c r="AG168" s="85"/>
      <c r="AH168" s="84"/>
      <c r="AI168" s="85"/>
      <c r="AJ168" s="85"/>
      <c r="AK168" s="84"/>
      <c r="AL168" s="85"/>
      <c r="AM168" s="85"/>
      <c r="AN168" s="84"/>
      <c r="AO168" s="85"/>
      <c r="AP168" s="85"/>
      <c r="AQ168" s="84"/>
      <c r="AR168" s="85"/>
      <c r="AS168" s="85"/>
      <c r="AT168" s="84"/>
      <c r="AU168" s="85"/>
      <c r="AV168" s="85"/>
      <c r="AW168" s="84"/>
      <c r="AX168" s="85"/>
      <c r="AY168" s="85"/>
      <c r="AZ168" s="84"/>
      <c r="BA168" s="85"/>
      <c r="BB168" s="85"/>
      <c r="BC168" s="84"/>
      <c r="BD168" s="27"/>
      <c r="BJ168" s="90" t="s">
        <v>1078</v>
      </c>
    </row>
    <row r="169" spans="1:62" s="90" customFormat="1" ht="12.75">
      <c r="A169" s="83" t="s">
        <v>1079</v>
      </c>
      <c r="B169" s="84">
        <v>35</v>
      </c>
      <c r="C169" s="84" t="s">
        <v>1080</v>
      </c>
      <c r="D169" s="84" t="s">
        <v>1081</v>
      </c>
      <c r="E169" s="85">
        <v>1033000</v>
      </c>
      <c r="F169" s="85"/>
      <c r="G169" s="85">
        <v>32960</v>
      </c>
      <c r="H169" s="86">
        <v>44341</v>
      </c>
      <c r="I169" s="85">
        <v>440466</v>
      </c>
      <c r="J169" s="84"/>
      <c r="K169" s="87" t="str">
        <f t="shared" ca="1" si="0"/>
        <v/>
      </c>
      <c r="L169" s="88"/>
      <c r="M169" s="84" t="str">
        <f t="shared" ca="1" si="1"/>
        <v/>
      </c>
      <c r="N169" s="84"/>
      <c r="O169" s="89">
        <f t="shared" si="2"/>
        <v>0</v>
      </c>
      <c r="P169" s="89"/>
      <c r="Q169" s="85">
        <f t="shared" si="3"/>
        <v>0</v>
      </c>
      <c r="R169" s="85" t="str">
        <f t="shared" si="4"/>
        <v/>
      </c>
      <c r="S169" s="84"/>
      <c r="T169" s="85"/>
      <c r="U169" s="85"/>
      <c r="V169" s="84"/>
      <c r="W169" s="85"/>
      <c r="X169" s="85"/>
      <c r="Y169" s="84"/>
      <c r="Z169" s="85"/>
      <c r="AA169" s="85"/>
      <c r="AB169" s="84"/>
      <c r="AC169" s="85"/>
      <c r="AD169" s="85"/>
      <c r="AE169" s="84"/>
      <c r="AF169" s="85"/>
      <c r="AG169" s="85"/>
      <c r="AH169" s="84"/>
      <c r="AI169" s="85"/>
      <c r="AJ169" s="85"/>
      <c r="AK169" s="84"/>
      <c r="AL169" s="85"/>
      <c r="AM169" s="85"/>
      <c r="AN169" s="84"/>
      <c r="AO169" s="85"/>
      <c r="AP169" s="85"/>
      <c r="AQ169" s="84"/>
      <c r="AR169" s="85"/>
      <c r="AS169" s="85"/>
      <c r="AT169" s="84"/>
      <c r="AU169" s="85"/>
      <c r="AV169" s="85"/>
      <c r="AW169" s="84"/>
      <c r="AX169" s="85"/>
      <c r="AY169" s="85"/>
      <c r="AZ169" s="84"/>
      <c r="BA169" s="85"/>
      <c r="BB169" s="85"/>
      <c r="BC169" s="84"/>
      <c r="BD169" s="27"/>
      <c r="BJ169" s="90" t="s">
        <v>1082</v>
      </c>
    </row>
    <row r="170" spans="1:62" s="90" customFormat="1" ht="12.75">
      <c r="A170" s="83" t="s">
        <v>1083</v>
      </c>
      <c r="B170" s="84">
        <v>36</v>
      </c>
      <c r="C170" s="84" t="s">
        <v>1084</v>
      </c>
      <c r="D170" s="84" t="s">
        <v>1085</v>
      </c>
      <c r="E170" s="85">
        <v>1120000</v>
      </c>
      <c r="F170" s="85"/>
      <c r="G170" s="85">
        <v>35735</v>
      </c>
      <c r="H170" s="86">
        <v>44340</v>
      </c>
      <c r="I170" s="85">
        <v>477553</v>
      </c>
      <c r="J170" s="84"/>
      <c r="K170" s="87" t="str">
        <f t="shared" ca="1" si="0"/>
        <v/>
      </c>
      <c r="L170" s="88"/>
      <c r="M170" s="84" t="str">
        <f t="shared" ca="1" si="1"/>
        <v/>
      </c>
      <c r="N170" s="84"/>
      <c r="O170" s="89">
        <f t="shared" si="2"/>
        <v>0</v>
      </c>
      <c r="P170" s="89"/>
      <c r="Q170" s="85">
        <f t="shared" si="3"/>
        <v>0</v>
      </c>
      <c r="R170" s="85" t="str">
        <f t="shared" si="4"/>
        <v/>
      </c>
      <c r="S170" s="84"/>
      <c r="T170" s="85"/>
      <c r="U170" s="85"/>
      <c r="V170" s="84"/>
      <c r="W170" s="85"/>
      <c r="X170" s="85"/>
      <c r="Y170" s="84"/>
      <c r="Z170" s="85"/>
      <c r="AA170" s="85"/>
      <c r="AB170" s="84"/>
      <c r="AC170" s="85"/>
      <c r="AD170" s="85"/>
      <c r="AE170" s="84"/>
      <c r="AF170" s="85"/>
      <c r="AG170" s="85"/>
      <c r="AH170" s="84"/>
      <c r="AI170" s="85"/>
      <c r="AJ170" s="85"/>
      <c r="AK170" s="84"/>
      <c r="AL170" s="85"/>
      <c r="AM170" s="85"/>
      <c r="AN170" s="84"/>
      <c r="AO170" s="85"/>
      <c r="AP170" s="85"/>
      <c r="AQ170" s="84"/>
      <c r="AR170" s="85"/>
      <c r="AS170" s="85"/>
      <c r="AT170" s="84"/>
      <c r="AU170" s="85"/>
      <c r="AV170" s="85"/>
      <c r="AW170" s="84"/>
      <c r="AX170" s="85"/>
      <c r="AY170" s="85"/>
      <c r="AZ170" s="84"/>
      <c r="BA170" s="85"/>
      <c r="BB170" s="85"/>
      <c r="BC170" s="84"/>
      <c r="BD170" s="27"/>
      <c r="BJ170" s="90" t="s">
        <v>1086</v>
      </c>
    </row>
    <row r="171" spans="1:62" s="90" customFormat="1" ht="12.75">
      <c r="A171" s="83" t="s">
        <v>1087</v>
      </c>
      <c r="B171" s="84">
        <v>37</v>
      </c>
      <c r="C171" s="84" t="s">
        <v>1088</v>
      </c>
      <c r="D171" s="84" t="s">
        <v>1089</v>
      </c>
      <c r="E171" s="85">
        <v>3393800</v>
      </c>
      <c r="F171" s="85"/>
      <c r="G171" s="85">
        <v>108285</v>
      </c>
      <c r="H171" s="86">
        <v>44336</v>
      </c>
      <c r="I171" s="85">
        <v>1447089</v>
      </c>
      <c r="J171" s="84"/>
      <c r="K171" s="87" t="str">
        <f t="shared" ca="1" si="0"/>
        <v/>
      </c>
      <c r="L171" s="88"/>
      <c r="M171" s="84" t="str">
        <f t="shared" ca="1" si="1"/>
        <v/>
      </c>
      <c r="N171" s="84"/>
      <c r="O171" s="89">
        <f t="shared" si="2"/>
        <v>0</v>
      </c>
      <c r="P171" s="89"/>
      <c r="Q171" s="85">
        <f t="shared" si="3"/>
        <v>0</v>
      </c>
      <c r="R171" s="85" t="str">
        <f t="shared" si="4"/>
        <v/>
      </c>
      <c r="S171" s="84"/>
      <c r="T171" s="85"/>
      <c r="U171" s="85"/>
      <c r="V171" s="84"/>
      <c r="W171" s="85"/>
      <c r="X171" s="85"/>
      <c r="Y171" s="84"/>
      <c r="Z171" s="85"/>
      <c r="AA171" s="85"/>
      <c r="AB171" s="84"/>
      <c r="AC171" s="85"/>
      <c r="AD171" s="85"/>
      <c r="AE171" s="84"/>
      <c r="AF171" s="85"/>
      <c r="AG171" s="85"/>
      <c r="AH171" s="84"/>
      <c r="AI171" s="85"/>
      <c r="AJ171" s="85"/>
      <c r="AK171" s="84"/>
      <c r="AL171" s="85"/>
      <c r="AM171" s="85"/>
      <c r="AN171" s="84"/>
      <c r="AO171" s="85"/>
      <c r="AP171" s="85"/>
      <c r="AQ171" s="84"/>
      <c r="AR171" s="85"/>
      <c r="AS171" s="85"/>
      <c r="AT171" s="84"/>
      <c r="AU171" s="85"/>
      <c r="AV171" s="85"/>
      <c r="AW171" s="84"/>
      <c r="AX171" s="85"/>
      <c r="AY171" s="85"/>
      <c r="AZ171" s="84"/>
      <c r="BA171" s="85"/>
      <c r="BB171" s="85"/>
      <c r="BC171" s="84"/>
      <c r="BD171" s="27"/>
      <c r="BJ171" s="90" t="s">
        <v>1090</v>
      </c>
    </row>
    <row r="172" spans="1:62" s="90" customFormat="1" ht="12.75">
      <c r="A172" s="83" t="s">
        <v>1091</v>
      </c>
      <c r="B172" s="84">
        <v>38</v>
      </c>
      <c r="C172" s="84" t="s">
        <v>1092</v>
      </c>
      <c r="D172" s="84" t="s">
        <v>1093</v>
      </c>
      <c r="E172" s="85">
        <v>1793000</v>
      </c>
      <c r="F172" s="85"/>
      <c r="G172" s="85">
        <v>57205</v>
      </c>
      <c r="H172" s="86">
        <v>44334</v>
      </c>
      <c r="I172" s="85">
        <v>764493</v>
      </c>
      <c r="J172" s="84"/>
      <c r="K172" s="87" t="str">
        <f t="shared" ca="1" si="0"/>
        <v/>
      </c>
      <c r="L172" s="88"/>
      <c r="M172" s="84" t="str">
        <f t="shared" ca="1" si="1"/>
        <v/>
      </c>
      <c r="N172" s="84"/>
      <c r="O172" s="89">
        <f t="shared" si="2"/>
        <v>0</v>
      </c>
      <c r="P172" s="89"/>
      <c r="Q172" s="85">
        <f t="shared" si="3"/>
        <v>0</v>
      </c>
      <c r="R172" s="85" t="str">
        <f t="shared" si="4"/>
        <v/>
      </c>
      <c r="S172" s="84"/>
      <c r="T172" s="85"/>
      <c r="U172" s="85"/>
      <c r="V172" s="84"/>
      <c r="W172" s="85"/>
      <c r="X172" s="85"/>
      <c r="Y172" s="84"/>
      <c r="Z172" s="85"/>
      <c r="AA172" s="85"/>
      <c r="AB172" s="84"/>
      <c r="AC172" s="85"/>
      <c r="AD172" s="85"/>
      <c r="AE172" s="84"/>
      <c r="AF172" s="85"/>
      <c r="AG172" s="85"/>
      <c r="AH172" s="84"/>
      <c r="AI172" s="85"/>
      <c r="AJ172" s="85"/>
      <c r="AK172" s="84"/>
      <c r="AL172" s="85"/>
      <c r="AM172" s="85"/>
      <c r="AN172" s="84"/>
      <c r="AO172" s="85"/>
      <c r="AP172" s="85"/>
      <c r="AQ172" s="84"/>
      <c r="AR172" s="85"/>
      <c r="AS172" s="85"/>
      <c r="AT172" s="84"/>
      <c r="AU172" s="85"/>
      <c r="AV172" s="85"/>
      <c r="AW172" s="84"/>
      <c r="AX172" s="85"/>
      <c r="AY172" s="85"/>
      <c r="AZ172" s="84"/>
      <c r="BA172" s="85"/>
      <c r="BB172" s="85"/>
      <c r="BC172" s="84"/>
      <c r="BD172" s="27"/>
      <c r="BJ172" s="90" t="s">
        <v>1094</v>
      </c>
    </row>
    <row r="173" spans="1:62" s="90" customFormat="1" ht="12.75">
      <c r="A173" s="83" t="s">
        <v>1095</v>
      </c>
      <c r="B173" s="84">
        <v>39</v>
      </c>
      <c r="C173" s="84" t="s">
        <v>1096</v>
      </c>
      <c r="D173" s="84" t="s">
        <v>1097</v>
      </c>
      <c r="E173" s="85">
        <v>1737000</v>
      </c>
      <c r="F173" s="85"/>
      <c r="G173" s="85">
        <v>55420</v>
      </c>
      <c r="H173" s="86">
        <v>44334</v>
      </c>
      <c r="I173" s="85">
        <v>740624</v>
      </c>
      <c r="J173" s="84"/>
      <c r="K173" s="87" t="str">
        <f t="shared" ca="1" si="0"/>
        <v/>
      </c>
      <c r="L173" s="88"/>
      <c r="M173" s="84" t="str">
        <f t="shared" ca="1" si="1"/>
        <v/>
      </c>
      <c r="N173" s="84"/>
      <c r="O173" s="89">
        <f t="shared" si="2"/>
        <v>0</v>
      </c>
      <c r="P173" s="89"/>
      <c r="Q173" s="85">
        <f t="shared" si="3"/>
        <v>0</v>
      </c>
      <c r="R173" s="85" t="str">
        <f t="shared" si="4"/>
        <v/>
      </c>
      <c r="S173" s="84"/>
      <c r="T173" s="85"/>
      <c r="U173" s="85"/>
      <c r="V173" s="84"/>
      <c r="W173" s="85"/>
      <c r="X173" s="85"/>
      <c r="Y173" s="84"/>
      <c r="Z173" s="85"/>
      <c r="AA173" s="85"/>
      <c r="AB173" s="84"/>
      <c r="AC173" s="85"/>
      <c r="AD173" s="85"/>
      <c r="AE173" s="84"/>
      <c r="AF173" s="85"/>
      <c r="AG173" s="85"/>
      <c r="AH173" s="84"/>
      <c r="AI173" s="85"/>
      <c r="AJ173" s="85"/>
      <c r="AK173" s="84"/>
      <c r="AL173" s="85"/>
      <c r="AM173" s="85"/>
      <c r="AN173" s="84"/>
      <c r="AO173" s="85"/>
      <c r="AP173" s="85"/>
      <c r="AQ173" s="84"/>
      <c r="AR173" s="85"/>
      <c r="AS173" s="85"/>
      <c r="AT173" s="84"/>
      <c r="AU173" s="85"/>
      <c r="AV173" s="85"/>
      <c r="AW173" s="84"/>
      <c r="AX173" s="85"/>
      <c r="AY173" s="85"/>
      <c r="AZ173" s="84"/>
      <c r="BA173" s="85"/>
      <c r="BB173" s="85"/>
      <c r="BC173" s="84"/>
      <c r="BD173" s="27"/>
      <c r="BJ173" s="90" t="s">
        <v>1098</v>
      </c>
    </row>
    <row r="174" spans="1:62" s="90" customFormat="1" ht="12.75">
      <c r="A174" s="83" t="s">
        <v>1099</v>
      </c>
      <c r="B174" s="84">
        <v>40</v>
      </c>
      <c r="C174" s="84" t="s">
        <v>1100</v>
      </c>
      <c r="D174" s="84" t="s">
        <v>1101</v>
      </c>
      <c r="E174" s="85">
        <v>691000</v>
      </c>
      <c r="F174" s="85"/>
      <c r="G174" s="85">
        <v>22050</v>
      </c>
      <c r="H174" s="86">
        <v>44334</v>
      </c>
      <c r="I174" s="85">
        <v>294655</v>
      </c>
      <c r="J174" s="84"/>
      <c r="K174" s="87" t="str">
        <f t="shared" ca="1" si="0"/>
        <v/>
      </c>
      <c r="L174" s="88"/>
      <c r="M174" s="84" t="str">
        <f t="shared" ca="1" si="1"/>
        <v/>
      </c>
      <c r="N174" s="84"/>
      <c r="O174" s="89">
        <f t="shared" si="2"/>
        <v>0</v>
      </c>
      <c r="P174" s="89"/>
      <c r="Q174" s="85">
        <f t="shared" si="3"/>
        <v>0</v>
      </c>
      <c r="R174" s="85" t="str">
        <f t="shared" si="4"/>
        <v/>
      </c>
      <c r="S174" s="84"/>
      <c r="T174" s="85"/>
      <c r="U174" s="85"/>
      <c r="V174" s="84"/>
      <c r="W174" s="85"/>
      <c r="X174" s="85"/>
      <c r="Y174" s="84"/>
      <c r="Z174" s="85"/>
      <c r="AA174" s="85"/>
      <c r="AB174" s="84"/>
      <c r="AC174" s="85"/>
      <c r="AD174" s="85"/>
      <c r="AE174" s="84"/>
      <c r="AF174" s="85"/>
      <c r="AG174" s="85"/>
      <c r="AH174" s="84"/>
      <c r="AI174" s="85"/>
      <c r="AJ174" s="85"/>
      <c r="AK174" s="84"/>
      <c r="AL174" s="85"/>
      <c r="AM174" s="85"/>
      <c r="AN174" s="84"/>
      <c r="AO174" s="85"/>
      <c r="AP174" s="85"/>
      <c r="AQ174" s="84"/>
      <c r="AR174" s="85"/>
      <c r="AS174" s="85"/>
      <c r="AT174" s="84"/>
      <c r="AU174" s="85"/>
      <c r="AV174" s="85"/>
      <c r="AW174" s="84"/>
      <c r="AX174" s="85"/>
      <c r="AY174" s="85"/>
      <c r="AZ174" s="84"/>
      <c r="BA174" s="85"/>
      <c r="BB174" s="85"/>
      <c r="BC174" s="84"/>
      <c r="BD174" s="27"/>
      <c r="BJ174" s="90" t="s">
        <v>1102</v>
      </c>
    </row>
    <row r="175" spans="1:62" s="90" customFormat="1" ht="12.75">
      <c r="A175" s="83" t="s">
        <v>1103</v>
      </c>
      <c r="B175" s="84">
        <v>41</v>
      </c>
      <c r="C175" s="84" t="s">
        <v>1104</v>
      </c>
      <c r="D175" s="84" t="s">
        <v>1105</v>
      </c>
      <c r="E175" s="85">
        <v>439850</v>
      </c>
      <c r="F175" s="85"/>
      <c r="G175" s="85">
        <v>14035</v>
      </c>
      <c r="H175" s="86">
        <v>44334</v>
      </c>
      <c r="I175" s="85">
        <v>187555</v>
      </c>
      <c r="J175" s="84"/>
      <c r="K175" s="87" t="str">
        <f t="shared" ca="1" si="0"/>
        <v/>
      </c>
      <c r="L175" s="88"/>
      <c r="M175" s="84" t="str">
        <f t="shared" ca="1" si="1"/>
        <v/>
      </c>
      <c r="N175" s="84"/>
      <c r="O175" s="89">
        <f t="shared" si="2"/>
        <v>0</v>
      </c>
      <c r="P175" s="89"/>
      <c r="Q175" s="85">
        <f t="shared" si="3"/>
        <v>0</v>
      </c>
      <c r="R175" s="85" t="str">
        <f t="shared" si="4"/>
        <v/>
      </c>
      <c r="S175" s="84"/>
      <c r="T175" s="85"/>
      <c r="U175" s="85"/>
      <c r="V175" s="84"/>
      <c r="W175" s="85"/>
      <c r="X175" s="85"/>
      <c r="Y175" s="84"/>
      <c r="Z175" s="85"/>
      <c r="AA175" s="85"/>
      <c r="AB175" s="84"/>
      <c r="AC175" s="85"/>
      <c r="AD175" s="85"/>
      <c r="AE175" s="84"/>
      <c r="AF175" s="85"/>
      <c r="AG175" s="85"/>
      <c r="AH175" s="84"/>
      <c r="AI175" s="85"/>
      <c r="AJ175" s="85"/>
      <c r="AK175" s="84"/>
      <c r="AL175" s="85"/>
      <c r="AM175" s="85"/>
      <c r="AN175" s="84"/>
      <c r="AO175" s="85"/>
      <c r="AP175" s="85"/>
      <c r="AQ175" s="84"/>
      <c r="AR175" s="85"/>
      <c r="AS175" s="85"/>
      <c r="AT175" s="84"/>
      <c r="AU175" s="85"/>
      <c r="AV175" s="85"/>
      <c r="AW175" s="84"/>
      <c r="AX175" s="85"/>
      <c r="AY175" s="85"/>
      <c r="AZ175" s="84"/>
      <c r="BA175" s="85"/>
      <c r="BB175" s="85"/>
      <c r="BC175" s="84"/>
      <c r="BD175" s="27"/>
      <c r="BJ175" s="90" t="s">
        <v>1106</v>
      </c>
    </row>
    <row r="176" spans="1:62" s="90" customFormat="1" ht="12.75">
      <c r="A176" s="83" t="s">
        <v>1107</v>
      </c>
      <c r="B176" s="84">
        <v>42</v>
      </c>
      <c r="C176" s="84" t="s">
        <v>1108</v>
      </c>
      <c r="D176" s="84" t="s">
        <v>1109</v>
      </c>
      <c r="E176" s="85">
        <v>896000</v>
      </c>
      <c r="F176" s="85"/>
      <c r="G176" s="85">
        <v>28790</v>
      </c>
      <c r="H176" s="86">
        <v>44252</v>
      </c>
      <c r="I176" s="85">
        <v>304369</v>
      </c>
      <c r="J176" s="84"/>
      <c r="K176" s="87" t="str">
        <f t="shared" ca="1" si="0"/>
        <v/>
      </c>
      <c r="L176" s="88"/>
      <c r="M176" s="84" t="str">
        <f t="shared" ca="1" si="1"/>
        <v/>
      </c>
      <c r="N176" s="84"/>
      <c r="O176" s="89">
        <f t="shared" si="2"/>
        <v>0</v>
      </c>
      <c r="P176" s="89"/>
      <c r="Q176" s="85">
        <f t="shared" si="3"/>
        <v>0</v>
      </c>
      <c r="R176" s="85" t="str">
        <f t="shared" si="4"/>
        <v/>
      </c>
      <c r="S176" s="84"/>
      <c r="T176" s="85"/>
      <c r="U176" s="85"/>
      <c r="V176" s="84"/>
      <c r="W176" s="85"/>
      <c r="X176" s="85"/>
      <c r="Y176" s="84"/>
      <c r="Z176" s="85"/>
      <c r="AA176" s="85"/>
      <c r="AB176" s="84"/>
      <c r="AC176" s="85"/>
      <c r="AD176" s="85"/>
      <c r="AE176" s="84"/>
      <c r="AF176" s="85"/>
      <c r="AG176" s="85"/>
      <c r="AH176" s="84"/>
      <c r="AI176" s="85"/>
      <c r="AJ176" s="85"/>
      <c r="AK176" s="84"/>
      <c r="AL176" s="85"/>
      <c r="AM176" s="85"/>
      <c r="AN176" s="84"/>
      <c r="AO176" s="85"/>
      <c r="AP176" s="85"/>
      <c r="AQ176" s="84"/>
      <c r="AR176" s="85"/>
      <c r="AS176" s="85"/>
      <c r="AT176" s="84"/>
      <c r="AU176" s="85"/>
      <c r="AV176" s="85"/>
      <c r="AW176" s="84"/>
      <c r="AX176" s="85"/>
      <c r="AY176" s="85"/>
      <c r="AZ176" s="84"/>
      <c r="BA176" s="85"/>
      <c r="BB176" s="85"/>
      <c r="BC176" s="84"/>
      <c r="BD176" s="27"/>
      <c r="BJ176" s="90" t="s">
        <v>1110</v>
      </c>
    </row>
    <row r="177" spans="1:62" s="90" customFormat="1" ht="12.75">
      <c r="A177" s="83" t="s">
        <v>1111</v>
      </c>
      <c r="B177" s="84">
        <v>43</v>
      </c>
      <c r="C177" s="84" t="s">
        <v>1112</v>
      </c>
      <c r="D177" s="84" t="s">
        <v>1113</v>
      </c>
      <c r="E177" s="85">
        <v>6500000</v>
      </c>
      <c r="F177" s="85"/>
      <c r="G177" s="85">
        <v>206080</v>
      </c>
      <c r="H177" s="86">
        <v>44249</v>
      </c>
      <c r="I177" s="85">
        <v>2184037</v>
      </c>
      <c r="J177" s="84"/>
      <c r="K177" s="87" t="str">
        <f t="shared" ca="1" si="0"/>
        <v/>
      </c>
      <c r="L177" s="88"/>
      <c r="M177" s="84" t="str">
        <f t="shared" ca="1" si="1"/>
        <v/>
      </c>
      <c r="N177" s="84"/>
      <c r="O177" s="89">
        <f t="shared" si="2"/>
        <v>0</v>
      </c>
      <c r="P177" s="89"/>
      <c r="Q177" s="85">
        <f t="shared" si="3"/>
        <v>0</v>
      </c>
      <c r="R177" s="85" t="str">
        <f t="shared" si="4"/>
        <v/>
      </c>
      <c r="S177" s="84"/>
      <c r="T177" s="85"/>
      <c r="U177" s="85"/>
      <c r="V177" s="84"/>
      <c r="W177" s="85"/>
      <c r="X177" s="85"/>
      <c r="Y177" s="84"/>
      <c r="Z177" s="85"/>
      <c r="AA177" s="85"/>
      <c r="AB177" s="84"/>
      <c r="AC177" s="85"/>
      <c r="AD177" s="85"/>
      <c r="AE177" s="84"/>
      <c r="AF177" s="85"/>
      <c r="AG177" s="85"/>
      <c r="AH177" s="84"/>
      <c r="AI177" s="85"/>
      <c r="AJ177" s="85"/>
      <c r="AK177" s="84"/>
      <c r="AL177" s="85"/>
      <c r="AM177" s="85"/>
      <c r="AN177" s="84"/>
      <c r="AO177" s="85"/>
      <c r="AP177" s="85"/>
      <c r="AQ177" s="84"/>
      <c r="AR177" s="85"/>
      <c r="AS177" s="85"/>
      <c r="AT177" s="84"/>
      <c r="AU177" s="85"/>
      <c r="AV177" s="85"/>
      <c r="AW177" s="84"/>
      <c r="AX177" s="85"/>
      <c r="AY177" s="85"/>
      <c r="AZ177" s="84"/>
      <c r="BA177" s="85"/>
      <c r="BB177" s="85"/>
      <c r="BC177" s="84"/>
      <c r="BD177" s="27"/>
      <c r="BJ177" s="90" t="s">
        <v>1114</v>
      </c>
    </row>
    <row r="178" spans="1:62" s="90" customFormat="1" ht="12.75">
      <c r="A178" s="83" t="s">
        <v>1115</v>
      </c>
      <c r="B178" s="84">
        <v>44</v>
      </c>
      <c r="C178" s="84" t="s">
        <v>1116</v>
      </c>
      <c r="D178" s="84" t="s">
        <v>1117</v>
      </c>
      <c r="E178" s="85">
        <v>4242000</v>
      </c>
      <c r="F178" s="85"/>
      <c r="G178" s="85">
        <v>135335</v>
      </c>
      <c r="H178" s="86">
        <v>44249</v>
      </c>
      <c r="I178" s="85">
        <v>1434279</v>
      </c>
      <c r="J178" s="84"/>
      <c r="K178" s="87" t="str">
        <f t="shared" ca="1" si="0"/>
        <v/>
      </c>
      <c r="L178" s="88"/>
      <c r="M178" s="84" t="str">
        <f t="shared" ca="1" si="1"/>
        <v/>
      </c>
      <c r="N178" s="84"/>
      <c r="O178" s="89">
        <f t="shared" si="2"/>
        <v>0</v>
      </c>
      <c r="P178" s="89"/>
      <c r="Q178" s="85">
        <f t="shared" si="3"/>
        <v>0</v>
      </c>
      <c r="R178" s="85" t="str">
        <f t="shared" si="4"/>
        <v/>
      </c>
      <c r="S178" s="84"/>
      <c r="T178" s="85"/>
      <c r="U178" s="85"/>
      <c r="V178" s="84"/>
      <c r="W178" s="85"/>
      <c r="X178" s="85"/>
      <c r="Y178" s="84"/>
      <c r="Z178" s="85"/>
      <c r="AA178" s="85"/>
      <c r="AB178" s="84"/>
      <c r="AC178" s="85"/>
      <c r="AD178" s="85"/>
      <c r="AE178" s="84"/>
      <c r="AF178" s="85"/>
      <c r="AG178" s="85"/>
      <c r="AH178" s="84"/>
      <c r="AI178" s="85"/>
      <c r="AJ178" s="85"/>
      <c r="AK178" s="84"/>
      <c r="AL178" s="85"/>
      <c r="AM178" s="85"/>
      <c r="AN178" s="84"/>
      <c r="AO178" s="85"/>
      <c r="AP178" s="85"/>
      <c r="AQ178" s="84"/>
      <c r="AR178" s="85"/>
      <c r="AS178" s="85"/>
      <c r="AT178" s="84"/>
      <c r="AU178" s="85"/>
      <c r="AV178" s="85"/>
      <c r="AW178" s="84"/>
      <c r="AX178" s="85"/>
      <c r="AY178" s="85"/>
      <c r="AZ178" s="84"/>
      <c r="BA178" s="85"/>
      <c r="BB178" s="85"/>
      <c r="BC178" s="84"/>
      <c r="BD178" s="27"/>
      <c r="BJ178" s="90" t="s">
        <v>1118</v>
      </c>
    </row>
    <row r="179" spans="1:62" s="90" customFormat="1" ht="12.75">
      <c r="A179" s="83" t="s">
        <v>1119</v>
      </c>
      <c r="B179" s="84">
        <v>45</v>
      </c>
      <c r="C179" s="84" t="s">
        <v>1120</v>
      </c>
      <c r="D179" s="84" t="s">
        <v>1121</v>
      </c>
      <c r="E179" s="85">
        <v>1051000</v>
      </c>
      <c r="F179" s="85"/>
      <c r="G179" s="85">
        <v>33566</v>
      </c>
      <c r="H179" s="86">
        <v>44226</v>
      </c>
      <c r="I179" s="85">
        <v>355374</v>
      </c>
      <c r="J179" s="84">
        <v>35</v>
      </c>
      <c r="K179" s="87">
        <f t="shared" ca="1" si="0"/>
        <v>2.2333333333333343</v>
      </c>
      <c r="L179" s="88"/>
      <c r="M179" s="84">
        <f t="shared" ca="1" si="1"/>
        <v>33566</v>
      </c>
      <c r="N179" s="84"/>
      <c r="O179" s="89">
        <f t="shared" si="2"/>
        <v>0</v>
      </c>
      <c r="P179" s="89"/>
      <c r="Q179" s="85">
        <f t="shared" si="3"/>
        <v>0</v>
      </c>
      <c r="R179" s="85" t="str">
        <f t="shared" si="4"/>
        <v/>
      </c>
      <c r="S179" s="84"/>
      <c r="T179" s="85"/>
      <c r="U179" s="85"/>
      <c r="V179" s="84"/>
      <c r="W179" s="85"/>
      <c r="X179" s="85"/>
      <c r="Y179" s="84"/>
      <c r="Z179" s="85"/>
      <c r="AA179" s="85"/>
      <c r="AB179" s="84"/>
      <c r="AC179" s="85"/>
      <c r="AD179" s="85"/>
      <c r="AE179" s="84"/>
      <c r="AF179" s="85"/>
      <c r="AG179" s="85"/>
      <c r="AH179" s="84"/>
      <c r="AI179" s="85"/>
      <c r="AJ179" s="85"/>
      <c r="AK179" s="84"/>
      <c r="AL179" s="85"/>
      <c r="AM179" s="85"/>
      <c r="AN179" s="84"/>
      <c r="AO179" s="85"/>
      <c r="AP179" s="85"/>
      <c r="AQ179" s="84"/>
      <c r="AR179" s="85"/>
      <c r="AS179" s="85"/>
      <c r="AT179" s="84"/>
      <c r="AU179" s="85"/>
      <c r="AV179" s="85"/>
      <c r="AW179" s="84"/>
      <c r="AX179" s="85"/>
      <c r="AY179" s="85"/>
      <c r="AZ179" s="84"/>
      <c r="BA179" s="85"/>
      <c r="BB179" s="85"/>
      <c r="BC179" s="84"/>
      <c r="BD179" s="27"/>
      <c r="BJ179" s="90" t="s">
        <v>1122</v>
      </c>
    </row>
    <row r="180" spans="1:62" s="90" customFormat="1" ht="12.75">
      <c r="A180" s="83" t="s">
        <v>1123</v>
      </c>
      <c r="B180" s="84">
        <v>46</v>
      </c>
      <c r="C180" s="84" t="s">
        <v>1124</v>
      </c>
      <c r="D180" s="84" t="s">
        <v>1125</v>
      </c>
      <c r="E180" s="85">
        <v>2272000</v>
      </c>
      <c r="F180" s="85"/>
      <c r="G180" s="85">
        <v>72560</v>
      </c>
      <c r="H180" s="86">
        <v>44226</v>
      </c>
      <c r="I180" s="85">
        <v>768262</v>
      </c>
      <c r="J180" s="84">
        <v>35</v>
      </c>
      <c r="K180" s="87">
        <f t="shared" ca="1" si="0"/>
        <v>2.2333333333333343</v>
      </c>
      <c r="L180" s="88"/>
      <c r="M180" s="84">
        <f t="shared" ca="1" si="1"/>
        <v>72560</v>
      </c>
      <c r="N180" s="84"/>
      <c r="O180" s="89">
        <f t="shared" si="2"/>
        <v>0</v>
      </c>
      <c r="P180" s="89"/>
      <c r="Q180" s="85">
        <f t="shared" si="3"/>
        <v>0</v>
      </c>
      <c r="R180" s="85" t="str">
        <f t="shared" si="4"/>
        <v/>
      </c>
      <c r="S180" s="84"/>
      <c r="T180" s="85"/>
      <c r="U180" s="85"/>
      <c r="V180" s="84"/>
      <c r="W180" s="85"/>
      <c r="X180" s="85"/>
      <c r="Y180" s="84"/>
      <c r="Z180" s="85"/>
      <c r="AA180" s="85"/>
      <c r="AB180" s="84"/>
      <c r="AC180" s="85"/>
      <c r="AD180" s="85"/>
      <c r="AE180" s="84"/>
      <c r="AF180" s="85"/>
      <c r="AG180" s="85"/>
      <c r="AH180" s="84"/>
      <c r="AI180" s="85"/>
      <c r="AJ180" s="85"/>
      <c r="AK180" s="84"/>
      <c r="AL180" s="85"/>
      <c r="AM180" s="85"/>
      <c r="AN180" s="84"/>
      <c r="AO180" s="85"/>
      <c r="AP180" s="85"/>
      <c r="AQ180" s="84"/>
      <c r="AR180" s="85"/>
      <c r="AS180" s="85"/>
      <c r="AT180" s="84"/>
      <c r="AU180" s="85"/>
      <c r="AV180" s="85"/>
      <c r="AW180" s="84"/>
      <c r="AX180" s="85"/>
      <c r="AY180" s="85"/>
      <c r="AZ180" s="84"/>
      <c r="BA180" s="85"/>
      <c r="BB180" s="85"/>
      <c r="BC180" s="84"/>
      <c r="BD180" s="27"/>
      <c r="BJ180" s="90" t="s">
        <v>1126</v>
      </c>
    </row>
    <row r="181" spans="1:62" s="90" customFormat="1" ht="12.75">
      <c r="A181" s="83" t="s">
        <v>1127</v>
      </c>
      <c r="B181" s="84">
        <v>47</v>
      </c>
      <c r="C181" s="84" t="s">
        <v>1128</v>
      </c>
      <c r="D181" s="84" t="s">
        <v>1129</v>
      </c>
      <c r="E181" s="85">
        <v>3394500</v>
      </c>
      <c r="F181" s="85"/>
      <c r="G181" s="85">
        <v>108439</v>
      </c>
      <c r="H181" s="86">
        <v>44226</v>
      </c>
      <c r="I181" s="85">
        <v>1250478</v>
      </c>
      <c r="J181" s="84">
        <v>35</v>
      </c>
      <c r="K181" s="87">
        <f t="shared" ca="1" si="0"/>
        <v>2.2333333333333343</v>
      </c>
      <c r="L181" s="88"/>
      <c r="M181" s="84">
        <f t="shared" ca="1" si="1"/>
        <v>108439</v>
      </c>
      <c r="N181" s="84"/>
      <c r="O181" s="89">
        <f t="shared" si="2"/>
        <v>0</v>
      </c>
      <c r="P181" s="89"/>
      <c r="Q181" s="85">
        <f t="shared" si="3"/>
        <v>0</v>
      </c>
      <c r="R181" s="85" t="str">
        <f t="shared" si="4"/>
        <v/>
      </c>
      <c r="S181" s="84"/>
      <c r="T181" s="85"/>
      <c r="U181" s="85"/>
      <c r="V181" s="84"/>
      <c r="W181" s="85"/>
      <c r="X181" s="85"/>
      <c r="Y181" s="84"/>
      <c r="Z181" s="85"/>
      <c r="AA181" s="85"/>
      <c r="AB181" s="84"/>
      <c r="AC181" s="85"/>
      <c r="AD181" s="85"/>
      <c r="AE181" s="84"/>
      <c r="AF181" s="85"/>
      <c r="AG181" s="85"/>
      <c r="AH181" s="84"/>
      <c r="AI181" s="85"/>
      <c r="AJ181" s="85"/>
      <c r="AK181" s="84"/>
      <c r="AL181" s="85"/>
      <c r="AM181" s="85"/>
      <c r="AN181" s="84"/>
      <c r="AO181" s="85"/>
      <c r="AP181" s="85"/>
      <c r="AQ181" s="84"/>
      <c r="AR181" s="85"/>
      <c r="AS181" s="85"/>
      <c r="AT181" s="84"/>
      <c r="AU181" s="85"/>
      <c r="AV181" s="85"/>
      <c r="AW181" s="84"/>
      <c r="AX181" s="85"/>
      <c r="AY181" s="85"/>
      <c r="AZ181" s="84"/>
      <c r="BA181" s="85"/>
      <c r="BB181" s="85"/>
      <c r="BC181" s="84" t="s">
        <v>1130</v>
      </c>
      <c r="BD181" s="27"/>
      <c r="BJ181" s="90" t="s">
        <v>1131</v>
      </c>
    </row>
    <row r="182" spans="1:62" s="90" customFormat="1" ht="12.75">
      <c r="A182" s="83" t="s">
        <v>1132</v>
      </c>
      <c r="B182" s="84">
        <v>48</v>
      </c>
      <c r="C182" s="84" t="s">
        <v>1133</v>
      </c>
      <c r="D182" s="84" t="s">
        <v>1134</v>
      </c>
      <c r="E182" s="85">
        <v>1024000</v>
      </c>
      <c r="F182" s="85"/>
      <c r="G182" s="85">
        <v>32715</v>
      </c>
      <c r="H182" s="86">
        <v>44201</v>
      </c>
      <c r="I182" s="85">
        <v>316026</v>
      </c>
      <c r="J182" s="84"/>
      <c r="K182" s="87" t="str">
        <f t="shared" ca="1" si="0"/>
        <v/>
      </c>
      <c r="L182" s="88"/>
      <c r="M182" s="84" t="str">
        <f t="shared" ca="1" si="1"/>
        <v/>
      </c>
      <c r="N182" s="84"/>
      <c r="O182" s="89">
        <f t="shared" si="2"/>
        <v>0</v>
      </c>
      <c r="P182" s="89"/>
      <c r="Q182" s="85">
        <f t="shared" si="3"/>
        <v>0</v>
      </c>
      <c r="R182" s="85" t="str">
        <f t="shared" si="4"/>
        <v/>
      </c>
      <c r="S182" s="84"/>
      <c r="T182" s="85"/>
      <c r="U182" s="85"/>
      <c r="V182" s="84"/>
      <c r="W182" s="85"/>
      <c r="X182" s="85"/>
      <c r="Y182" s="84"/>
      <c r="Z182" s="85"/>
      <c r="AA182" s="85"/>
      <c r="AB182" s="84"/>
      <c r="AC182" s="85"/>
      <c r="AD182" s="85"/>
      <c r="AE182" s="84"/>
      <c r="AF182" s="85"/>
      <c r="AG182" s="85"/>
      <c r="AH182" s="84"/>
      <c r="AI182" s="85"/>
      <c r="AJ182" s="85"/>
      <c r="AK182" s="84"/>
      <c r="AL182" s="85"/>
      <c r="AM182" s="85"/>
      <c r="AN182" s="84"/>
      <c r="AO182" s="85"/>
      <c r="AP182" s="85"/>
      <c r="AQ182" s="84"/>
      <c r="AR182" s="85"/>
      <c r="AS182" s="85"/>
      <c r="AT182" s="84"/>
      <c r="AU182" s="85"/>
      <c r="AV182" s="85"/>
      <c r="AW182" s="84"/>
      <c r="AX182" s="85"/>
      <c r="AY182" s="85"/>
      <c r="AZ182" s="84"/>
      <c r="BA182" s="85"/>
      <c r="BB182" s="85"/>
      <c r="BC182" s="84"/>
      <c r="BD182" s="27"/>
      <c r="BJ182" s="90" t="s">
        <v>1135</v>
      </c>
    </row>
    <row r="183" spans="1:62" s="90" customFormat="1" ht="12.75">
      <c r="A183" s="83" t="s">
        <v>1136</v>
      </c>
      <c r="B183" s="84">
        <v>49</v>
      </c>
      <c r="C183" s="84" t="s">
        <v>1137</v>
      </c>
      <c r="D183" s="84" t="s">
        <v>1138</v>
      </c>
      <c r="E183" s="85">
        <v>660000</v>
      </c>
      <c r="F183" s="85"/>
      <c r="G183" s="85">
        <v>21280</v>
      </c>
      <c r="H183" s="86">
        <v>44197</v>
      </c>
      <c r="I183" s="85">
        <v>204972</v>
      </c>
      <c r="J183" s="84"/>
      <c r="K183" s="87" t="str">
        <f t="shared" ca="1" si="0"/>
        <v/>
      </c>
      <c r="L183" s="88"/>
      <c r="M183" s="84" t="str">
        <f t="shared" ca="1" si="1"/>
        <v/>
      </c>
      <c r="N183" s="84"/>
      <c r="O183" s="89">
        <f t="shared" si="2"/>
        <v>0</v>
      </c>
      <c r="P183" s="89"/>
      <c r="Q183" s="85">
        <f t="shared" si="3"/>
        <v>0</v>
      </c>
      <c r="R183" s="85" t="str">
        <f t="shared" si="4"/>
        <v/>
      </c>
      <c r="S183" s="84"/>
      <c r="T183" s="85"/>
      <c r="U183" s="85"/>
      <c r="V183" s="84"/>
      <c r="W183" s="85"/>
      <c r="X183" s="85"/>
      <c r="Y183" s="84"/>
      <c r="Z183" s="85"/>
      <c r="AA183" s="85"/>
      <c r="AB183" s="84"/>
      <c r="AC183" s="85"/>
      <c r="AD183" s="85"/>
      <c r="AE183" s="84"/>
      <c r="AF183" s="85"/>
      <c r="AG183" s="85"/>
      <c r="AH183" s="84"/>
      <c r="AI183" s="85"/>
      <c r="AJ183" s="85"/>
      <c r="AK183" s="84"/>
      <c r="AL183" s="85"/>
      <c r="AM183" s="85"/>
      <c r="AN183" s="84"/>
      <c r="AO183" s="85"/>
      <c r="AP183" s="85"/>
      <c r="AQ183" s="84"/>
      <c r="AR183" s="85"/>
      <c r="AS183" s="85"/>
      <c r="AT183" s="84"/>
      <c r="AU183" s="85"/>
      <c r="AV183" s="85"/>
      <c r="AW183" s="84"/>
      <c r="AX183" s="85"/>
      <c r="AY183" s="85"/>
      <c r="AZ183" s="84"/>
      <c r="BA183" s="85"/>
      <c r="BB183" s="85"/>
      <c r="BC183" s="84"/>
      <c r="BD183" s="27"/>
      <c r="BJ183" s="90" t="s">
        <v>1139</v>
      </c>
    </row>
    <row r="184" spans="1:62" s="90" customFormat="1" ht="12.75">
      <c r="A184" s="83" t="s">
        <v>1140</v>
      </c>
      <c r="B184" s="84">
        <v>50</v>
      </c>
      <c r="C184" s="84" t="s">
        <v>1141</v>
      </c>
      <c r="D184" s="84" t="s">
        <v>1142</v>
      </c>
      <c r="E184" s="85">
        <v>578000</v>
      </c>
      <c r="F184" s="85"/>
      <c r="G184" s="85">
        <v>18700</v>
      </c>
      <c r="H184" s="86">
        <v>44197</v>
      </c>
      <c r="I184" s="85">
        <v>179928</v>
      </c>
      <c r="J184" s="84"/>
      <c r="K184" s="87" t="str">
        <f t="shared" ca="1" si="0"/>
        <v/>
      </c>
      <c r="L184" s="88"/>
      <c r="M184" s="84" t="str">
        <f t="shared" ca="1" si="1"/>
        <v/>
      </c>
      <c r="N184" s="84"/>
      <c r="O184" s="89">
        <f t="shared" si="2"/>
        <v>0</v>
      </c>
      <c r="P184" s="89"/>
      <c r="Q184" s="85">
        <f t="shared" si="3"/>
        <v>0</v>
      </c>
      <c r="R184" s="85" t="str">
        <f t="shared" si="4"/>
        <v/>
      </c>
      <c r="S184" s="84"/>
      <c r="T184" s="85"/>
      <c r="U184" s="85"/>
      <c r="V184" s="84"/>
      <c r="W184" s="85"/>
      <c r="X184" s="85"/>
      <c r="Y184" s="84"/>
      <c r="Z184" s="85"/>
      <c r="AA184" s="85"/>
      <c r="AB184" s="84"/>
      <c r="AC184" s="85"/>
      <c r="AD184" s="85"/>
      <c r="AE184" s="84"/>
      <c r="AF184" s="85"/>
      <c r="AG184" s="85"/>
      <c r="AH184" s="84"/>
      <c r="AI184" s="85"/>
      <c r="AJ184" s="85"/>
      <c r="AK184" s="84"/>
      <c r="AL184" s="85"/>
      <c r="AM184" s="85"/>
      <c r="AN184" s="84"/>
      <c r="AO184" s="85"/>
      <c r="AP184" s="85"/>
      <c r="AQ184" s="84"/>
      <c r="AR184" s="85"/>
      <c r="AS184" s="85"/>
      <c r="AT184" s="84"/>
      <c r="AU184" s="85"/>
      <c r="AV184" s="85"/>
      <c r="AW184" s="84"/>
      <c r="AX184" s="85"/>
      <c r="AY184" s="85"/>
      <c r="AZ184" s="84"/>
      <c r="BA184" s="85"/>
      <c r="BB184" s="85"/>
      <c r="BC184" s="84"/>
      <c r="BD184" s="27"/>
      <c r="BJ184" s="90" t="s">
        <v>1143</v>
      </c>
    </row>
    <row r="185" spans="1:62" s="90" customFormat="1" ht="12.75">
      <c r="A185" s="83" t="s">
        <v>1144</v>
      </c>
      <c r="B185" s="84">
        <v>51</v>
      </c>
      <c r="C185" s="84" t="s">
        <v>1145</v>
      </c>
      <c r="D185" s="84" t="s">
        <v>1146</v>
      </c>
      <c r="E185" s="85">
        <v>3387000</v>
      </c>
      <c r="F185" s="85"/>
      <c r="G185" s="85">
        <v>107535</v>
      </c>
      <c r="H185" s="86">
        <v>44196</v>
      </c>
      <c r="I185" s="85">
        <v>1038762</v>
      </c>
      <c r="J185" s="84"/>
      <c r="K185" s="87" t="str">
        <f t="shared" ca="1" si="0"/>
        <v/>
      </c>
      <c r="L185" s="88"/>
      <c r="M185" s="84" t="str">
        <f t="shared" ca="1" si="1"/>
        <v/>
      </c>
      <c r="N185" s="84"/>
      <c r="O185" s="89">
        <f t="shared" si="2"/>
        <v>0</v>
      </c>
      <c r="P185" s="89"/>
      <c r="Q185" s="85">
        <f t="shared" si="3"/>
        <v>0</v>
      </c>
      <c r="R185" s="85" t="str">
        <f t="shared" si="4"/>
        <v/>
      </c>
      <c r="S185" s="84"/>
      <c r="T185" s="85"/>
      <c r="U185" s="85"/>
      <c r="V185" s="84"/>
      <c r="W185" s="85"/>
      <c r="X185" s="85"/>
      <c r="Y185" s="84"/>
      <c r="Z185" s="85"/>
      <c r="AA185" s="85"/>
      <c r="AB185" s="84"/>
      <c r="AC185" s="85"/>
      <c r="AD185" s="85"/>
      <c r="AE185" s="84"/>
      <c r="AF185" s="85"/>
      <c r="AG185" s="85"/>
      <c r="AH185" s="84"/>
      <c r="AI185" s="85"/>
      <c r="AJ185" s="85"/>
      <c r="AK185" s="84"/>
      <c r="AL185" s="85"/>
      <c r="AM185" s="85"/>
      <c r="AN185" s="84"/>
      <c r="AO185" s="85"/>
      <c r="AP185" s="85"/>
      <c r="AQ185" s="84"/>
      <c r="AR185" s="85"/>
      <c r="AS185" s="85"/>
      <c r="AT185" s="84"/>
      <c r="AU185" s="85"/>
      <c r="AV185" s="85"/>
      <c r="AW185" s="84"/>
      <c r="AX185" s="85"/>
      <c r="AY185" s="85"/>
      <c r="AZ185" s="84"/>
      <c r="BA185" s="85"/>
      <c r="BB185" s="85"/>
      <c r="BC185" s="84"/>
      <c r="BD185" s="27"/>
      <c r="BJ185" s="90" t="s">
        <v>1147</v>
      </c>
    </row>
    <row r="186" spans="1:62" s="90" customFormat="1" ht="12.75">
      <c r="A186" s="83" t="s">
        <v>1148</v>
      </c>
      <c r="B186" s="84">
        <v>52</v>
      </c>
      <c r="C186" s="84" t="s">
        <v>1149</v>
      </c>
      <c r="D186" s="84" t="s">
        <v>1150</v>
      </c>
      <c r="E186" s="85">
        <v>2685000</v>
      </c>
      <c r="F186" s="85"/>
      <c r="G186" s="85">
        <v>85790</v>
      </c>
      <c r="H186" s="86">
        <v>44196</v>
      </c>
      <c r="I186" s="85">
        <v>828707</v>
      </c>
      <c r="J186" s="84"/>
      <c r="K186" s="87" t="str">
        <f t="shared" ca="1" si="0"/>
        <v/>
      </c>
      <c r="L186" s="88"/>
      <c r="M186" s="84" t="str">
        <f t="shared" ca="1" si="1"/>
        <v/>
      </c>
      <c r="N186" s="84"/>
      <c r="O186" s="89">
        <f t="shared" si="2"/>
        <v>0</v>
      </c>
      <c r="P186" s="89"/>
      <c r="Q186" s="85">
        <f t="shared" si="3"/>
        <v>0</v>
      </c>
      <c r="R186" s="85" t="str">
        <f t="shared" si="4"/>
        <v/>
      </c>
      <c r="S186" s="84"/>
      <c r="T186" s="85"/>
      <c r="U186" s="85"/>
      <c r="V186" s="84"/>
      <c r="W186" s="85"/>
      <c r="X186" s="85"/>
      <c r="Y186" s="84"/>
      <c r="Z186" s="85"/>
      <c r="AA186" s="85"/>
      <c r="AB186" s="84"/>
      <c r="AC186" s="85"/>
      <c r="AD186" s="85"/>
      <c r="AE186" s="84"/>
      <c r="AF186" s="85"/>
      <c r="AG186" s="85"/>
      <c r="AH186" s="84"/>
      <c r="AI186" s="85"/>
      <c r="AJ186" s="85"/>
      <c r="AK186" s="84"/>
      <c r="AL186" s="85"/>
      <c r="AM186" s="85"/>
      <c r="AN186" s="84"/>
      <c r="AO186" s="85"/>
      <c r="AP186" s="85"/>
      <c r="AQ186" s="84"/>
      <c r="AR186" s="85"/>
      <c r="AS186" s="85"/>
      <c r="AT186" s="84"/>
      <c r="AU186" s="85"/>
      <c r="AV186" s="85"/>
      <c r="AW186" s="84"/>
      <c r="AX186" s="85"/>
      <c r="AY186" s="85"/>
      <c r="AZ186" s="84"/>
      <c r="BA186" s="85"/>
      <c r="BB186" s="85"/>
      <c r="BC186" s="84"/>
      <c r="BD186" s="27"/>
      <c r="BJ186" s="90" t="s">
        <v>1151</v>
      </c>
    </row>
    <row r="187" spans="1:62" s="90" customFormat="1" ht="12.75">
      <c r="A187" s="83" t="s">
        <v>1152</v>
      </c>
      <c r="B187" s="84">
        <v>53</v>
      </c>
      <c r="C187" s="84" t="s">
        <v>1153</v>
      </c>
      <c r="D187" s="84" t="s">
        <v>1154</v>
      </c>
      <c r="E187" s="85">
        <v>2354000</v>
      </c>
      <c r="F187" s="85"/>
      <c r="G187" s="85">
        <v>73840</v>
      </c>
      <c r="H187" s="86">
        <v>44195</v>
      </c>
      <c r="I187" s="85">
        <v>713286</v>
      </c>
      <c r="J187" s="84"/>
      <c r="K187" s="87" t="str">
        <f t="shared" ca="1" si="0"/>
        <v/>
      </c>
      <c r="L187" s="88"/>
      <c r="M187" s="84" t="str">
        <f t="shared" ca="1" si="1"/>
        <v/>
      </c>
      <c r="N187" s="84"/>
      <c r="O187" s="89">
        <f t="shared" si="2"/>
        <v>0</v>
      </c>
      <c r="P187" s="89"/>
      <c r="Q187" s="85">
        <f t="shared" si="3"/>
        <v>0</v>
      </c>
      <c r="R187" s="85" t="str">
        <f t="shared" si="4"/>
        <v/>
      </c>
      <c r="S187" s="84"/>
      <c r="T187" s="85"/>
      <c r="U187" s="85"/>
      <c r="V187" s="84"/>
      <c r="W187" s="85"/>
      <c r="X187" s="85"/>
      <c r="Y187" s="84"/>
      <c r="Z187" s="85"/>
      <c r="AA187" s="85"/>
      <c r="AB187" s="84"/>
      <c r="AC187" s="85"/>
      <c r="AD187" s="85"/>
      <c r="AE187" s="84"/>
      <c r="AF187" s="85"/>
      <c r="AG187" s="85"/>
      <c r="AH187" s="84"/>
      <c r="AI187" s="85"/>
      <c r="AJ187" s="85"/>
      <c r="AK187" s="84"/>
      <c r="AL187" s="85"/>
      <c r="AM187" s="85"/>
      <c r="AN187" s="84"/>
      <c r="AO187" s="85"/>
      <c r="AP187" s="85"/>
      <c r="AQ187" s="84"/>
      <c r="AR187" s="85"/>
      <c r="AS187" s="85"/>
      <c r="AT187" s="84"/>
      <c r="AU187" s="85"/>
      <c r="AV187" s="85"/>
      <c r="AW187" s="84"/>
      <c r="AX187" s="85"/>
      <c r="AY187" s="85"/>
      <c r="AZ187" s="84"/>
      <c r="BA187" s="85"/>
      <c r="BB187" s="85"/>
      <c r="BC187" s="84"/>
      <c r="BD187" s="27"/>
      <c r="BJ187" s="90" t="s">
        <v>1155</v>
      </c>
    </row>
    <row r="188" spans="1:62" s="90" customFormat="1" ht="12.75">
      <c r="A188" s="83" t="s">
        <v>1156</v>
      </c>
      <c r="B188" s="84">
        <v>54</v>
      </c>
      <c r="C188" s="84" t="s">
        <v>1157</v>
      </c>
      <c r="D188" s="84" t="s">
        <v>1158</v>
      </c>
      <c r="E188" s="85">
        <v>869793</v>
      </c>
      <c r="F188" s="85"/>
      <c r="G188" s="85">
        <v>27785</v>
      </c>
      <c r="H188" s="86">
        <v>44195</v>
      </c>
      <c r="I188" s="85">
        <v>268414</v>
      </c>
      <c r="J188" s="84"/>
      <c r="K188" s="87" t="str">
        <f t="shared" ca="1" si="0"/>
        <v/>
      </c>
      <c r="L188" s="88"/>
      <c r="M188" s="84" t="str">
        <f t="shared" ca="1" si="1"/>
        <v/>
      </c>
      <c r="N188" s="84"/>
      <c r="O188" s="89">
        <f t="shared" si="2"/>
        <v>0</v>
      </c>
      <c r="P188" s="89"/>
      <c r="Q188" s="85">
        <f t="shared" si="3"/>
        <v>0</v>
      </c>
      <c r="R188" s="85" t="str">
        <f t="shared" si="4"/>
        <v/>
      </c>
      <c r="S188" s="84"/>
      <c r="T188" s="85"/>
      <c r="U188" s="85"/>
      <c r="V188" s="84"/>
      <c r="W188" s="85"/>
      <c r="X188" s="85"/>
      <c r="Y188" s="84"/>
      <c r="Z188" s="85"/>
      <c r="AA188" s="85"/>
      <c r="AB188" s="84"/>
      <c r="AC188" s="85"/>
      <c r="AD188" s="85"/>
      <c r="AE188" s="84"/>
      <c r="AF188" s="85"/>
      <c r="AG188" s="85"/>
      <c r="AH188" s="84"/>
      <c r="AI188" s="85"/>
      <c r="AJ188" s="85"/>
      <c r="AK188" s="84"/>
      <c r="AL188" s="85"/>
      <c r="AM188" s="85"/>
      <c r="AN188" s="84"/>
      <c r="AO188" s="85"/>
      <c r="AP188" s="85"/>
      <c r="AQ188" s="84"/>
      <c r="AR188" s="85"/>
      <c r="AS188" s="85"/>
      <c r="AT188" s="84"/>
      <c r="AU188" s="85"/>
      <c r="AV188" s="85"/>
      <c r="AW188" s="84"/>
      <c r="AX188" s="85"/>
      <c r="AY188" s="85"/>
      <c r="AZ188" s="84"/>
      <c r="BA188" s="85"/>
      <c r="BB188" s="85"/>
      <c r="BC188" s="84"/>
      <c r="BD188" s="27"/>
      <c r="BJ188" s="90" t="s">
        <v>1159</v>
      </c>
    </row>
    <row r="189" spans="1:62" s="90" customFormat="1" ht="12.75">
      <c r="A189" s="83" t="s">
        <v>1160</v>
      </c>
      <c r="B189" s="84">
        <v>55</v>
      </c>
      <c r="C189" s="84" t="s">
        <v>1161</v>
      </c>
      <c r="D189" s="84" t="s">
        <v>1162</v>
      </c>
      <c r="E189" s="85">
        <v>5167800</v>
      </c>
      <c r="F189" s="85"/>
      <c r="G189" s="85">
        <v>165116</v>
      </c>
      <c r="H189" s="86">
        <v>44195</v>
      </c>
      <c r="I189" s="85">
        <v>1594987</v>
      </c>
      <c r="J189" s="84"/>
      <c r="K189" s="87" t="str">
        <f t="shared" ca="1" si="0"/>
        <v/>
      </c>
      <c r="L189" s="88"/>
      <c r="M189" s="84" t="str">
        <f t="shared" ca="1" si="1"/>
        <v/>
      </c>
      <c r="N189" s="84"/>
      <c r="O189" s="89">
        <f t="shared" si="2"/>
        <v>0</v>
      </c>
      <c r="P189" s="89"/>
      <c r="Q189" s="85">
        <f t="shared" si="3"/>
        <v>0</v>
      </c>
      <c r="R189" s="85" t="str">
        <f t="shared" si="4"/>
        <v/>
      </c>
      <c r="S189" s="84"/>
      <c r="T189" s="85"/>
      <c r="U189" s="85"/>
      <c r="V189" s="84"/>
      <c r="W189" s="85"/>
      <c r="X189" s="85"/>
      <c r="Y189" s="84"/>
      <c r="Z189" s="85"/>
      <c r="AA189" s="85"/>
      <c r="AB189" s="84"/>
      <c r="AC189" s="85"/>
      <c r="AD189" s="85"/>
      <c r="AE189" s="84"/>
      <c r="AF189" s="85"/>
      <c r="AG189" s="85"/>
      <c r="AH189" s="84"/>
      <c r="AI189" s="85"/>
      <c r="AJ189" s="85"/>
      <c r="AK189" s="84"/>
      <c r="AL189" s="85"/>
      <c r="AM189" s="85"/>
      <c r="AN189" s="84"/>
      <c r="AO189" s="85"/>
      <c r="AP189" s="85"/>
      <c r="AQ189" s="84"/>
      <c r="AR189" s="85"/>
      <c r="AS189" s="85"/>
      <c r="AT189" s="84"/>
      <c r="AU189" s="85"/>
      <c r="AV189" s="85"/>
      <c r="AW189" s="84"/>
      <c r="AX189" s="85"/>
      <c r="AY189" s="85"/>
      <c r="AZ189" s="84"/>
      <c r="BA189" s="85"/>
      <c r="BB189" s="85"/>
      <c r="BC189" s="84"/>
      <c r="BD189" s="27"/>
      <c r="BJ189" s="90" t="s">
        <v>1163</v>
      </c>
    </row>
    <row r="190" spans="1:62" s="90" customFormat="1" ht="12.75">
      <c r="A190" s="83" t="s">
        <v>1164</v>
      </c>
      <c r="B190" s="84">
        <v>56</v>
      </c>
      <c r="C190" s="84" t="s">
        <v>1165</v>
      </c>
      <c r="D190" s="84" t="s">
        <v>1166</v>
      </c>
      <c r="E190" s="85">
        <v>4631992</v>
      </c>
      <c r="F190" s="85"/>
      <c r="G190" s="85">
        <v>147340</v>
      </c>
      <c r="H190" s="86">
        <v>44138</v>
      </c>
      <c r="I190" s="85">
        <v>1145175</v>
      </c>
      <c r="J190" s="84"/>
      <c r="K190" s="87" t="str">
        <f t="shared" ca="1" si="0"/>
        <v/>
      </c>
      <c r="L190" s="88"/>
      <c r="M190" s="84" t="str">
        <f t="shared" ca="1" si="1"/>
        <v/>
      </c>
      <c r="N190" s="84"/>
      <c r="O190" s="89">
        <f t="shared" si="2"/>
        <v>0</v>
      </c>
      <c r="P190" s="89"/>
      <c r="Q190" s="85">
        <f t="shared" si="3"/>
        <v>0</v>
      </c>
      <c r="R190" s="85" t="str">
        <f t="shared" si="4"/>
        <v/>
      </c>
      <c r="S190" s="84"/>
      <c r="T190" s="85"/>
      <c r="U190" s="85"/>
      <c r="V190" s="84"/>
      <c r="W190" s="85"/>
      <c r="X190" s="85"/>
      <c r="Y190" s="84"/>
      <c r="Z190" s="85"/>
      <c r="AA190" s="85"/>
      <c r="AB190" s="84"/>
      <c r="AC190" s="85"/>
      <c r="AD190" s="85"/>
      <c r="AE190" s="84"/>
      <c r="AF190" s="85"/>
      <c r="AG190" s="85"/>
      <c r="AH190" s="84"/>
      <c r="AI190" s="85"/>
      <c r="AJ190" s="85"/>
      <c r="AK190" s="84"/>
      <c r="AL190" s="85"/>
      <c r="AM190" s="85"/>
      <c r="AN190" s="84"/>
      <c r="AO190" s="85"/>
      <c r="AP190" s="85"/>
      <c r="AQ190" s="84"/>
      <c r="AR190" s="85"/>
      <c r="AS190" s="85"/>
      <c r="AT190" s="84"/>
      <c r="AU190" s="85"/>
      <c r="AV190" s="85"/>
      <c r="AW190" s="84"/>
      <c r="AX190" s="85"/>
      <c r="AY190" s="85"/>
      <c r="AZ190" s="84"/>
      <c r="BA190" s="85"/>
      <c r="BB190" s="85"/>
      <c r="BC190" s="84"/>
      <c r="BD190" s="27"/>
      <c r="BJ190" s="90" t="s">
        <v>1167</v>
      </c>
    </row>
    <row r="191" spans="1:62" s="90" customFormat="1" ht="12.75">
      <c r="A191" s="83" t="s">
        <v>1168</v>
      </c>
      <c r="B191" s="84">
        <v>57</v>
      </c>
      <c r="C191" s="84" t="s">
        <v>1169</v>
      </c>
      <c r="D191" s="84" t="s">
        <v>1170</v>
      </c>
      <c r="E191" s="85">
        <v>1580000</v>
      </c>
      <c r="F191" s="85"/>
      <c r="G191" s="85">
        <v>50585</v>
      </c>
      <c r="H191" s="86">
        <v>44138</v>
      </c>
      <c r="I191" s="85">
        <v>393160</v>
      </c>
      <c r="J191" s="84"/>
      <c r="K191" s="87" t="str">
        <f t="shared" ca="1" si="0"/>
        <v/>
      </c>
      <c r="L191" s="88"/>
      <c r="M191" s="84" t="str">
        <f t="shared" ca="1" si="1"/>
        <v/>
      </c>
      <c r="N191" s="84"/>
      <c r="O191" s="89">
        <f t="shared" si="2"/>
        <v>0</v>
      </c>
      <c r="P191" s="89"/>
      <c r="Q191" s="85">
        <f t="shared" si="3"/>
        <v>0</v>
      </c>
      <c r="R191" s="85" t="str">
        <f t="shared" si="4"/>
        <v/>
      </c>
      <c r="S191" s="84"/>
      <c r="T191" s="85"/>
      <c r="U191" s="85"/>
      <c r="V191" s="84"/>
      <c r="W191" s="85"/>
      <c r="X191" s="85"/>
      <c r="Y191" s="84"/>
      <c r="Z191" s="85"/>
      <c r="AA191" s="85"/>
      <c r="AB191" s="84"/>
      <c r="AC191" s="85"/>
      <c r="AD191" s="85"/>
      <c r="AE191" s="84"/>
      <c r="AF191" s="85"/>
      <c r="AG191" s="85"/>
      <c r="AH191" s="84"/>
      <c r="AI191" s="85"/>
      <c r="AJ191" s="85"/>
      <c r="AK191" s="84"/>
      <c r="AL191" s="85"/>
      <c r="AM191" s="85"/>
      <c r="AN191" s="84"/>
      <c r="AO191" s="85"/>
      <c r="AP191" s="85"/>
      <c r="AQ191" s="84"/>
      <c r="AR191" s="85"/>
      <c r="AS191" s="85"/>
      <c r="AT191" s="84"/>
      <c r="AU191" s="85"/>
      <c r="AV191" s="85"/>
      <c r="AW191" s="84"/>
      <c r="AX191" s="85"/>
      <c r="AY191" s="85"/>
      <c r="AZ191" s="84"/>
      <c r="BA191" s="85"/>
      <c r="BB191" s="85"/>
      <c r="BC191" s="84"/>
      <c r="BD191" s="27"/>
      <c r="BJ191" s="90" t="s">
        <v>1171</v>
      </c>
    </row>
    <row r="192" spans="1:62" s="90" customFormat="1" ht="12.75">
      <c r="A192" s="83" t="s">
        <v>1172</v>
      </c>
      <c r="B192" s="84">
        <v>58</v>
      </c>
      <c r="C192" s="84" t="s">
        <v>1173</v>
      </c>
      <c r="D192" s="84" t="s">
        <v>1174</v>
      </c>
      <c r="E192" s="85">
        <v>5150000</v>
      </c>
      <c r="F192" s="85"/>
      <c r="G192" s="85">
        <v>166096</v>
      </c>
      <c r="H192" s="86">
        <v>44113</v>
      </c>
      <c r="I192" s="85">
        <v>1286262</v>
      </c>
      <c r="J192" s="84">
        <v>35</v>
      </c>
      <c r="K192" s="87" t="str">
        <f t="shared" ca="1" si="0"/>
        <v/>
      </c>
      <c r="L192" s="88"/>
      <c r="M192" s="84" t="str">
        <f t="shared" ca="1" si="1"/>
        <v/>
      </c>
      <c r="N192" s="84"/>
      <c r="O192" s="89">
        <f t="shared" si="2"/>
        <v>0</v>
      </c>
      <c r="P192" s="89"/>
      <c r="Q192" s="85">
        <f t="shared" si="3"/>
        <v>0</v>
      </c>
      <c r="R192" s="85" t="str">
        <f t="shared" si="4"/>
        <v/>
      </c>
      <c r="S192" s="84"/>
      <c r="T192" s="85"/>
      <c r="U192" s="85"/>
      <c r="V192" s="84"/>
      <c r="W192" s="85"/>
      <c r="X192" s="85"/>
      <c r="Y192" s="84"/>
      <c r="Z192" s="85"/>
      <c r="AA192" s="85"/>
      <c r="AB192" s="84"/>
      <c r="AC192" s="85"/>
      <c r="AD192" s="85"/>
      <c r="AE192" s="84"/>
      <c r="AF192" s="85"/>
      <c r="AG192" s="85"/>
      <c r="AH192" s="84"/>
      <c r="AI192" s="85"/>
      <c r="AJ192" s="85"/>
      <c r="AK192" s="84"/>
      <c r="AL192" s="85"/>
      <c r="AM192" s="85"/>
      <c r="AN192" s="84"/>
      <c r="AO192" s="85"/>
      <c r="AP192" s="85"/>
      <c r="AQ192" s="84"/>
      <c r="AR192" s="85"/>
      <c r="AS192" s="85"/>
      <c r="AT192" s="84"/>
      <c r="AU192" s="85"/>
      <c r="AV192" s="85"/>
      <c r="AW192" s="84"/>
      <c r="AX192" s="85"/>
      <c r="AY192" s="85"/>
      <c r="AZ192" s="84"/>
      <c r="BA192" s="85"/>
      <c r="BB192" s="85"/>
      <c r="BC192" s="84" t="s">
        <v>1175</v>
      </c>
      <c r="BD192" s="27"/>
      <c r="BJ192" s="90" t="s">
        <v>1176</v>
      </c>
    </row>
    <row r="193" spans="1:62" s="90" customFormat="1" ht="12.75">
      <c r="A193" s="83" t="s">
        <v>1177</v>
      </c>
      <c r="B193" s="84">
        <v>59</v>
      </c>
      <c r="C193" s="84" t="s">
        <v>1178</v>
      </c>
      <c r="D193" s="84" t="s">
        <v>1179</v>
      </c>
      <c r="E193" s="85">
        <v>3505000</v>
      </c>
      <c r="F193" s="85"/>
      <c r="G193" s="85">
        <v>112880</v>
      </c>
      <c r="H193" s="86">
        <v>44113</v>
      </c>
      <c r="I193" s="85">
        <v>874696</v>
      </c>
      <c r="J193" s="84">
        <v>35</v>
      </c>
      <c r="K193" s="87" t="str">
        <f t="shared" ca="1" si="0"/>
        <v/>
      </c>
      <c r="L193" s="88"/>
      <c r="M193" s="84" t="str">
        <f t="shared" ca="1" si="1"/>
        <v/>
      </c>
      <c r="N193" s="84"/>
      <c r="O193" s="89">
        <f t="shared" si="2"/>
        <v>0</v>
      </c>
      <c r="P193" s="89"/>
      <c r="Q193" s="85">
        <f t="shared" si="3"/>
        <v>0</v>
      </c>
      <c r="R193" s="85" t="str">
        <f t="shared" si="4"/>
        <v/>
      </c>
      <c r="S193" s="84"/>
      <c r="T193" s="85"/>
      <c r="U193" s="85"/>
      <c r="V193" s="84"/>
      <c r="W193" s="85"/>
      <c r="X193" s="85"/>
      <c r="Y193" s="84"/>
      <c r="Z193" s="85"/>
      <c r="AA193" s="85"/>
      <c r="AB193" s="84"/>
      <c r="AC193" s="85"/>
      <c r="AD193" s="85"/>
      <c r="AE193" s="84"/>
      <c r="AF193" s="85"/>
      <c r="AG193" s="85"/>
      <c r="AH193" s="84"/>
      <c r="AI193" s="85"/>
      <c r="AJ193" s="85"/>
      <c r="AK193" s="84"/>
      <c r="AL193" s="85"/>
      <c r="AM193" s="85"/>
      <c r="AN193" s="84"/>
      <c r="AO193" s="85"/>
      <c r="AP193" s="85"/>
      <c r="AQ193" s="84"/>
      <c r="AR193" s="85"/>
      <c r="AS193" s="85"/>
      <c r="AT193" s="84"/>
      <c r="AU193" s="85"/>
      <c r="AV193" s="85"/>
      <c r="AW193" s="84"/>
      <c r="AX193" s="85"/>
      <c r="AY193" s="85"/>
      <c r="AZ193" s="84"/>
      <c r="BA193" s="85"/>
      <c r="BB193" s="85"/>
      <c r="BC193" s="84" t="s">
        <v>1180</v>
      </c>
      <c r="BD193" s="27"/>
      <c r="BJ193" s="90" t="s">
        <v>1181</v>
      </c>
    </row>
    <row r="194" spans="1:62" s="90" customFormat="1" ht="12.75">
      <c r="A194" s="83" t="s">
        <v>1182</v>
      </c>
      <c r="B194" s="84">
        <v>60</v>
      </c>
      <c r="C194" s="84" t="s">
        <v>1183</v>
      </c>
      <c r="D194" s="84" t="s">
        <v>1184</v>
      </c>
      <c r="E194" s="85">
        <v>6124000</v>
      </c>
      <c r="F194" s="85"/>
      <c r="G194" s="85">
        <v>197226</v>
      </c>
      <c r="H194" s="86">
        <v>44113</v>
      </c>
      <c r="I194" s="85">
        <v>1527835</v>
      </c>
      <c r="J194" s="84">
        <v>35</v>
      </c>
      <c r="K194" s="87" t="str">
        <f t="shared" ca="1" si="0"/>
        <v/>
      </c>
      <c r="L194" s="88"/>
      <c r="M194" s="84" t="str">
        <f t="shared" ca="1" si="1"/>
        <v/>
      </c>
      <c r="N194" s="84"/>
      <c r="O194" s="89">
        <f t="shared" si="2"/>
        <v>0</v>
      </c>
      <c r="P194" s="89"/>
      <c r="Q194" s="85">
        <f t="shared" si="3"/>
        <v>0</v>
      </c>
      <c r="R194" s="85" t="str">
        <f t="shared" si="4"/>
        <v/>
      </c>
      <c r="S194" s="84"/>
      <c r="T194" s="85"/>
      <c r="U194" s="85"/>
      <c r="V194" s="84"/>
      <c r="W194" s="85"/>
      <c r="X194" s="85"/>
      <c r="Y194" s="84"/>
      <c r="Z194" s="85"/>
      <c r="AA194" s="85"/>
      <c r="AB194" s="84"/>
      <c r="AC194" s="85"/>
      <c r="AD194" s="85"/>
      <c r="AE194" s="84"/>
      <c r="AF194" s="85"/>
      <c r="AG194" s="85"/>
      <c r="AH194" s="84"/>
      <c r="AI194" s="85"/>
      <c r="AJ194" s="85"/>
      <c r="AK194" s="84"/>
      <c r="AL194" s="85"/>
      <c r="AM194" s="85"/>
      <c r="AN194" s="84"/>
      <c r="AO194" s="85"/>
      <c r="AP194" s="85"/>
      <c r="AQ194" s="84"/>
      <c r="AR194" s="85"/>
      <c r="AS194" s="85"/>
      <c r="AT194" s="84"/>
      <c r="AU194" s="85"/>
      <c r="AV194" s="85"/>
      <c r="AW194" s="84"/>
      <c r="AX194" s="85"/>
      <c r="AY194" s="85"/>
      <c r="AZ194" s="84"/>
      <c r="BA194" s="85"/>
      <c r="BB194" s="85"/>
      <c r="BC194" s="84" t="s">
        <v>1185</v>
      </c>
      <c r="BD194" s="27"/>
      <c r="BJ194" s="90" t="s">
        <v>1186</v>
      </c>
    </row>
    <row r="195" spans="1:62" s="90" customFormat="1" ht="12.75">
      <c r="A195" s="83" t="s">
        <v>1187</v>
      </c>
      <c r="B195" s="84">
        <v>61</v>
      </c>
      <c r="C195" s="84" t="s">
        <v>1188</v>
      </c>
      <c r="D195" s="84" t="s">
        <v>1189</v>
      </c>
      <c r="E195" s="85">
        <v>3420000</v>
      </c>
      <c r="F195" s="85"/>
      <c r="G195" s="85">
        <v>110100</v>
      </c>
      <c r="H195" s="86">
        <v>44113</v>
      </c>
      <c r="I195" s="85">
        <v>854806</v>
      </c>
      <c r="J195" s="84">
        <v>35</v>
      </c>
      <c r="K195" s="87" t="str">
        <f t="shared" ca="1" si="0"/>
        <v/>
      </c>
      <c r="L195" s="88"/>
      <c r="M195" s="84" t="str">
        <f t="shared" ca="1" si="1"/>
        <v/>
      </c>
      <c r="N195" s="84"/>
      <c r="O195" s="89">
        <f t="shared" si="2"/>
        <v>0</v>
      </c>
      <c r="P195" s="89"/>
      <c r="Q195" s="85">
        <f t="shared" si="3"/>
        <v>0</v>
      </c>
      <c r="R195" s="85" t="str">
        <f t="shared" si="4"/>
        <v/>
      </c>
      <c r="S195" s="84"/>
      <c r="T195" s="85"/>
      <c r="U195" s="85"/>
      <c r="V195" s="84"/>
      <c r="W195" s="85"/>
      <c r="X195" s="85"/>
      <c r="Y195" s="84"/>
      <c r="Z195" s="85"/>
      <c r="AA195" s="85"/>
      <c r="AB195" s="84"/>
      <c r="AC195" s="85"/>
      <c r="AD195" s="85"/>
      <c r="AE195" s="84"/>
      <c r="AF195" s="85"/>
      <c r="AG195" s="85"/>
      <c r="AH195" s="84"/>
      <c r="AI195" s="85"/>
      <c r="AJ195" s="85"/>
      <c r="AK195" s="84"/>
      <c r="AL195" s="85"/>
      <c r="AM195" s="85"/>
      <c r="AN195" s="84"/>
      <c r="AO195" s="85"/>
      <c r="AP195" s="85"/>
      <c r="AQ195" s="84"/>
      <c r="AR195" s="85"/>
      <c r="AS195" s="85"/>
      <c r="AT195" s="84"/>
      <c r="AU195" s="85"/>
      <c r="AV195" s="85"/>
      <c r="AW195" s="84"/>
      <c r="AX195" s="85"/>
      <c r="AY195" s="85"/>
      <c r="AZ195" s="84"/>
      <c r="BA195" s="85"/>
      <c r="BB195" s="85"/>
      <c r="BC195" s="84"/>
      <c r="BD195" s="27"/>
      <c r="BJ195" s="90" t="s">
        <v>1190</v>
      </c>
    </row>
    <row r="196" spans="1:62" s="90" customFormat="1" ht="12.75">
      <c r="A196" s="83" t="s">
        <v>1191</v>
      </c>
      <c r="B196" s="84">
        <v>62</v>
      </c>
      <c r="C196" s="84" t="s">
        <v>1192</v>
      </c>
      <c r="D196" s="84" t="s">
        <v>1193</v>
      </c>
      <c r="E196" s="85">
        <v>8926569</v>
      </c>
      <c r="F196" s="85"/>
      <c r="G196" s="85">
        <v>284903</v>
      </c>
      <c r="H196" s="86">
        <v>44067</v>
      </c>
      <c r="I196" s="85">
        <v>3609064</v>
      </c>
      <c r="J196" s="84">
        <v>43</v>
      </c>
      <c r="K196" s="87">
        <f t="shared" ca="1" si="0"/>
        <v>4.93333333333333</v>
      </c>
      <c r="L196" s="88"/>
      <c r="M196" s="84">
        <f t="shared" ca="1" si="1"/>
        <v>284903</v>
      </c>
      <c r="N196" s="84"/>
      <c r="O196" s="89">
        <f t="shared" si="2"/>
        <v>0</v>
      </c>
      <c r="P196" s="89"/>
      <c r="Q196" s="85">
        <f t="shared" si="3"/>
        <v>0</v>
      </c>
      <c r="R196" s="85" t="str">
        <f t="shared" si="4"/>
        <v/>
      </c>
      <c r="S196" s="84"/>
      <c r="T196" s="85"/>
      <c r="U196" s="85"/>
      <c r="V196" s="84"/>
      <c r="W196" s="85"/>
      <c r="X196" s="85"/>
      <c r="Y196" s="84"/>
      <c r="Z196" s="85"/>
      <c r="AA196" s="85"/>
      <c r="AB196" s="84"/>
      <c r="AC196" s="85"/>
      <c r="AD196" s="85"/>
      <c r="AE196" s="84"/>
      <c r="AF196" s="85"/>
      <c r="AG196" s="85"/>
      <c r="AH196" s="84"/>
      <c r="AI196" s="85"/>
      <c r="AJ196" s="85"/>
      <c r="AK196" s="84"/>
      <c r="AL196" s="85"/>
      <c r="AM196" s="85"/>
      <c r="AN196" s="84"/>
      <c r="AO196" s="85"/>
      <c r="AP196" s="85"/>
      <c r="AQ196" s="84"/>
      <c r="AR196" s="85"/>
      <c r="AS196" s="85"/>
      <c r="AT196" s="84"/>
      <c r="AU196" s="85"/>
      <c r="AV196" s="85"/>
      <c r="AW196" s="84"/>
      <c r="AX196" s="85"/>
      <c r="AY196" s="85"/>
      <c r="AZ196" s="84"/>
      <c r="BA196" s="85"/>
      <c r="BB196" s="85"/>
      <c r="BC196" s="84"/>
      <c r="BD196" s="27"/>
      <c r="BJ196" s="90" t="s">
        <v>1194</v>
      </c>
    </row>
    <row r="197" spans="1:62" s="90" customFormat="1" ht="12.75">
      <c r="A197" s="83" t="s">
        <v>1195</v>
      </c>
      <c r="B197" s="84">
        <v>63</v>
      </c>
      <c r="C197" s="84" t="s">
        <v>1196</v>
      </c>
      <c r="D197" s="84" t="s">
        <v>1197</v>
      </c>
      <c r="E197" s="85">
        <v>1173000</v>
      </c>
      <c r="F197" s="85"/>
      <c r="G197" s="85">
        <v>37797</v>
      </c>
      <c r="H197" s="86">
        <v>44007</v>
      </c>
      <c r="I197" s="85">
        <v>148614</v>
      </c>
      <c r="J197" s="84">
        <v>35</v>
      </c>
      <c r="K197" s="87" t="str">
        <f t="shared" ca="1" si="0"/>
        <v/>
      </c>
      <c r="L197" s="88"/>
      <c r="M197" s="84" t="str">
        <f t="shared" ca="1" si="1"/>
        <v/>
      </c>
      <c r="N197" s="84"/>
      <c r="O197" s="89">
        <f t="shared" si="2"/>
        <v>0</v>
      </c>
      <c r="P197" s="89"/>
      <c r="Q197" s="85">
        <f t="shared" si="3"/>
        <v>0</v>
      </c>
      <c r="R197" s="85" t="str">
        <f t="shared" si="4"/>
        <v/>
      </c>
      <c r="S197" s="84"/>
      <c r="T197" s="85"/>
      <c r="U197" s="85"/>
      <c r="V197" s="84"/>
      <c r="W197" s="85"/>
      <c r="X197" s="85"/>
      <c r="Y197" s="84"/>
      <c r="Z197" s="85"/>
      <c r="AA197" s="85"/>
      <c r="AB197" s="84"/>
      <c r="AC197" s="85"/>
      <c r="AD197" s="85"/>
      <c r="AE197" s="84"/>
      <c r="AF197" s="85"/>
      <c r="AG197" s="85"/>
      <c r="AH197" s="84"/>
      <c r="AI197" s="85"/>
      <c r="AJ197" s="85"/>
      <c r="AK197" s="84"/>
      <c r="AL197" s="85"/>
      <c r="AM197" s="85"/>
      <c r="AN197" s="84"/>
      <c r="AO197" s="85"/>
      <c r="AP197" s="85"/>
      <c r="AQ197" s="84"/>
      <c r="AR197" s="85"/>
      <c r="AS197" s="85"/>
      <c r="AT197" s="84"/>
      <c r="AU197" s="85"/>
      <c r="AV197" s="85"/>
      <c r="AW197" s="84"/>
      <c r="AX197" s="85"/>
      <c r="AY197" s="85"/>
      <c r="AZ197" s="84"/>
      <c r="BA197" s="85"/>
      <c r="BB197" s="85"/>
      <c r="BC197" s="84"/>
      <c r="BD197" s="27"/>
      <c r="BJ197" s="90" t="s">
        <v>1198</v>
      </c>
    </row>
    <row r="198" spans="1:62" s="90" customFormat="1" ht="12.75">
      <c r="A198" s="83" t="s">
        <v>1199</v>
      </c>
      <c r="B198" s="84">
        <v>64</v>
      </c>
      <c r="C198" s="84" t="s">
        <v>1200</v>
      </c>
      <c r="D198" s="84" t="s">
        <v>1201</v>
      </c>
      <c r="E198" s="85">
        <v>674000</v>
      </c>
      <c r="F198" s="85"/>
      <c r="G198" s="85">
        <v>21718</v>
      </c>
      <c r="H198" s="86">
        <v>44007</v>
      </c>
      <c r="I198" s="85">
        <v>85392</v>
      </c>
      <c r="J198" s="84">
        <v>35</v>
      </c>
      <c r="K198" s="87" t="str">
        <f t="shared" ca="1" si="0"/>
        <v/>
      </c>
      <c r="L198" s="88"/>
      <c r="M198" s="84" t="str">
        <f t="shared" ca="1" si="1"/>
        <v/>
      </c>
      <c r="N198" s="84"/>
      <c r="O198" s="89">
        <f t="shared" si="2"/>
        <v>0</v>
      </c>
      <c r="P198" s="89"/>
      <c r="Q198" s="85">
        <f t="shared" si="3"/>
        <v>0</v>
      </c>
      <c r="R198" s="85" t="str">
        <f t="shared" si="4"/>
        <v/>
      </c>
      <c r="S198" s="84"/>
      <c r="T198" s="85"/>
      <c r="U198" s="85"/>
      <c r="V198" s="84"/>
      <c r="W198" s="85"/>
      <c r="X198" s="85"/>
      <c r="Y198" s="84"/>
      <c r="Z198" s="85"/>
      <c r="AA198" s="85"/>
      <c r="AB198" s="84"/>
      <c r="AC198" s="85"/>
      <c r="AD198" s="85"/>
      <c r="AE198" s="84"/>
      <c r="AF198" s="85"/>
      <c r="AG198" s="85"/>
      <c r="AH198" s="84"/>
      <c r="AI198" s="85"/>
      <c r="AJ198" s="85"/>
      <c r="AK198" s="84"/>
      <c r="AL198" s="85"/>
      <c r="AM198" s="85"/>
      <c r="AN198" s="84"/>
      <c r="AO198" s="85"/>
      <c r="AP198" s="85"/>
      <c r="AQ198" s="84"/>
      <c r="AR198" s="85"/>
      <c r="AS198" s="85"/>
      <c r="AT198" s="84"/>
      <c r="AU198" s="85"/>
      <c r="AV198" s="85"/>
      <c r="AW198" s="84"/>
      <c r="AX198" s="85"/>
      <c r="AY198" s="85"/>
      <c r="AZ198" s="84"/>
      <c r="BA198" s="85"/>
      <c r="BB198" s="85"/>
      <c r="BC198" s="84"/>
      <c r="BD198" s="27"/>
      <c r="BJ198" s="90" t="s">
        <v>1202</v>
      </c>
    </row>
    <row r="199" spans="1:62" s="90" customFormat="1" ht="12.75">
      <c r="A199" s="83" t="s">
        <v>1203</v>
      </c>
      <c r="B199" s="84">
        <v>65</v>
      </c>
      <c r="C199" s="84" t="s">
        <v>1204</v>
      </c>
      <c r="D199" s="84" t="s">
        <v>1205</v>
      </c>
      <c r="E199" s="85">
        <v>592000</v>
      </c>
      <c r="F199" s="85"/>
      <c r="G199" s="85">
        <v>19162</v>
      </c>
      <c r="H199" s="86">
        <v>43902</v>
      </c>
      <c r="I199" s="85">
        <v>67264</v>
      </c>
      <c r="J199" s="84">
        <v>38</v>
      </c>
      <c r="K199" s="87" t="str">
        <f t="shared" ca="1" si="0"/>
        <v/>
      </c>
      <c r="L199" s="88"/>
      <c r="M199" s="84" t="str">
        <f t="shared" ca="1" si="1"/>
        <v/>
      </c>
      <c r="N199" s="84"/>
      <c r="O199" s="89">
        <f t="shared" si="2"/>
        <v>0</v>
      </c>
      <c r="P199" s="89"/>
      <c r="Q199" s="85">
        <f t="shared" si="3"/>
        <v>0</v>
      </c>
      <c r="R199" s="85" t="str">
        <f t="shared" si="4"/>
        <v/>
      </c>
      <c r="S199" s="84"/>
      <c r="T199" s="85"/>
      <c r="U199" s="85"/>
      <c r="V199" s="84"/>
      <c r="W199" s="85"/>
      <c r="X199" s="85"/>
      <c r="Y199" s="84"/>
      <c r="Z199" s="85"/>
      <c r="AA199" s="85"/>
      <c r="AB199" s="84"/>
      <c r="AC199" s="85"/>
      <c r="AD199" s="85"/>
      <c r="AE199" s="84"/>
      <c r="AF199" s="85"/>
      <c r="AG199" s="85"/>
      <c r="AH199" s="84"/>
      <c r="AI199" s="85"/>
      <c r="AJ199" s="85"/>
      <c r="AK199" s="84"/>
      <c r="AL199" s="85"/>
      <c r="AM199" s="85"/>
      <c r="AN199" s="84"/>
      <c r="AO199" s="85"/>
      <c r="AP199" s="85"/>
      <c r="AQ199" s="84"/>
      <c r="AR199" s="85"/>
      <c r="AS199" s="85"/>
      <c r="AT199" s="84"/>
      <c r="AU199" s="85"/>
      <c r="AV199" s="85"/>
      <c r="AW199" s="84"/>
      <c r="AX199" s="85"/>
      <c r="AY199" s="85"/>
      <c r="AZ199" s="84"/>
      <c r="BA199" s="85"/>
      <c r="BB199" s="85"/>
      <c r="BC199" s="84"/>
      <c r="BD199" s="27"/>
      <c r="BJ199" s="90" t="s">
        <v>1206</v>
      </c>
    </row>
    <row r="200" spans="1:62" s="90" customFormat="1" ht="12.75">
      <c r="A200" s="83" t="s">
        <v>1207</v>
      </c>
      <c r="B200" s="84">
        <v>66</v>
      </c>
      <c r="C200" s="84" t="s">
        <v>1208</v>
      </c>
      <c r="D200" s="84" t="s">
        <v>1209</v>
      </c>
      <c r="E200" s="85">
        <v>1962000</v>
      </c>
      <c r="F200" s="85"/>
      <c r="G200" s="85">
        <v>63507</v>
      </c>
      <c r="H200" s="86">
        <v>43902</v>
      </c>
      <c r="I200" s="85">
        <v>223188</v>
      </c>
      <c r="J200" s="84">
        <v>38</v>
      </c>
      <c r="K200" s="87" t="str">
        <f t="shared" ca="1" si="0"/>
        <v/>
      </c>
      <c r="L200" s="88"/>
      <c r="M200" s="84" t="str">
        <f t="shared" ca="1" si="1"/>
        <v/>
      </c>
      <c r="N200" s="84"/>
      <c r="O200" s="89">
        <f t="shared" si="2"/>
        <v>0</v>
      </c>
      <c r="P200" s="89"/>
      <c r="Q200" s="85">
        <f t="shared" si="3"/>
        <v>0</v>
      </c>
      <c r="R200" s="85" t="str">
        <f t="shared" si="4"/>
        <v/>
      </c>
      <c r="S200" s="84"/>
      <c r="T200" s="85"/>
      <c r="U200" s="85"/>
      <c r="V200" s="84"/>
      <c r="W200" s="85"/>
      <c r="X200" s="85"/>
      <c r="Y200" s="84"/>
      <c r="Z200" s="85"/>
      <c r="AA200" s="85"/>
      <c r="AB200" s="84"/>
      <c r="AC200" s="85"/>
      <c r="AD200" s="85"/>
      <c r="AE200" s="84"/>
      <c r="AF200" s="85"/>
      <c r="AG200" s="85"/>
      <c r="AH200" s="84"/>
      <c r="AI200" s="85"/>
      <c r="AJ200" s="85"/>
      <c r="AK200" s="84"/>
      <c r="AL200" s="85"/>
      <c r="AM200" s="85"/>
      <c r="AN200" s="84"/>
      <c r="AO200" s="85"/>
      <c r="AP200" s="85"/>
      <c r="AQ200" s="84"/>
      <c r="AR200" s="85"/>
      <c r="AS200" s="85"/>
      <c r="AT200" s="84"/>
      <c r="AU200" s="85"/>
      <c r="AV200" s="85"/>
      <c r="AW200" s="84"/>
      <c r="AX200" s="85"/>
      <c r="AY200" s="85"/>
      <c r="AZ200" s="84"/>
      <c r="BA200" s="85"/>
      <c r="BB200" s="85"/>
      <c r="BC200" s="84"/>
      <c r="BD200" s="27"/>
      <c r="BJ200" s="90" t="s">
        <v>1210</v>
      </c>
    </row>
    <row r="201" spans="1:62" s="90" customFormat="1" ht="12.75">
      <c r="A201" s="83" t="s">
        <v>1211</v>
      </c>
      <c r="B201" s="84">
        <v>67</v>
      </c>
      <c r="C201" s="84" t="s">
        <v>1212</v>
      </c>
      <c r="D201" s="84" t="s">
        <v>1213</v>
      </c>
      <c r="E201" s="85">
        <v>1407000</v>
      </c>
      <c r="F201" s="85"/>
      <c r="G201" s="85">
        <v>45458</v>
      </c>
      <c r="H201" s="86">
        <v>43861</v>
      </c>
      <c r="I201" s="85">
        <v>236815</v>
      </c>
      <c r="J201" s="84">
        <v>42</v>
      </c>
      <c r="K201" s="87" t="str">
        <f t="shared" ca="1" si="0"/>
        <v/>
      </c>
      <c r="L201" s="88"/>
      <c r="M201" s="84" t="str">
        <f t="shared" ca="1" si="1"/>
        <v/>
      </c>
      <c r="N201" s="84"/>
      <c r="O201" s="89">
        <f t="shared" si="2"/>
        <v>0</v>
      </c>
      <c r="P201" s="89"/>
      <c r="Q201" s="85">
        <f t="shared" si="3"/>
        <v>0</v>
      </c>
      <c r="R201" s="85" t="str">
        <f t="shared" si="4"/>
        <v/>
      </c>
      <c r="S201" s="84"/>
      <c r="T201" s="85"/>
      <c r="U201" s="85"/>
      <c r="V201" s="84"/>
      <c r="W201" s="85"/>
      <c r="X201" s="85"/>
      <c r="Y201" s="84"/>
      <c r="Z201" s="85"/>
      <c r="AA201" s="85"/>
      <c r="AB201" s="84"/>
      <c r="AC201" s="85"/>
      <c r="AD201" s="85"/>
      <c r="AE201" s="84"/>
      <c r="AF201" s="85"/>
      <c r="AG201" s="85"/>
      <c r="AH201" s="84"/>
      <c r="AI201" s="85"/>
      <c r="AJ201" s="85"/>
      <c r="AK201" s="84"/>
      <c r="AL201" s="85"/>
      <c r="AM201" s="85"/>
      <c r="AN201" s="84"/>
      <c r="AO201" s="85"/>
      <c r="AP201" s="85"/>
      <c r="AQ201" s="84"/>
      <c r="AR201" s="85"/>
      <c r="AS201" s="85"/>
      <c r="AT201" s="84"/>
      <c r="AU201" s="85"/>
      <c r="AV201" s="85"/>
      <c r="AW201" s="84"/>
      <c r="AX201" s="85"/>
      <c r="AY201" s="85"/>
      <c r="AZ201" s="84"/>
      <c r="BA201" s="85"/>
      <c r="BB201" s="85"/>
      <c r="BC201" s="84"/>
      <c r="BD201" s="27"/>
      <c r="BJ201" s="90" t="s">
        <v>1214</v>
      </c>
    </row>
    <row r="202" spans="1:62" s="90" customFormat="1" ht="12.75">
      <c r="A202" s="83" t="s">
        <v>1215</v>
      </c>
      <c r="B202" s="84">
        <v>68</v>
      </c>
      <c r="C202" s="84" t="s">
        <v>1216</v>
      </c>
      <c r="D202" s="84" t="s">
        <v>1217</v>
      </c>
      <c r="E202" s="85">
        <v>1404000</v>
      </c>
      <c r="F202" s="85"/>
      <c r="G202" s="85">
        <v>45402</v>
      </c>
      <c r="H202" s="86">
        <v>43848</v>
      </c>
      <c r="I202" s="85">
        <v>180653</v>
      </c>
      <c r="J202" s="84">
        <v>41</v>
      </c>
      <c r="K202" s="87" t="str">
        <f t="shared" ca="1" si="0"/>
        <v/>
      </c>
      <c r="L202" s="88"/>
      <c r="M202" s="84" t="str">
        <f t="shared" ca="1" si="1"/>
        <v/>
      </c>
      <c r="N202" s="84"/>
      <c r="O202" s="89">
        <f t="shared" si="2"/>
        <v>0</v>
      </c>
      <c r="P202" s="89"/>
      <c r="Q202" s="85">
        <f t="shared" si="3"/>
        <v>0</v>
      </c>
      <c r="R202" s="85" t="str">
        <f t="shared" si="4"/>
        <v/>
      </c>
      <c r="S202" s="84"/>
      <c r="T202" s="85"/>
      <c r="U202" s="85"/>
      <c r="V202" s="84"/>
      <c r="W202" s="85"/>
      <c r="X202" s="85"/>
      <c r="Y202" s="84"/>
      <c r="Z202" s="85"/>
      <c r="AA202" s="85"/>
      <c r="AB202" s="84"/>
      <c r="AC202" s="85"/>
      <c r="AD202" s="85"/>
      <c r="AE202" s="84"/>
      <c r="AF202" s="85"/>
      <c r="AG202" s="85"/>
      <c r="AH202" s="84"/>
      <c r="AI202" s="85"/>
      <c r="AJ202" s="85"/>
      <c r="AK202" s="84"/>
      <c r="AL202" s="85"/>
      <c r="AM202" s="85"/>
      <c r="AN202" s="84"/>
      <c r="AO202" s="85"/>
      <c r="AP202" s="85"/>
      <c r="AQ202" s="84"/>
      <c r="AR202" s="85"/>
      <c r="AS202" s="85"/>
      <c r="AT202" s="84"/>
      <c r="AU202" s="85"/>
      <c r="AV202" s="85"/>
      <c r="AW202" s="84"/>
      <c r="AX202" s="85"/>
      <c r="AY202" s="85"/>
      <c r="AZ202" s="84"/>
      <c r="BA202" s="85"/>
      <c r="BB202" s="85"/>
      <c r="BC202" s="84"/>
      <c r="BD202" s="27"/>
      <c r="BJ202" s="90" t="s">
        <v>1218</v>
      </c>
    </row>
    <row r="203" spans="1:62" s="90" customFormat="1" ht="12.75">
      <c r="A203" s="83" t="s">
        <v>1219</v>
      </c>
      <c r="B203" s="84">
        <v>69</v>
      </c>
      <c r="C203" s="84" t="s">
        <v>1220</v>
      </c>
      <c r="D203" s="84" t="s">
        <v>1221</v>
      </c>
      <c r="E203" s="85">
        <v>4725900</v>
      </c>
      <c r="F203" s="85"/>
      <c r="G203" s="85">
        <v>152822</v>
      </c>
      <c r="H203" s="86">
        <v>43848</v>
      </c>
      <c r="I203" s="85">
        <v>608162</v>
      </c>
      <c r="J203" s="84">
        <v>41</v>
      </c>
      <c r="K203" s="87" t="str">
        <f t="shared" ca="1" si="0"/>
        <v/>
      </c>
      <c r="L203" s="88"/>
      <c r="M203" s="84" t="str">
        <f t="shared" ca="1" si="1"/>
        <v/>
      </c>
      <c r="N203" s="84"/>
      <c r="O203" s="89">
        <f t="shared" si="2"/>
        <v>0</v>
      </c>
      <c r="P203" s="89"/>
      <c r="Q203" s="85">
        <f t="shared" si="3"/>
        <v>0</v>
      </c>
      <c r="R203" s="85" t="str">
        <f t="shared" si="4"/>
        <v/>
      </c>
      <c r="S203" s="84"/>
      <c r="T203" s="85"/>
      <c r="U203" s="85"/>
      <c r="V203" s="84"/>
      <c r="W203" s="85"/>
      <c r="X203" s="85"/>
      <c r="Y203" s="84"/>
      <c r="Z203" s="85"/>
      <c r="AA203" s="85"/>
      <c r="AB203" s="84"/>
      <c r="AC203" s="85"/>
      <c r="AD203" s="85"/>
      <c r="AE203" s="84"/>
      <c r="AF203" s="85"/>
      <c r="AG203" s="85"/>
      <c r="AH203" s="84"/>
      <c r="AI203" s="85"/>
      <c r="AJ203" s="85"/>
      <c r="AK203" s="84"/>
      <c r="AL203" s="85"/>
      <c r="AM203" s="85"/>
      <c r="AN203" s="84"/>
      <c r="AO203" s="85"/>
      <c r="AP203" s="85"/>
      <c r="AQ203" s="84"/>
      <c r="AR203" s="85"/>
      <c r="AS203" s="85"/>
      <c r="AT203" s="84"/>
      <c r="AU203" s="85"/>
      <c r="AV203" s="85"/>
      <c r="AW203" s="84"/>
      <c r="AX203" s="85"/>
      <c r="AY203" s="85"/>
      <c r="AZ203" s="84"/>
      <c r="BA203" s="85"/>
      <c r="BB203" s="85"/>
      <c r="BC203" s="84"/>
      <c r="BD203" s="27"/>
      <c r="BJ203" s="90" t="s">
        <v>1222</v>
      </c>
    </row>
    <row r="204" spans="1:62" s="90" customFormat="1" ht="12.75">
      <c r="A204" s="83" t="s">
        <v>1223</v>
      </c>
      <c r="B204" s="84">
        <v>70</v>
      </c>
      <c r="C204" s="84" t="s">
        <v>1224</v>
      </c>
      <c r="D204" s="84" t="s">
        <v>1225</v>
      </c>
      <c r="E204" s="85">
        <v>5200000</v>
      </c>
      <c r="F204" s="85"/>
      <c r="G204" s="85">
        <v>171976</v>
      </c>
      <c r="H204" s="86">
        <v>43708</v>
      </c>
      <c r="I204" s="85">
        <v>19328</v>
      </c>
      <c r="J204" s="84">
        <v>41</v>
      </c>
      <c r="K204" s="87" t="str">
        <f t="shared" ca="1" si="0"/>
        <v/>
      </c>
      <c r="L204" s="88"/>
      <c r="M204" s="84" t="str">
        <f t="shared" ca="1" si="1"/>
        <v/>
      </c>
      <c r="N204" s="84"/>
      <c r="O204" s="89">
        <f t="shared" si="2"/>
        <v>0</v>
      </c>
      <c r="P204" s="89"/>
      <c r="Q204" s="85">
        <f t="shared" si="3"/>
        <v>0</v>
      </c>
      <c r="R204" s="85" t="str">
        <f t="shared" si="4"/>
        <v/>
      </c>
      <c r="S204" s="84"/>
      <c r="T204" s="85"/>
      <c r="U204" s="85"/>
      <c r="V204" s="84"/>
      <c r="W204" s="85"/>
      <c r="X204" s="85"/>
      <c r="Y204" s="84"/>
      <c r="Z204" s="85"/>
      <c r="AA204" s="85"/>
      <c r="AB204" s="84"/>
      <c r="AC204" s="85"/>
      <c r="AD204" s="85"/>
      <c r="AE204" s="84"/>
      <c r="AF204" s="85"/>
      <c r="AG204" s="85"/>
      <c r="AH204" s="84"/>
      <c r="AI204" s="85"/>
      <c r="AJ204" s="85"/>
      <c r="AK204" s="84"/>
      <c r="AL204" s="85"/>
      <c r="AM204" s="85"/>
      <c r="AN204" s="84"/>
      <c r="AO204" s="85"/>
      <c r="AP204" s="85"/>
      <c r="AQ204" s="84"/>
      <c r="AR204" s="85"/>
      <c r="AS204" s="85"/>
      <c r="AT204" s="84"/>
      <c r="AU204" s="85"/>
      <c r="AV204" s="85"/>
      <c r="AW204" s="84"/>
      <c r="AX204" s="85"/>
      <c r="AY204" s="85"/>
      <c r="AZ204" s="84"/>
      <c r="BA204" s="85"/>
      <c r="BB204" s="85"/>
      <c r="BC204" s="84"/>
      <c r="BD204" s="27"/>
      <c r="BJ204" s="90" t="s">
        <v>1226</v>
      </c>
    </row>
    <row r="205" spans="1:62" s="90" customFormat="1" ht="12.75">
      <c r="A205" s="83" t="s">
        <v>1227</v>
      </c>
      <c r="B205" s="84">
        <v>71</v>
      </c>
      <c r="C205" s="84" t="s">
        <v>1228</v>
      </c>
      <c r="D205" s="84" t="s">
        <v>1229</v>
      </c>
      <c r="E205" s="85">
        <v>728000</v>
      </c>
      <c r="F205" s="85"/>
      <c r="G205" s="85">
        <v>24077</v>
      </c>
      <c r="H205" s="86">
        <v>43708</v>
      </c>
      <c r="I205" s="85">
        <v>2842</v>
      </c>
      <c r="J205" s="84">
        <v>41</v>
      </c>
      <c r="K205" s="87" t="str">
        <f t="shared" ca="1" si="0"/>
        <v/>
      </c>
      <c r="L205" s="88"/>
      <c r="M205" s="84" t="str">
        <f t="shared" ca="1" si="1"/>
        <v/>
      </c>
      <c r="N205" s="84"/>
      <c r="O205" s="89">
        <f t="shared" si="2"/>
        <v>0</v>
      </c>
      <c r="P205" s="89"/>
      <c r="Q205" s="85">
        <f t="shared" si="3"/>
        <v>0</v>
      </c>
      <c r="R205" s="85" t="str">
        <f t="shared" si="4"/>
        <v/>
      </c>
      <c r="S205" s="84"/>
      <c r="T205" s="85"/>
      <c r="U205" s="85"/>
      <c r="V205" s="84"/>
      <c r="W205" s="85"/>
      <c r="X205" s="85"/>
      <c r="Y205" s="84"/>
      <c r="Z205" s="85"/>
      <c r="AA205" s="85"/>
      <c r="AB205" s="84"/>
      <c r="AC205" s="85"/>
      <c r="AD205" s="85"/>
      <c r="AE205" s="84"/>
      <c r="AF205" s="85"/>
      <c r="AG205" s="85"/>
      <c r="AH205" s="84"/>
      <c r="AI205" s="85"/>
      <c r="AJ205" s="85"/>
      <c r="AK205" s="84"/>
      <c r="AL205" s="85"/>
      <c r="AM205" s="85"/>
      <c r="AN205" s="84"/>
      <c r="AO205" s="85"/>
      <c r="AP205" s="85"/>
      <c r="AQ205" s="84"/>
      <c r="AR205" s="85"/>
      <c r="AS205" s="85"/>
      <c r="AT205" s="84"/>
      <c r="AU205" s="85"/>
      <c r="AV205" s="85"/>
      <c r="AW205" s="84"/>
      <c r="AX205" s="85"/>
      <c r="AY205" s="85"/>
      <c r="AZ205" s="84"/>
      <c r="BA205" s="85"/>
      <c r="BB205" s="85"/>
      <c r="BC205" s="84" t="s">
        <v>1230</v>
      </c>
      <c r="BD205" s="27"/>
      <c r="BJ205" s="90" t="s">
        <v>1231</v>
      </c>
    </row>
    <row r="206" spans="1:62" s="90" customFormat="1" ht="12.75">
      <c r="A206" s="83" t="s">
        <v>1232</v>
      </c>
      <c r="B206" s="84">
        <v>72</v>
      </c>
      <c r="C206" s="84" t="s">
        <v>1233</v>
      </c>
      <c r="D206" s="84" t="s">
        <v>1234</v>
      </c>
      <c r="E206" s="85">
        <v>999900</v>
      </c>
      <c r="F206" s="85"/>
      <c r="G206" s="85">
        <v>33069</v>
      </c>
      <c r="H206" s="86">
        <v>43708</v>
      </c>
      <c r="I206" s="85">
        <v>3719</v>
      </c>
      <c r="J206" s="84">
        <v>41</v>
      </c>
      <c r="K206" s="87" t="str">
        <f t="shared" ca="1" si="0"/>
        <v/>
      </c>
      <c r="L206" s="88"/>
      <c r="M206" s="84" t="str">
        <f t="shared" ca="1" si="1"/>
        <v/>
      </c>
      <c r="N206" s="84"/>
      <c r="O206" s="89">
        <f t="shared" si="2"/>
        <v>0</v>
      </c>
      <c r="P206" s="89"/>
      <c r="Q206" s="85">
        <f t="shared" si="3"/>
        <v>0</v>
      </c>
      <c r="R206" s="85" t="str">
        <f t="shared" si="4"/>
        <v/>
      </c>
      <c r="S206" s="84"/>
      <c r="T206" s="85"/>
      <c r="U206" s="85"/>
      <c r="V206" s="84"/>
      <c r="W206" s="85"/>
      <c r="X206" s="85"/>
      <c r="Y206" s="84"/>
      <c r="Z206" s="85"/>
      <c r="AA206" s="85"/>
      <c r="AB206" s="84"/>
      <c r="AC206" s="85"/>
      <c r="AD206" s="85"/>
      <c r="AE206" s="84"/>
      <c r="AF206" s="85"/>
      <c r="AG206" s="85"/>
      <c r="AH206" s="84"/>
      <c r="AI206" s="85"/>
      <c r="AJ206" s="85"/>
      <c r="AK206" s="84"/>
      <c r="AL206" s="85"/>
      <c r="AM206" s="85"/>
      <c r="AN206" s="84"/>
      <c r="AO206" s="85"/>
      <c r="AP206" s="85"/>
      <c r="AQ206" s="84"/>
      <c r="AR206" s="85"/>
      <c r="AS206" s="85"/>
      <c r="AT206" s="84"/>
      <c r="AU206" s="85"/>
      <c r="AV206" s="85"/>
      <c r="AW206" s="84"/>
      <c r="AX206" s="85"/>
      <c r="AY206" s="85"/>
      <c r="AZ206" s="84"/>
      <c r="BA206" s="85"/>
      <c r="BB206" s="85"/>
      <c r="BC206" s="84"/>
      <c r="BD206" s="27"/>
      <c r="BJ206" s="90" t="s">
        <v>1235</v>
      </c>
    </row>
    <row r="207" spans="1:62" s="90" customFormat="1" ht="12.75">
      <c r="A207" s="83" t="s">
        <v>1236</v>
      </c>
      <c r="B207" s="84">
        <v>73</v>
      </c>
      <c r="C207" s="84" t="s">
        <v>1237</v>
      </c>
      <c r="D207" s="84" t="s">
        <v>1238</v>
      </c>
      <c r="E207" s="85">
        <v>1636800</v>
      </c>
      <c r="F207" s="85"/>
      <c r="G207" s="85">
        <v>54133</v>
      </c>
      <c r="H207" s="86">
        <v>43708</v>
      </c>
      <c r="I207" s="85">
        <v>6075</v>
      </c>
      <c r="J207" s="84">
        <v>41</v>
      </c>
      <c r="K207" s="87" t="str">
        <f t="shared" ca="1" si="0"/>
        <v/>
      </c>
      <c r="L207" s="88"/>
      <c r="M207" s="84" t="str">
        <f t="shared" ca="1" si="1"/>
        <v/>
      </c>
      <c r="N207" s="84"/>
      <c r="O207" s="89">
        <f t="shared" si="2"/>
        <v>0</v>
      </c>
      <c r="P207" s="89"/>
      <c r="Q207" s="85">
        <f t="shared" si="3"/>
        <v>0</v>
      </c>
      <c r="R207" s="85" t="str">
        <f t="shared" si="4"/>
        <v/>
      </c>
      <c r="S207" s="84"/>
      <c r="T207" s="85"/>
      <c r="U207" s="85"/>
      <c r="V207" s="84"/>
      <c r="W207" s="85"/>
      <c r="X207" s="85"/>
      <c r="Y207" s="84"/>
      <c r="Z207" s="85"/>
      <c r="AA207" s="85"/>
      <c r="AB207" s="84"/>
      <c r="AC207" s="85"/>
      <c r="AD207" s="85"/>
      <c r="AE207" s="84"/>
      <c r="AF207" s="85"/>
      <c r="AG207" s="85"/>
      <c r="AH207" s="84"/>
      <c r="AI207" s="85"/>
      <c r="AJ207" s="85"/>
      <c r="AK207" s="84"/>
      <c r="AL207" s="85"/>
      <c r="AM207" s="85"/>
      <c r="AN207" s="84"/>
      <c r="AO207" s="85"/>
      <c r="AP207" s="85"/>
      <c r="AQ207" s="84"/>
      <c r="AR207" s="85"/>
      <c r="AS207" s="85"/>
      <c r="AT207" s="84"/>
      <c r="AU207" s="85"/>
      <c r="AV207" s="85"/>
      <c r="AW207" s="84"/>
      <c r="AX207" s="85"/>
      <c r="AY207" s="85"/>
      <c r="AZ207" s="84"/>
      <c r="BA207" s="85"/>
      <c r="BB207" s="85"/>
      <c r="BC207" s="84"/>
      <c r="BD207" s="27"/>
      <c r="BJ207" s="90" t="s">
        <v>1239</v>
      </c>
    </row>
    <row r="208" spans="1:62" s="90" customFormat="1" ht="12.75">
      <c r="A208" s="83" t="s">
        <v>1240</v>
      </c>
      <c r="B208" s="84">
        <v>74</v>
      </c>
      <c r="C208" s="84" t="s">
        <v>1241</v>
      </c>
      <c r="D208" s="84" t="s">
        <v>1242</v>
      </c>
      <c r="E208" s="85">
        <v>1224000</v>
      </c>
      <c r="F208" s="85"/>
      <c r="G208" s="85">
        <v>40481</v>
      </c>
      <c r="H208" s="86">
        <v>43708</v>
      </c>
      <c r="I208" s="85">
        <v>4529</v>
      </c>
      <c r="J208" s="84">
        <v>41</v>
      </c>
      <c r="K208" s="87" t="str">
        <f t="shared" ca="1" si="0"/>
        <v/>
      </c>
      <c r="L208" s="88"/>
      <c r="M208" s="84" t="str">
        <f t="shared" ca="1" si="1"/>
        <v/>
      </c>
      <c r="N208" s="84"/>
      <c r="O208" s="89">
        <f t="shared" si="2"/>
        <v>0</v>
      </c>
      <c r="P208" s="89"/>
      <c r="Q208" s="85">
        <f t="shared" si="3"/>
        <v>0</v>
      </c>
      <c r="R208" s="85" t="str">
        <f t="shared" si="4"/>
        <v/>
      </c>
      <c r="S208" s="84"/>
      <c r="T208" s="85"/>
      <c r="U208" s="85"/>
      <c r="V208" s="84"/>
      <c r="W208" s="85"/>
      <c r="X208" s="85"/>
      <c r="Y208" s="84"/>
      <c r="Z208" s="85"/>
      <c r="AA208" s="85"/>
      <c r="AB208" s="84"/>
      <c r="AC208" s="85"/>
      <c r="AD208" s="85"/>
      <c r="AE208" s="84"/>
      <c r="AF208" s="85"/>
      <c r="AG208" s="85"/>
      <c r="AH208" s="84"/>
      <c r="AI208" s="85"/>
      <c r="AJ208" s="85"/>
      <c r="AK208" s="84"/>
      <c r="AL208" s="85"/>
      <c r="AM208" s="85"/>
      <c r="AN208" s="84"/>
      <c r="AO208" s="85"/>
      <c r="AP208" s="85"/>
      <c r="AQ208" s="84"/>
      <c r="AR208" s="85"/>
      <c r="AS208" s="85"/>
      <c r="AT208" s="84"/>
      <c r="AU208" s="85"/>
      <c r="AV208" s="85"/>
      <c r="AW208" s="84"/>
      <c r="AX208" s="85"/>
      <c r="AY208" s="85"/>
      <c r="AZ208" s="84"/>
      <c r="BA208" s="85"/>
      <c r="BB208" s="85"/>
      <c r="BC208" s="84"/>
      <c r="BD208" s="27"/>
      <c r="BJ208" s="90" t="s">
        <v>1243</v>
      </c>
    </row>
    <row r="209" spans="1:62" s="90" customFormat="1" ht="12.75">
      <c r="A209" s="83" t="s">
        <v>1244</v>
      </c>
      <c r="B209" s="84">
        <v>75</v>
      </c>
      <c r="C209" s="84" t="s">
        <v>1245</v>
      </c>
      <c r="D209" s="84" t="s">
        <v>1246</v>
      </c>
      <c r="E209" s="85"/>
      <c r="F209" s="85"/>
      <c r="G209" s="85"/>
      <c r="H209" s="86">
        <v>39155</v>
      </c>
      <c r="I209" s="85">
        <v>85719</v>
      </c>
      <c r="J209" s="84"/>
      <c r="K209" s="87" t="str">
        <f t="shared" ca="1" si="0"/>
        <v/>
      </c>
      <c r="L209" s="88"/>
      <c r="M209" s="84" t="str">
        <f t="shared" ca="1" si="1"/>
        <v/>
      </c>
      <c r="N209" s="84"/>
      <c r="O209" s="89" t="str">
        <f t="shared" si="2"/>
        <v/>
      </c>
      <c r="P209" s="89"/>
      <c r="Q209" s="85" t="str">
        <f t="shared" si="3"/>
        <v/>
      </c>
      <c r="R209" s="85" t="str">
        <f t="shared" si="4"/>
        <v/>
      </c>
      <c r="S209" s="84"/>
      <c r="T209" s="85"/>
      <c r="U209" s="85"/>
      <c r="V209" s="84"/>
      <c r="W209" s="85"/>
      <c r="X209" s="85"/>
      <c r="Y209" s="84"/>
      <c r="Z209" s="85"/>
      <c r="AA209" s="85"/>
      <c r="AB209" s="84"/>
      <c r="AC209" s="85"/>
      <c r="AD209" s="85"/>
      <c r="AE209" s="84"/>
      <c r="AF209" s="85"/>
      <c r="AG209" s="85"/>
      <c r="AH209" s="84"/>
      <c r="AI209" s="85"/>
      <c r="AJ209" s="85"/>
      <c r="AK209" s="84"/>
      <c r="AL209" s="85"/>
      <c r="AM209" s="85"/>
      <c r="AN209" s="84"/>
      <c r="AO209" s="85"/>
      <c r="AP209" s="85"/>
      <c r="AQ209" s="84"/>
      <c r="AR209" s="85"/>
      <c r="AS209" s="85"/>
      <c r="AT209" s="84"/>
      <c r="AU209" s="85"/>
      <c r="AV209" s="85"/>
      <c r="AW209" s="84"/>
      <c r="AX209" s="85"/>
      <c r="AY209" s="85"/>
      <c r="AZ209" s="84"/>
      <c r="BA209" s="85"/>
      <c r="BB209" s="85"/>
      <c r="BC209" s="84"/>
      <c r="BD209" s="27"/>
      <c r="BJ209" s="90" t="s">
        <v>1247</v>
      </c>
    </row>
    <row r="210" spans="1:62" s="90" customFormat="1" ht="12.75">
      <c r="A210" s="83" t="s">
        <v>1248</v>
      </c>
      <c r="B210" s="84">
        <v>1</v>
      </c>
      <c r="C210" s="84" t="s">
        <v>1249</v>
      </c>
      <c r="D210" s="84" t="s">
        <v>1250</v>
      </c>
      <c r="E210" s="85">
        <v>947496</v>
      </c>
      <c r="F210" s="85"/>
      <c r="G210" s="85">
        <v>22799</v>
      </c>
      <c r="H210" s="86">
        <v>44611</v>
      </c>
      <c r="I210" s="85">
        <v>735653</v>
      </c>
      <c r="J210" s="84"/>
      <c r="K210" s="87" t="str">
        <f t="shared" ca="1" si="0"/>
        <v/>
      </c>
      <c r="L210" s="88"/>
      <c r="M210" s="84" t="str">
        <f t="shared" ca="1" si="1"/>
        <v/>
      </c>
      <c r="N210" s="84"/>
      <c r="O210" s="89">
        <f t="shared" si="2"/>
        <v>0</v>
      </c>
      <c r="P210" s="89"/>
      <c r="Q210" s="85">
        <f t="shared" si="3"/>
        <v>0</v>
      </c>
      <c r="R210" s="85" t="str">
        <f t="shared" si="4"/>
        <v/>
      </c>
      <c r="S210" s="84"/>
      <c r="T210" s="85"/>
      <c r="U210" s="85"/>
      <c r="V210" s="84"/>
      <c r="W210" s="85"/>
      <c r="X210" s="85"/>
      <c r="Y210" s="84"/>
      <c r="Z210" s="85"/>
      <c r="AA210" s="85"/>
      <c r="AB210" s="84"/>
      <c r="AC210" s="85"/>
      <c r="AD210" s="85"/>
      <c r="AE210" s="84"/>
      <c r="AF210" s="85"/>
      <c r="AG210" s="85"/>
      <c r="AH210" s="84"/>
      <c r="AI210" s="85"/>
      <c r="AJ210" s="85"/>
      <c r="AK210" s="84"/>
      <c r="AL210" s="85"/>
      <c r="AM210" s="85"/>
      <c r="AN210" s="84"/>
      <c r="AO210" s="85"/>
      <c r="AP210" s="85"/>
      <c r="AQ210" s="84"/>
      <c r="AR210" s="85"/>
      <c r="AS210" s="85"/>
      <c r="AT210" s="84"/>
      <c r="AU210" s="85"/>
      <c r="AV210" s="85"/>
      <c r="AW210" s="84"/>
      <c r="AX210" s="85"/>
      <c r="AY210" s="85"/>
      <c r="AZ210" s="84"/>
      <c r="BA210" s="85"/>
      <c r="BB210" s="85"/>
      <c r="BC210" s="84"/>
      <c r="BD210" s="27"/>
      <c r="BJ210" s="90" t="s">
        <v>1251</v>
      </c>
    </row>
    <row r="211" spans="1:62" s="90" customFormat="1" ht="12.75">
      <c r="A211" s="83" t="s">
        <v>1252</v>
      </c>
      <c r="B211" s="84">
        <v>2</v>
      </c>
      <c r="C211" s="84" t="s">
        <v>1253</v>
      </c>
      <c r="D211" s="84" t="s">
        <v>1254</v>
      </c>
      <c r="E211" s="85">
        <v>16900000</v>
      </c>
      <c r="F211" s="85"/>
      <c r="G211" s="85">
        <v>128000</v>
      </c>
      <c r="H211" s="86">
        <v>44406</v>
      </c>
      <c r="I211" s="85">
        <v>16463105</v>
      </c>
      <c r="J211" s="84">
        <v>240</v>
      </c>
      <c r="K211" s="87">
        <f t="shared" ca="1" si="0"/>
        <v>213.23333333333335</v>
      </c>
      <c r="L211" s="88"/>
      <c r="M211" s="84">
        <f t="shared" ca="1" si="1"/>
        <v>128000</v>
      </c>
      <c r="N211" s="84"/>
      <c r="O211" s="89">
        <f t="shared" si="2"/>
        <v>0</v>
      </c>
      <c r="P211" s="89"/>
      <c r="Q211" s="85">
        <f t="shared" si="3"/>
        <v>0</v>
      </c>
      <c r="R211" s="85" t="str">
        <f t="shared" si="4"/>
        <v/>
      </c>
      <c r="S211" s="84"/>
      <c r="T211" s="85"/>
      <c r="U211" s="85"/>
      <c r="V211" s="84"/>
      <c r="W211" s="85"/>
      <c r="X211" s="85"/>
      <c r="Y211" s="84"/>
      <c r="Z211" s="85"/>
      <c r="AA211" s="85"/>
      <c r="AB211" s="84"/>
      <c r="AC211" s="85"/>
      <c r="AD211" s="85"/>
      <c r="AE211" s="84"/>
      <c r="AF211" s="85"/>
      <c r="AG211" s="85"/>
      <c r="AH211" s="84"/>
      <c r="AI211" s="85"/>
      <c r="AJ211" s="85"/>
      <c r="AK211" s="84"/>
      <c r="AL211" s="85"/>
      <c r="AM211" s="85"/>
      <c r="AN211" s="84"/>
      <c r="AO211" s="85"/>
      <c r="AP211" s="85"/>
      <c r="AQ211" s="84"/>
      <c r="AR211" s="85"/>
      <c r="AS211" s="85"/>
      <c r="AT211" s="84"/>
      <c r="AU211" s="85"/>
      <c r="AV211" s="85"/>
      <c r="AW211" s="84"/>
      <c r="AX211" s="85"/>
      <c r="AY211" s="85"/>
      <c r="AZ211" s="84"/>
      <c r="BA211" s="85"/>
      <c r="BB211" s="85"/>
      <c r="BC211" s="84" t="s">
        <v>1255</v>
      </c>
      <c r="BD211" s="27"/>
      <c r="BJ211" s="90" t="s">
        <v>1256</v>
      </c>
    </row>
    <row r="212" spans="1:62" ht="15">
      <c r="B212" s="91" t="s">
        <v>1257</v>
      </c>
      <c r="C212" s="92"/>
      <c r="D212" s="93"/>
      <c r="E212" s="94">
        <f>SUM(E26:E211)</f>
        <v>1219687218</v>
      </c>
      <c r="F212" s="94"/>
      <c r="G212" s="94">
        <f>SUM(G26:G211)</f>
        <v>10488637</v>
      </c>
      <c r="H212" s="94"/>
      <c r="I212" s="94">
        <f>SUM(I26:I211)</f>
        <v>376023650</v>
      </c>
      <c r="J212" s="92"/>
      <c r="K212" s="92"/>
      <c r="L212" s="92"/>
      <c r="M212" s="94">
        <f ca="1">SUM(M26:M211)</f>
        <v>5339153</v>
      </c>
      <c r="N212" s="94">
        <f>SUM(N26:N211)</f>
        <v>0</v>
      </c>
      <c r="O212" s="94">
        <v>0</v>
      </c>
      <c r="P212" s="94"/>
      <c r="Q212" s="94">
        <v>0</v>
      </c>
      <c r="R212" s="94" t="str">
        <f>IFERROR(SUBTOTAL(101,#REF!),"")</f>
        <v/>
      </c>
      <c r="S212" s="94">
        <f>SUM(S26:S211)</f>
        <v>0</v>
      </c>
      <c r="T212" s="94">
        <f>SUM(T26:T211)</f>
        <v>0</v>
      </c>
      <c r="U212" s="94" t="str">
        <f>IFERROR(SUBTOTAL(101,#REF!),"")</f>
        <v/>
      </c>
      <c r="V212" s="94">
        <v>4</v>
      </c>
      <c r="W212" s="94">
        <f>SUM(W26:W211)</f>
        <v>0</v>
      </c>
      <c r="X212" s="94" t="str">
        <f>IFERROR(SUBTOTAL(101,#REF!),"")</f>
        <v/>
      </c>
      <c r="Y212" s="94">
        <f t="shared" ref="Y212:BC212" si="5">SUM(Y26:Y211)</f>
        <v>0</v>
      </c>
      <c r="Z212" s="94">
        <f t="shared" si="5"/>
        <v>0</v>
      </c>
      <c r="AA212" s="94">
        <f t="shared" si="5"/>
        <v>0</v>
      </c>
      <c r="AB212" s="94">
        <f t="shared" si="5"/>
        <v>0</v>
      </c>
      <c r="AC212" s="94">
        <f t="shared" si="5"/>
        <v>0</v>
      </c>
      <c r="AD212" s="94">
        <f t="shared" si="5"/>
        <v>0</v>
      </c>
      <c r="AE212" s="94">
        <f t="shared" si="5"/>
        <v>0</v>
      </c>
      <c r="AF212" s="94">
        <f t="shared" si="5"/>
        <v>0</v>
      </c>
      <c r="AG212" s="94">
        <f t="shared" si="5"/>
        <v>0</v>
      </c>
      <c r="AH212" s="94">
        <f t="shared" si="5"/>
        <v>0</v>
      </c>
      <c r="AI212" s="94">
        <f t="shared" si="5"/>
        <v>0</v>
      </c>
      <c r="AJ212" s="94">
        <f t="shared" si="5"/>
        <v>0</v>
      </c>
      <c r="AK212" s="94">
        <f t="shared" si="5"/>
        <v>0</v>
      </c>
      <c r="AL212" s="94">
        <f t="shared" si="5"/>
        <v>0</v>
      </c>
      <c r="AM212" s="94">
        <f t="shared" si="5"/>
        <v>0</v>
      </c>
      <c r="AN212" s="94">
        <f t="shared" si="5"/>
        <v>0</v>
      </c>
      <c r="AO212" s="94">
        <f t="shared" si="5"/>
        <v>0</v>
      </c>
      <c r="AP212" s="94">
        <f t="shared" si="5"/>
        <v>0</v>
      </c>
      <c r="AQ212" s="94">
        <f t="shared" si="5"/>
        <v>0</v>
      </c>
      <c r="AR212" s="94">
        <f t="shared" si="5"/>
        <v>0</v>
      </c>
      <c r="AS212" s="94">
        <f t="shared" si="5"/>
        <v>0</v>
      </c>
      <c r="AT212" s="94">
        <f t="shared" si="5"/>
        <v>0</v>
      </c>
      <c r="AU212" s="94">
        <f t="shared" si="5"/>
        <v>0</v>
      </c>
      <c r="AV212" s="94">
        <f t="shared" si="5"/>
        <v>0</v>
      </c>
      <c r="AW212" s="94">
        <f t="shared" si="5"/>
        <v>0</v>
      </c>
      <c r="AX212" s="94">
        <f t="shared" si="5"/>
        <v>0</v>
      </c>
      <c r="AY212" s="94">
        <f t="shared" si="5"/>
        <v>0</v>
      </c>
      <c r="AZ212" s="94">
        <f t="shared" si="5"/>
        <v>0</v>
      </c>
      <c r="BA212" s="94">
        <f t="shared" si="5"/>
        <v>0</v>
      </c>
      <c r="BB212" s="94">
        <f t="shared" si="5"/>
        <v>0</v>
      </c>
      <c r="BC212" s="94">
        <f t="shared" si="5"/>
        <v>0</v>
      </c>
    </row>
  </sheetData>
  <mergeCells count="162">
    <mergeCell ref="B2:Z2"/>
    <mergeCell ref="K10:N10"/>
    <mergeCell ref="S18:V18"/>
    <mergeCell ref="O10:R10"/>
    <mergeCell ref="W18:Z18"/>
    <mergeCell ref="S10:V10"/>
    <mergeCell ref="W10:Z10"/>
    <mergeCell ref="B19:D19"/>
    <mergeCell ref="E19:G19"/>
    <mergeCell ref="H19:J19"/>
    <mergeCell ref="B11:D11"/>
    <mergeCell ref="K19:N19"/>
    <mergeCell ref="E11:G11"/>
    <mergeCell ref="O19:R19"/>
    <mergeCell ref="H11:J11"/>
    <mergeCell ref="W8:Z8"/>
    <mergeCell ref="B17:D17"/>
    <mergeCell ref="E17:G17"/>
    <mergeCell ref="B9:D9"/>
    <mergeCell ref="E9:G9"/>
    <mergeCell ref="B18:D18"/>
    <mergeCell ref="E18:G18"/>
    <mergeCell ref="B10:D10"/>
    <mergeCell ref="E10:G10"/>
    <mergeCell ref="AZ24:BB24"/>
    <mergeCell ref="O17:R17"/>
    <mergeCell ref="BC24:BC25"/>
    <mergeCell ref="H9:J9"/>
    <mergeCell ref="K9:N9"/>
    <mergeCell ref="S17:V17"/>
    <mergeCell ref="W17:Z17"/>
    <mergeCell ref="O9:R9"/>
    <mergeCell ref="S9:V9"/>
    <mergeCell ref="W9:Z9"/>
    <mergeCell ref="H18:J18"/>
    <mergeCell ref="K18:N18"/>
    <mergeCell ref="O18:R18"/>
    <mergeCell ref="H10:J10"/>
    <mergeCell ref="AK24:AM24"/>
    <mergeCell ref="AN24:AP24"/>
    <mergeCell ref="AQ24:AS24"/>
    <mergeCell ref="AT24:AV24"/>
    <mergeCell ref="H17:J17"/>
    <mergeCell ref="AW24:AY24"/>
    <mergeCell ref="K17:N17"/>
    <mergeCell ref="Y24:AA24"/>
    <mergeCell ref="AB24:AD24"/>
    <mergeCell ref="W16:Z16"/>
    <mergeCell ref="O8:R8"/>
    <mergeCell ref="AE24:AG24"/>
    <mergeCell ref="AH24:AJ24"/>
    <mergeCell ref="S8:V8"/>
    <mergeCell ref="B24:B25"/>
    <mergeCell ref="C24:C25"/>
    <mergeCell ref="D24:D25"/>
    <mergeCell ref="E24:E25"/>
    <mergeCell ref="F24:F25"/>
    <mergeCell ref="G24:G25"/>
    <mergeCell ref="W7:Z7"/>
    <mergeCell ref="H24:H25"/>
    <mergeCell ref="I24:I25"/>
    <mergeCell ref="J24:J25"/>
    <mergeCell ref="B16:D16"/>
    <mergeCell ref="K24:K25"/>
    <mergeCell ref="L24:M25"/>
    <mergeCell ref="E16:G16"/>
    <mergeCell ref="N24:N25"/>
    <mergeCell ref="O24:R24"/>
    <mergeCell ref="H16:J16"/>
    <mergeCell ref="B8:D8"/>
    <mergeCell ref="S24:U24"/>
    <mergeCell ref="K16:N16"/>
    <mergeCell ref="E8:G8"/>
    <mergeCell ref="V24:X24"/>
    <mergeCell ref="O16:R16"/>
    <mergeCell ref="B23:N23"/>
    <mergeCell ref="K8:N8"/>
    <mergeCell ref="S16:V16"/>
    <mergeCell ref="B15:D15"/>
    <mergeCell ref="E15:G15"/>
    <mergeCell ref="O23:BC23"/>
    <mergeCell ref="H15:J15"/>
    <mergeCell ref="B7:D7"/>
    <mergeCell ref="K15:N15"/>
    <mergeCell ref="E7:G7"/>
    <mergeCell ref="O15:R15"/>
    <mergeCell ref="H7:J7"/>
    <mergeCell ref="S15:V15"/>
    <mergeCell ref="K7:N7"/>
    <mergeCell ref="W15:Z15"/>
    <mergeCell ref="O7:R7"/>
    <mergeCell ref="H8:J8"/>
    <mergeCell ref="B21:D21"/>
    <mergeCell ref="S19:V19"/>
    <mergeCell ref="K11:N11"/>
    <mergeCell ref="S7:V7"/>
    <mergeCell ref="E21:G21"/>
    <mergeCell ref="H21:J21"/>
    <mergeCell ref="W4:Z4"/>
    <mergeCell ref="B13:D13"/>
    <mergeCell ref="K21:N21"/>
    <mergeCell ref="E13:G13"/>
    <mergeCell ref="O21:R21"/>
    <mergeCell ref="H13:J13"/>
    <mergeCell ref="B5:D5"/>
    <mergeCell ref="K13:N13"/>
    <mergeCell ref="S21:V21"/>
    <mergeCell ref="E5:G5"/>
    <mergeCell ref="O13:R13"/>
    <mergeCell ref="W21:Z21"/>
    <mergeCell ref="H5:J5"/>
    <mergeCell ref="S13:V13"/>
    <mergeCell ref="K5:N5"/>
    <mergeCell ref="W13:Z13"/>
    <mergeCell ref="O5:R5"/>
    <mergeCell ref="S5:V5"/>
    <mergeCell ref="W5:Z5"/>
    <mergeCell ref="B14:D14"/>
    <mergeCell ref="B20:D20"/>
    <mergeCell ref="S6:V6"/>
    <mergeCell ref="E20:G20"/>
    <mergeCell ref="W3:Z3"/>
    <mergeCell ref="H20:J20"/>
    <mergeCell ref="B12:D12"/>
    <mergeCell ref="K20:N20"/>
    <mergeCell ref="E12:G12"/>
    <mergeCell ref="O20:R20"/>
    <mergeCell ref="H12:J12"/>
    <mergeCell ref="B4:D4"/>
    <mergeCell ref="S20:V20"/>
    <mergeCell ref="K12:N12"/>
    <mergeCell ref="E4:G4"/>
    <mergeCell ref="O12:R12"/>
    <mergeCell ref="W20:Z20"/>
    <mergeCell ref="H4:J4"/>
    <mergeCell ref="K4:N4"/>
    <mergeCell ref="S12:V12"/>
    <mergeCell ref="W12:Z12"/>
    <mergeCell ref="O4:R4"/>
    <mergeCell ref="E14:G14"/>
    <mergeCell ref="H14:J14"/>
    <mergeCell ref="B6:D6"/>
    <mergeCell ref="B3:D3"/>
    <mergeCell ref="S4:V4"/>
    <mergeCell ref="E3:G3"/>
    <mergeCell ref="O11:R11"/>
    <mergeCell ref="W19:Z19"/>
    <mergeCell ref="H3:J3"/>
    <mergeCell ref="S11:V11"/>
    <mergeCell ref="K3:N3"/>
    <mergeCell ref="W11:Z11"/>
    <mergeCell ref="O3:R3"/>
    <mergeCell ref="K14:N14"/>
    <mergeCell ref="E6:G6"/>
    <mergeCell ref="O14:R14"/>
    <mergeCell ref="H6:J6"/>
    <mergeCell ref="S14:V14"/>
    <mergeCell ref="K6:N6"/>
    <mergeCell ref="W14:Z14"/>
    <mergeCell ref="O6:R6"/>
    <mergeCell ref="S3:V3"/>
    <mergeCell ref="W6:Z6"/>
  </mergeCells>
  <dataValidations count="1">
    <dataValidation type="whole" allowBlank="1" showInputMessage="1" showErrorMessage="1" errorTitle="Error" error="Not a valid Date" promptTitle="Date" prompt="Insert a date (DD)" sqref="S26:S211 V26:V211 Y26:Y211 AB26:AB211 AE26:AE211 AH26:AH211 AK26:AK211 AN26:AN211 AQ26:AQ211 AT26:AT211 AW26:AW211 AZ26:AZ211" xr:uid="{00000000-0002-0000-0500-000000000000}">
      <formula1>1</formula1>
      <formula2>31</formula2>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tabColor rgb="FF0F243F"/>
  </sheetPr>
  <dimension ref="A1:AMJ73"/>
  <sheetViews>
    <sheetView workbookViewId="0"/>
  </sheetViews>
  <sheetFormatPr defaultRowHeight="15.75" customHeight="1"/>
  <cols>
    <col min="1" max="1" width="2.85546875" style="95"/>
    <col min="2" max="2" width="4.140625" style="95"/>
    <col min="3" max="3" width="21" style="95"/>
    <col min="4" max="4" width="25.5703125" style="95"/>
    <col min="5" max="5" width="43.85546875" style="95"/>
    <col min="6" max="6" width="13.7109375" style="95"/>
    <col min="7" max="7" width="15.5703125" style="95"/>
    <col min="8" max="8" width="13.7109375" style="95"/>
    <col min="9" max="9" width="14.7109375" style="95"/>
    <col min="10" max="10" width="67.5703125" style="95"/>
    <col min="11" max="1024" width="9.85546875" style="95"/>
    <col min="1025" max="1025" width="11.42578125"/>
  </cols>
  <sheetData>
    <row r="1" spans="2:7" ht="15"/>
    <row r="2" spans="2:7" ht="21" customHeight="1">
      <c r="B2" s="572" t="s">
        <v>1258</v>
      </c>
      <c r="C2" s="573"/>
      <c r="D2" s="573"/>
      <c r="E2" s="573"/>
      <c r="F2" s="573"/>
      <c r="G2" s="574"/>
    </row>
    <row r="3" spans="2:7" ht="15">
      <c r="B3" s="553" t="s">
        <v>1259</v>
      </c>
      <c r="C3" s="554"/>
      <c r="D3" s="555"/>
      <c r="E3" s="558" t="s">
        <v>1260</v>
      </c>
      <c r="F3" s="558"/>
      <c r="G3" s="558"/>
    </row>
    <row r="4" spans="2:7" ht="15">
      <c r="B4" s="561" t="s">
        <v>1261</v>
      </c>
      <c r="C4" s="562"/>
      <c r="D4" s="563"/>
      <c r="E4" s="565" t="s">
        <v>1262</v>
      </c>
      <c r="F4" s="565"/>
      <c r="G4" s="565"/>
    </row>
    <row r="5" spans="2:7" ht="15">
      <c r="B5" s="561" t="s">
        <v>1263</v>
      </c>
      <c r="C5" s="562"/>
      <c r="D5" s="563"/>
      <c r="E5" s="565" t="s">
        <v>1264</v>
      </c>
      <c r="F5" s="565"/>
      <c r="G5" s="565"/>
    </row>
    <row r="6" spans="2:7" ht="15">
      <c r="B6" s="561" t="s">
        <v>1265</v>
      </c>
      <c r="C6" s="562"/>
      <c r="D6" s="563"/>
      <c r="E6" s="569" t="s">
        <v>1266</v>
      </c>
      <c r="F6" s="569"/>
      <c r="G6" s="569"/>
    </row>
    <row r="7" spans="2:7" ht="15">
      <c r="B7" s="561" t="s">
        <v>1267</v>
      </c>
      <c r="C7" s="562"/>
      <c r="D7" s="563"/>
      <c r="E7" s="565" t="s">
        <v>1268</v>
      </c>
      <c r="F7" s="565"/>
      <c r="G7" s="565"/>
    </row>
    <row r="8" spans="2:7" ht="15">
      <c r="B8" s="561" t="s">
        <v>1269</v>
      </c>
      <c r="C8" s="562"/>
      <c r="D8" s="563"/>
      <c r="E8" s="565" t="s">
        <v>1270</v>
      </c>
      <c r="F8" s="565"/>
      <c r="G8" s="565"/>
    </row>
    <row r="9" spans="2:7" ht="15">
      <c r="B9" s="561" t="s">
        <v>1271</v>
      </c>
      <c r="C9" s="562"/>
      <c r="D9" s="563"/>
      <c r="E9" s="565" t="s">
        <v>1272</v>
      </c>
      <c r="F9" s="565"/>
      <c r="G9" s="565"/>
    </row>
    <row r="10" spans="2:7" ht="15">
      <c r="B10" s="561" t="s">
        <v>1273</v>
      </c>
      <c r="C10" s="562"/>
      <c r="D10" s="563"/>
      <c r="E10" s="568">
        <v>182500000</v>
      </c>
      <c r="F10" s="568"/>
      <c r="G10" s="568"/>
    </row>
    <row r="11" spans="2:7" ht="15">
      <c r="B11" s="561" t="s">
        <v>1274</v>
      </c>
      <c r="C11" s="562"/>
      <c r="D11" s="563"/>
      <c r="E11" s="568">
        <v>173106070</v>
      </c>
      <c r="F11" s="568"/>
      <c r="G11" s="568"/>
    </row>
    <row r="12" spans="2:7" ht="15">
      <c r="B12" s="561" t="s">
        <v>1275</v>
      </c>
      <c r="C12" s="562"/>
      <c r="D12" s="563"/>
      <c r="E12" s="565">
        <v>0</v>
      </c>
      <c r="F12" s="565"/>
      <c r="G12" s="565"/>
    </row>
    <row r="13" spans="2:7" ht="15">
      <c r="B13" s="561" t="s">
        <v>1276</v>
      </c>
      <c r="C13" s="562"/>
      <c r="D13" s="563"/>
      <c r="E13" s="96">
        <v>34564</v>
      </c>
      <c r="F13" s="97" t="s">
        <v>1277</v>
      </c>
      <c r="G13" s="98" t="str">
        <f ca="1">IF(E13&lt;&gt;"",DATEDIF(E13,TODAY(),"Y")&amp;" Years","")</f>
        <v>29 Years</v>
      </c>
    </row>
    <row r="14" spans="2:7" ht="31.5" customHeight="1">
      <c r="B14" s="561" t="s">
        <v>1278</v>
      </c>
      <c r="C14" s="562"/>
      <c r="D14" s="563"/>
      <c r="E14" s="584" t="s">
        <v>1279</v>
      </c>
      <c r="F14" s="584"/>
      <c r="G14" s="584"/>
    </row>
    <row r="15" spans="2:7" ht="40.5" customHeight="1">
      <c r="B15" s="581" t="s">
        <v>1280</v>
      </c>
      <c r="C15" s="582"/>
      <c r="D15" s="583"/>
      <c r="E15" s="584" t="s">
        <v>1281</v>
      </c>
      <c r="F15" s="584"/>
      <c r="G15" s="584"/>
    </row>
    <row r="16" spans="2:7" ht="15">
      <c r="B16" s="561" t="s">
        <v>1282</v>
      </c>
      <c r="C16" s="562"/>
      <c r="D16" s="563"/>
      <c r="E16" s="565" t="s">
        <v>1283</v>
      </c>
      <c r="F16" s="565"/>
      <c r="G16" s="565"/>
    </row>
    <row r="17" spans="1:26" ht="15">
      <c r="B17" s="561" t="s">
        <v>1284</v>
      </c>
      <c r="C17" s="562"/>
      <c r="D17" s="563"/>
      <c r="E17" s="565" t="s">
        <v>1285</v>
      </c>
      <c r="F17" s="565"/>
      <c r="G17" s="565"/>
    </row>
    <row r="18" spans="1:26" ht="15">
      <c r="B18" s="561" t="s">
        <v>1286</v>
      </c>
      <c r="C18" s="562"/>
      <c r="D18" s="563"/>
      <c r="E18" s="565"/>
      <c r="F18" s="565"/>
      <c r="G18" s="565"/>
    </row>
    <row r="19" spans="1:26" ht="15">
      <c r="B19" s="561" t="s">
        <v>1287</v>
      </c>
      <c r="C19" s="562"/>
      <c r="D19" s="563"/>
      <c r="E19" s="565" t="s">
        <v>1288</v>
      </c>
      <c r="F19" s="565"/>
      <c r="G19" s="565"/>
    </row>
    <row r="20" spans="1:26" ht="15">
      <c r="B20" s="561" t="s">
        <v>1289</v>
      </c>
      <c r="C20" s="562"/>
      <c r="D20" s="563"/>
      <c r="E20" s="564">
        <v>44834</v>
      </c>
      <c r="F20" s="565"/>
      <c r="G20" s="565"/>
    </row>
    <row r="21" spans="1:26" ht="15">
      <c r="B21" s="561" t="s">
        <v>1290</v>
      </c>
      <c r="C21" s="562"/>
      <c r="D21" s="563"/>
      <c r="E21" s="564">
        <v>44651</v>
      </c>
      <c r="F21" s="565"/>
      <c r="G21" s="565"/>
    </row>
    <row r="22" spans="1:26" ht="15">
      <c r="B22" s="561" t="s">
        <v>1291</v>
      </c>
      <c r="C22" s="562"/>
      <c r="D22" s="563"/>
      <c r="E22" s="570" t="s">
        <v>1292</v>
      </c>
      <c r="F22" s="570"/>
      <c r="G22" s="570"/>
    </row>
    <row r="23" spans="1:26" ht="15">
      <c r="B23" s="575" t="s">
        <v>1293</v>
      </c>
      <c r="C23" s="576"/>
      <c r="D23" s="577"/>
      <c r="E23" s="578"/>
      <c r="F23" s="579"/>
      <c r="G23" s="580"/>
    </row>
    <row r="24" spans="1:26" ht="15"/>
    <row r="25" spans="1:26" ht="21" customHeight="1">
      <c r="B25" s="567" t="s">
        <v>1294</v>
      </c>
      <c r="C25" s="567"/>
      <c r="D25" s="567"/>
      <c r="E25" s="567"/>
      <c r="G25" s="99" t="s">
        <v>1295</v>
      </c>
      <c r="H25" s="100" t="s">
        <v>1296</v>
      </c>
      <c r="I25" s="100" t="s">
        <v>1297</v>
      </c>
    </row>
    <row r="26" spans="1:26" ht="15">
      <c r="B26" s="560" t="s">
        <v>1298</v>
      </c>
      <c r="C26" s="560"/>
      <c r="D26" s="101">
        <v>5</v>
      </c>
      <c r="E26" s="102">
        <v>811512000</v>
      </c>
      <c r="G26" s="103" t="s">
        <v>1299</v>
      </c>
      <c r="H26" s="104">
        <f>E20+30</f>
        <v>44864</v>
      </c>
      <c r="I26" s="104">
        <f>E20+60</f>
        <v>44894</v>
      </c>
    </row>
    <row r="27" spans="1:26" ht="15">
      <c r="B27" s="560" t="s">
        <v>1300</v>
      </c>
      <c r="C27" s="560"/>
      <c r="D27" s="101">
        <v>29</v>
      </c>
      <c r="E27" s="102">
        <v>3820545000</v>
      </c>
      <c r="G27" s="103" t="s">
        <v>1301</v>
      </c>
      <c r="H27" s="105">
        <v>44881</v>
      </c>
      <c r="I27" s="105">
        <v>44889</v>
      </c>
    </row>
    <row r="28" spans="1:26" s="95" customFormat="1" ht="15">
      <c r="B28" s="560" t="s">
        <v>1302</v>
      </c>
      <c r="C28" s="560"/>
      <c r="D28" s="106">
        <f>SUM(D26:D27)</f>
        <v>34</v>
      </c>
      <c r="E28" s="107">
        <f>SUM(E26:E27)</f>
        <v>4632057000</v>
      </c>
      <c r="G28" s="103" t="s">
        <v>1303</v>
      </c>
      <c r="H28" s="108" t="str">
        <f>IF(H27-H26&lt;0,"No Delay","Delayed")</f>
        <v>Delayed</v>
      </c>
      <c r="I28" s="108" t="str">
        <f>IF(I27-I26&lt;0,"No Delay","Delayed")</f>
        <v>No Delay</v>
      </c>
      <c r="J28" s="95">
        <f>COUNTIF(H28:I28,"Delayed")</f>
        <v>1</v>
      </c>
    </row>
    <row r="29" spans="1:26" ht="15"/>
    <row r="30" spans="1:26" s="95" customFormat="1" ht="21" customHeight="1">
      <c r="B30" s="567" t="s">
        <v>1304</v>
      </c>
      <c r="C30" s="567"/>
      <c r="D30" s="567"/>
      <c r="E30" s="567"/>
      <c r="F30" s="567"/>
      <c r="G30" s="567"/>
      <c r="H30" s="567"/>
      <c r="I30" s="567"/>
      <c r="J30" s="567"/>
    </row>
    <row r="31" spans="1:26" s="95" customFormat="1" ht="30">
      <c r="B31" s="109" t="s">
        <v>1305</v>
      </c>
      <c r="C31" s="109" t="s">
        <v>1306</v>
      </c>
      <c r="D31" s="109" t="s">
        <v>1307</v>
      </c>
      <c r="E31" s="109" t="s">
        <v>1308</v>
      </c>
      <c r="F31" s="109" t="s">
        <v>1309</v>
      </c>
      <c r="G31" s="109" t="s">
        <v>1310</v>
      </c>
      <c r="H31" s="109" t="s">
        <v>1311</v>
      </c>
      <c r="I31" s="109" t="s">
        <v>1312</v>
      </c>
      <c r="J31" s="109" t="s">
        <v>1313</v>
      </c>
    </row>
    <row r="32" spans="1:26" ht="16.5" customHeight="1">
      <c r="A32" s="110"/>
      <c r="B32" s="111">
        <v>1</v>
      </c>
      <c r="C32" s="111" t="s">
        <v>1314</v>
      </c>
      <c r="D32" s="111">
        <v>10446072</v>
      </c>
      <c r="E32" s="111" t="s">
        <v>1315</v>
      </c>
      <c r="F32" s="112">
        <v>41496</v>
      </c>
      <c r="G32" s="111" t="s">
        <v>1316</v>
      </c>
      <c r="H32" s="111" t="s">
        <v>1317</v>
      </c>
      <c r="I32" s="113">
        <v>39012000</v>
      </c>
      <c r="J32" s="111" t="s">
        <v>1318</v>
      </c>
      <c r="K32" s="110"/>
      <c r="L32" s="110"/>
      <c r="M32" s="110"/>
      <c r="N32" s="110"/>
      <c r="O32" s="110"/>
      <c r="P32" s="110"/>
      <c r="Q32" s="110"/>
      <c r="R32" s="110"/>
      <c r="S32" s="110"/>
      <c r="T32" s="110"/>
      <c r="U32" s="110"/>
      <c r="V32" s="110"/>
      <c r="W32" s="110"/>
      <c r="X32" s="110"/>
      <c r="Y32" s="110"/>
      <c r="Z32" s="110"/>
    </row>
    <row r="33" spans="1:26" ht="16.5" customHeight="1">
      <c r="A33" s="110"/>
      <c r="B33" s="114">
        <v>2</v>
      </c>
      <c r="C33" s="114" t="s">
        <v>1319</v>
      </c>
      <c r="D33" s="114">
        <v>10362508</v>
      </c>
      <c r="E33" s="114" t="s">
        <v>1320</v>
      </c>
      <c r="F33" s="115">
        <v>41039</v>
      </c>
      <c r="G33" s="115">
        <v>41169</v>
      </c>
      <c r="H33" s="114" t="s">
        <v>1321</v>
      </c>
      <c r="I33" s="116">
        <v>29000000</v>
      </c>
      <c r="J33" s="114" t="s">
        <v>1322</v>
      </c>
      <c r="K33" s="110"/>
      <c r="L33" s="110"/>
      <c r="M33" s="110"/>
      <c r="N33" s="110"/>
      <c r="O33" s="110"/>
      <c r="P33" s="110"/>
      <c r="Q33" s="110"/>
      <c r="R33" s="110"/>
      <c r="S33" s="110"/>
      <c r="T33" s="110"/>
      <c r="U33" s="110"/>
      <c r="V33" s="110"/>
      <c r="W33" s="110"/>
      <c r="X33" s="110"/>
      <c r="Y33" s="110"/>
      <c r="Z33" s="110"/>
    </row>
    <row r="34" spans="1:26" ht="16.5" customHeight="1">
      <c r="A34" s="110"/>
      <c r="B34" s="114">
        <v>3</v>
      </c>
      <c r="C34" s="114" t="s">
        <v>1323</v>
      </c>
      <c r="D34" s="114">
        <v>10311477</v>
      </c>
      <c r="E34" s="114" t="s">
        <v>1324</v>
      </c>
      <c r="F34" s="115">
        <v>40799</v>
      </c>
      <c r="G34" s="114" t="s">
        <v>1325</v>
      </c>
      <c r="H34" s="114" t="s">
        <v>1326</v>
      </c>
      <c r="I34" s="116">
        <v>38500000</v>
      </c>
      <c r="J34" s="114" t="s">
        <v>1327</v>
      </c>
      <c r="K34" s="110"/>
      <c r="L34" s="110"/>
      <c r="M34" s="110"/>
      <c r="N34" s="110"/>
      <c r="O34" s="110"/>
      <c r="P34" s="110"/>
      <c r="Q34" s="110"/>
      <c r="R34" s="110"/>
      <c r="S34" s="110"/>
      <c r="T34" s="110"/>
      <c r="U34" s="110"/>
      <c r="V34" s="110"/>
      <c r="W34" s="110"/>
      <c r="X34" s="110"/>
      <c r="Y34" s="110"/>
      <c r="Z34" s="110"/>
    </row>
    <row r="35" spans="1:26" ht="16.5" customHeight="1">
      <c r="A35" s="110"/>
      <c r="B35" s="114">
        <v>4</v>
      </c>
      <c r="C35" s="114" t="s">
        <v>1328</v>
      </c>
      <c r="D35" s="114">
        <v>10304926</v>
      </c>
      <c r="E35" s="114" t="s">
        <v>1329</v>
      </c>
      <c r="F35" s="115">
        <v>40735</v>
      </c>
      <c r="G35" s="115">
        <v>44816</v>
      </c>
      <c r="H35" s="114" t="s">
        <v>1330</v>
      </c>
      <c r="I35" s="116">
        <v>520000000</v>
      </c>
      <c r="J35" s="114" t="s">
        <v>1331</v>
      </c>
      <c r="K35" s="110"/>
      <c r="L35" s="110"/>
      <c r="M35" s="110"/>
      <c r="N35" s="110"/>
      <c r="O35" s="110"/>
      <c r="P35" s="110"/>
      <c r="Q35" s="110"/>
      <c r="R35" s="110"/>
      <c r="S35" s="110"/>
      <c r="T35" s="110"/>
      <c r="U35" s="110"/>
      <c r="V35" s="110"/>
      <c r="W35" s="110"/>
      <c r="X35" s="110"/>
      <c r="Y35" s="110"/>
      <c r="Z35" s="110"/>
    </row>
    <row r="36" spans="1:26" ht="16.5" customHeight="1">
      <c r="A36" s="110"/>
      <c r="B36" s="114">
        <v>5</v>
      </c>
      <c r="C36" s="114" t="s">
        <v>1332</v>
      </c>
      <c r="D36" s="114">
        <v>10182417</v>
      </c>
      <c r="E36" s="114" t="s">
        <v>1333</v>
      </c>
      <c r="F36" s="115">
        <v>40072</v>
      </c>
      <c r="G36" s="115">
        <v>45159</v>
      </c>
      <c r="H36" s="114" t="s">
        <v>1334</v>
      </c>
      <c r="I36" s="116">
        <v>185000000</v>
      </c>
      <c r="J36" s="114" t="s">
        <v>1335</v>
      </c>
      <c r="K36" s="110"/>
      <c r="L36" s="110"/>
      <c r="M36" s="110"/>
      <c r="N36" s="110"/>
      <c r="O36" s="110"/>
      <c r="P36" s="110"/>
      <c r="Q36" s="110"/>
      <c r="R36" s="110"/>
      <c r="S36" s="110"/>
      <c r="T36" s="110"/>
      <c r="U36" s="110"/>
      <c r="V36" s="110"/>
      <c r="W36" s="110"/>
      <c r="X36" s="110"/>
      <c r="Y36" s="110"/>
      <c r="Z36" s="110"/>
    </row>
    <row r="37" spans="1:26" ht="16.5" customHeight="1">
      <c r="A37" s="110"/>
      <c r="B37" s="114">
        <v>6</v>
      </c>
      <c r="C37" s="114" t="s">
        <v>1336</v>
      </c>
      <c r="D37" s="114">
        <v>10411906</v>
      </c>
      <c r="E37" s="114" t="s">
        <v>1337</v>
      </c>
      <c r="F37" s="115">
        <v>41339</v>
      </c>
      <c r="G37" s="115">
        <v>43466</v>
      </c>
      <c r="H37" s="115">
        <v>45085</v>
      </c>
      <c r="I37" s="116">
        <v>10500000</v>
      </c>
      <c r="J37" s="114" t="s">
        <v>1338</v>
      </c>
      <c r="K37" s="110"/>
      <c r="L37" s="110"/>
      <c r="M37" s="110"/>
      <c r="N37" s="110"/>
      <c r="O37" s="110"/>
      <c r="P37" s="110"/>
      <c r="Q37" s="110"/>
      <c r="R37" s="110"/>
      <c r="S37" s="110"/>
      <c r="T37" s="110"/>
      <c r="U37" s="110"/>
      <c r="V37" s="110"/>
      <c r="W37" s="110"/>
      <c r="X37" s="110"/>
      <c r="Y37" s="110"/>
      <c r="Z37" s="110"/>
    </row>
    <row r="38" spans="1:26" ht="16.5" customHeight="1">
      <c r="A38" s="110"/>
      <c r="B38" s="114">
        <v>7</v>
      </c>
      <c r="C38" s="114" t="s">
        <v>1339</v>
      </c>
      <c r="D38" s="114">
        <v>100479239</v>
      </c>
      <c r="E38" s="114" t="s">
        <v>1340</v>
      </c>
      <c r="F38" s="115">
        <v>44446</v>
      </c>
      <c r="G38" s="114" t="s">
        <v>1341</v>
      </c>
      <c r="H38" s="115">
        <v>45085</v>
      </c>
      <c r="I38" s="116">
        <v>150000000</v>
      </c>
      <c r="J38" s="114" t="s">
        <v>1342</v>
      </c>
      <c r="K38" s="110"/>
      <c r="L38" s="110"/>
      <c r="M38" s="110"/>
      <c r="N38" s="110"/>
      <c r="O38" s="110"/>
      <c r="P38" s="110"/>
      <c r="Q38" s="110"/>
      <c r="R38" s="110"/>
      <c r="S38" s="110"/>
      <c r="T38" s="110"/>
      <c r="U38" s="110"/>
      <c r="V38" s="110"/>
      <c r="W38" s="110"/>
      <c r="X38" s="110"/>
      <c r="Y38" s="110"/>
      <c r="Z38" s="110"/>
    </row>
    <row r="39" spans="1:26" ht="16.5" customHeight="1">
      <c r="A39" s="110"/>
      <c r="B39" s="114">
        <v>8</v>
      </c>
      <c r="C39" s="114" t="s">
        <v>1343</v>
      </c>
      <c r="D39" s="114">
        <v>10524103</v>
      </c>
      <c r="E39" s="114" t="s">
        <v>1344</v>
      </c>
      <c r="F39" s="115">
        <v>41857</v>
      </c>
      <c r="G39" s="115">
        <v>43466</v>
      </c>
      <c r="H39" s="115">
        <v>45042</v>
      </c>
      <c r="I39" s="116">
        <v>325000000</v>
      </c>
      <c r="J39" s="114" t="s">
        <v>1345</v>
      </c>
      <c r="K39" s="110"/>
      <c r="L39" s="110"/>
      <c r="M39" s="110"/>
      <c r="N39" s="110"/>
      <c r="O39" s="110"/>
      <c r="P39" s="110"/>
      <c r="Q39" s="110"/>
      <c r="R39" s="110"/>
      <c r="S39" s="110"/>
      <c r="T39" s="110"/>
      <c r="U39" s="110"/>
      <c r="V39" s="110"/>
      <c r="W39" s="110"/>
      <c r="X39" s="110"/>
      <c r="Y39" s="110"/>
      <c r="Z39" s="110"/>
    </row>
    <row r="40" spans="1:26" ht="16.5" customHeight="1">
      <c r="A40" s="110"/>
      <c r="B40" s="114">
        <v>9</v>
      </c>
      <c r="C40" s="114" t="s">
        <v>1346</v>
      </c>
      <c r="D40" s="114">
        <v>10618700</v>
      </c>
      <c r="E40" s="114" t="s">
        <v>1347</v>
      </c>
      <c r="F40" s="115">
        <v>42382</v>
      </c>
      <c r="G40" s="114" t="s">
        <v>1348</v>
      </c>
      <c r="H40" s="115">
        <v>44922</v>
      </c>
      <c r="I40" s="116">
        <v>15000000</v>
      </c>
      <c r="J40" s="114" t="s">
        <v>1349</v>
      </c>
      <c r="K40" s="110"/>
      <c r="L40" s="110"/>
      <c r="M40" s="110"/>
      <c r="N40" s="110"/>
      <c r="O40" s="110"/>
      <c r="P40" s="110"/>
      <c r="Q40" s="110"/>
      <c r="R40" s="110"/>
      <c r="S40" s="110"/>
      <c r="T40" s="110"/>
      <c r="U40" s="110"/>
      <c r="V40" s="110"/>
      <c r="W40" s="110"/>
      <c r="X40" s="110"/>
      <c r="Y40" s="110"/>
      <c r="Z40" s="110"/>
    </row>
    <row r="41" spans="1:26" ht="16.5" customHeight="1">
      <c r="A41" s="110"/>
      <c r="B41" s="114">
        <v>10</v>
      </c>
      <c r="C41" s="114" t="s">
        <v>1350</v>
      </c>
      <c r="D41" s="114">
        <v>100196322</v>
      </c>
      <c r="E41" s="114" t="s">
        <v>1351</v>
      </c>
      <c r="F41" s="115">
        <v>43269</v>
      </c>
      <c r="G41" s="114" t="s">
        <v>1352</v>
      </c>
      <c r="H41" s="115">
        <v>44725</v>
      </c>
      <c r="I41" s="116">
        <v>250000000</v>
      </c>
      <c r="J41" s="114" t="s">
        <v>1353</v>
      </c>
      <c r="K41" s="110"/>
      <c r="L41" s="110"/>
      <c r="M41" s="110"/>
      <c r="N41" s="110"/>
      <c r="O41" s="110"/>
      <c r="P41" s="110"/>
      <c r="Q41" s="110"/>
      <c r="R41" s="110"/>
      <c r="S41" s="110"/>
      <c r="T41" s="110"/>
      <c r="U41" s="110"/>
      <c r="V41" s="110"/>
      <c r="W41" s="110"/>
      <c r="X41" s="110"/>
      <c r="Y41" s="110"/>
      <c r="Z41" s="110"/>
    </row>
    <row r="42" spans="1:26" ht="16.5" customHeight="1">
      <c r="A42" s="110"/>
      <c r="B42" s="114">
        <v>11</v>
      </c>
      <c r="C42" s="114" t="s">
        <v>1354</v>
      </c>
      <c r="D42" s="114">
        <v>10202178</v>
      </c>
      <c r="E42" s="114" t="s">
        <v>1355</v>
      </c>
      <c r="F42" s="115">
        <v>40212</v>
      </c>
      <c r="G42" s="115">
        <v>42740</v>
      </c>
      <c r="H42" s="115">
        <v>43466</v>
      </c>
      <c r="I42" s="116">
        <v>190000000</v>
      </c>
      <c r="J42" s="114" t="s">
        <v>1356</v>
      </c>
      <c r="K42" s="110"/>
      <c r="L42" s="110"/>
      <c r="M42" s="110"/>
      <c r="N42" s="110"/>
      <c r="O42" s="110"/>
      <c r="P42" s="110"/>
      <c r="Q42" s="110"/>
      <c r="R42" s="110"/>
      <c r="S42" s="110"/>
      <c r="T42" s="110"/>
      <c r="U42" s="110"/>
      <c r="V42" s="110"/>
      <c r="W42" s="110"/>
      <c r="X42" s="110"/>
      <c r="Y42" s="110"/>
      <c r="Z42" s="110"/>
    </row>
    <row r="43" spans="1:26" ht="16.5" customHeight="1">
      <c r="A43" s="110"/>
      <c r="B43" s="114">
        <v>12</v>
      </c>
      <c r="C43" s="114" t="s">
        <v>1357</v>
      </c>
      <c r="D43" s="114">
        <v>10314540</v>
      </c>
      <c r="E43" s="114" t="s">
        <v>1358</v>
      </c>
      <c r="F43" s="115">
        <v>40841</v>
      </c>
      <c r="G43" s="114" t="s">
        <v>1359</v>
      </c>
      <c r="H43" s="115">
        <v>42740</v>
      </c>
      <c r="I43" s="116">
        <v>290500000</v>
      </c>
      <c r="J43" s="114" t="s">
        <v>1360</v>
      </c>
      <c r="K43" s="110"/>
      <c r="L43" s="110"/>
      <c r="M43" s="110"/>
      <c r="N43" s="110"/>
      <c r="O43" s="110"/>
      <c r="P43" s="110"/>
      <c r="Q43" s="110"/>
      <c r="R43" s="110"/>
      <c r="S43" s="110"/>
      <c r="T43" s="110"/>
      <c r="U43" s="110"/>
      <c r="V43" s="110"/>
      <c r="W43" s="110"/>
      <c r="X43" s="110"/>
      <c r="Y43" s="110"/>
      <c r="Z43" s="110"/>
    </row>
    <row r="44" spans="1:26" ht="16.5" customHeight="1">
      <c r="A44" s="110"/>
      <c r="B44" s="114">
        <v>13</v>
      </c>
      <c r="C44" s="114" t="s">
        <v>1361</v>
      </c>
      <c r="D44" s="114">
        <v>10205174</v>
      </c>
      <c r="E44" s="114" t="s">
        <v>1362</v>
      </c>
      <c r="F44" s="115">
        <v>40207</v>
      </c>
      <c r="G44" s="115">
        <v>40275</v>
      </c>
      <c r="H44" s="115">
        <v>42740</v>
      </c>
      <c r="I44" s="116">
        <v>100000000</v>
      </c>
      <c r="J44" s="114" t="s">
        <v>1363</v>
      </c>
      <c r="K44" s="110"/>
      <c r="L44" s="110"/>
      <c r="M44" s="110"/>
      <c r="N44" s="110"/>
      <c r="O44" s="110"/>
      <c r="P44" s="110"/>
      <c r="Q44" s="110"/>
      <c r="R44" s="110"/>
      <c r="S44" s="110"/>
      <c r="T44" s="110"/>
      <c r="U44" s="110"/>
      <c r="V44" s="110"/>
      <c r="W44" s="110"/>
      <c r="X44" s="110"/>
      <c r="Y44" s="110"/>
      <c r="Z44" s="110"/>
    </row>
    <row r="45" spans="1:26" ht="16.5" customHeight="1">
      <c r="A45" s="110"/>
      <c r="B45" s="114">
        <v>14</v>
      </c>
      <c r="C45" s="114" t="s">
        <v>1364</v>
      </c>
      <c r="D45" s="114">
        <v>10187229</v>
      </c>
      <c r="E45" s="114" t="s">
        <v>1365</v>
      </c>
      <c r="F45" s="115">
        <v>40094</v>
      </c>
      <c r="G45" s="115">
        <v>40275</v>
      </c>
      <c r="H45" s="115">
        <v>42740</v>
      </c>
      <c r="I45" s="116">
        <v>880000000</v>
      </c>
      <c r="J45" s="114" t="s">
        <v>1366</v>
      </c>
      <c r="K45" s="110"/>
      <c r="L45" s="110"/>
      <c r="M45" s="110"/>
      <c r="N45" s="110"/>
      <c r="O45" s="110"/>
      <c r="P45" s="110"/>
      <c r="Q45" s="110"/>
      <c r="R45" s="110"/>
      <c r="S45" s="110"/>
      <c r="T45" s="110"/>
      <c r="U45" s="110"/>
      <c r="V45" s="110"/>
      <c r="W45" s="110"/>
      <c r="X45" s="110"/>
      <c r="Y45" s="110"/>
      <c r="Z45" s="110"/>
    </row>
    <row r="46" spans="1:26" ht="16.5" customHeight="1">
      <c r="A46" s="110"/>
      <c r="B46" s="114">
        <v>15</v>
      </c>
      <c r="C46" s="114" t="s">
        <v>1367</v>
      </c>
      <c r="D46" s="114">
        <v>10290110</v>
      </c>
      <c r="E46" s="114" t="s">
        <v>1368</v>
      </c>
      <c r="F46" s="115">
        <v>40704</v>
      </c>
      <c r="G46" s="114" t="s">
        <v>1369</v>
      </c>
      <c r="H46" s="115">
        <v>42740</v>
      </c>
      <c r="I46" s="116">
        <v>32500000</v>
      </c>
      <c r="J46" s="114" t="s">
        <v>1370</v>
      </c>
      <c r="K46" s="110"/>
      <c r="L46" s="110"/>
      <c r="M46" s="110"/>
      <c r="N46" s="110"/>
      <c r="O46" s="110"/>
      <c r="P46" s="110"/>
      <c r="Q46" s="110"/>
      <c r="R46" s="110"/>
      <c r="S46" s="110"/>
      <c r="T46" s="110"/>
      <c r="U46" s="110"/>
      <c r="V46" s="110"/>
      <c r="W46" s="110"/>
      <c r="X46" s="110"/>
      <c r="Y46" s="110"/>
      <c r="Z46" s="110"/>
    </row>
    <row r="47" spans="1:26" ht="16.5" customHeight="1">
      <c r="A47" s="110"/>
      <c r="B47" s="114">
        <v>16</v>
      </c>
      <c r="C47" s="114" t="s">
        <v>1371</v>
      </c>
      <c r="D47" s="114">
        <v>10276129</v>
      </c>
      <c r="E47" s="114" t="s">
        <v>1372</v>
      </c>
      <c r="F47" s="115">
        <v>40632</v>
      </c>
      <c r="G47" s="114" t="s">
        <v>1373</v>
      </c>
      <c r="H47" s="115">
        <v>42740</v>
      </c>
      <c r="I47" s="116">
        <v>105000000</v>
      </c>
      <c r="J47" s="114" t="s">
        <v>1374</v>
      </c>
      <c r="K47" s="110"/>
      <c r="L47" s="110"/>
      <c r="M47" s="110"/>
      <c r="N47" s="110"/>
      <c r="O47" s="110"/>
      <c r="P47" s="110"/>
      <c r="Q47" s="110"/>
      <c r="R47" s="110"/>
      <c r="S47" s="110"/>
      <c r="T47" s="110"/>
      <c r="U47" s="110"/>
      <c r="V47" s="110"/>
      <c r="W47" s="110"/>
      <c r="X47" s="110"/>
      <c r="Y47" s="110"/>
      <c r="Z47" s="110"/>
    </row>
    <row r="48" spans="1:26" ht="16.5" customHeight="1">
      <c r="A48" s="110"/>
      <c r="B48" s="114">
        <v>17</v>
      </c>
      <c r="C48" s="114" t="s">
        <v>1375</v>
      </c>
      <c r="D48" s="114">
        <v>10372487</v>
      </c>
      <c r="E48" s="114" t="s">
        <v>1376</v>
      </c>
      <c r="F48" s="115">
        <v>41106</v>
      </c>
      <c r="G48" s="114" t="s">
        <v>1377</v>
      </c>
      <c r="H48" s="115">
        <v>42740</v>
      </c>
      <c r="I48" s="116">
        <v>25000000</v>
      </c>
      <c r="J48" s="114" t="s">
        <v>1378</v>
      </c>
      <c r="K48" s="110"/>
      <c r="L48" s="110"/>
      <c r="M48" s="110"/>
      <c r="N48" s="110"/>
      <c r="O48" s="110"/>
      <c r="P48" s="110"/>
      <c r="Q48" s="110"/>
      <c r="R48" s="110"/>
      <c r="S48" s="110"/>
      <c r="T48" s="110"/>
      <c r="U48" s="110"/>
      <c r="V48" s="110"/>
      <c r="W48" s="110"/>
      <c r="X48" s="110"/>
      <c r="Y48" s="110"/>
      <c r="Z48" s="110"/>
    </row>
    <row r="49" spans="1:26" ht="16.5" customHeight="1">
      <c r="A49" s="110"/>
      <c r="B49" s="114">
        <v>18</v>
      </c>
      <c r="C49" s="114" t="s">
        <v>1379</v>
      </c>
      <c r="D49" s="114">
        <v>10267483</v>
      </c>
      <c r="E49" s="114" t="s">
        <v>1380</v>
      </c>
      <c r="F49" s="115">
        <v>40575</v>
      </c>
      <c r="G49" s="114" t="s">
        <v>1381</v>
      </c>
      <c r="H49" s="115">
        <v>42740</v>
      </c>
      <c r="I49" s="116">
        <v>210000000</v>
      </c>
      <c r="J49" s="114" t="s">
        <v>1382</v>
      </c>
      <c r="K49" s="110"/>
      <c r="L49" s="110"/>
      <c r="M49" s="110"/>
      <c r="N49" s="110"/>
      <c r="O49" s="110"/>
      <c r="P49" s="110"/>
      <c r="Q49" s="110"/>
      <c r="R49" s="110"/>
      <c r="S49" s="110"/>
      <c r="T49" s="110"/>
      <c r="U49" s="110"/>
      <c r="V49" s="110"/>
      <c r="W49" s="110"/>
      <c r="X49" s="110"/>
      <c r="Y49" s="110"/>
      <c r="Z49" s="110"/>
    </row>
    <row r="50" spans="1:26" ht="16.5" customHeight="1">
      <c r="A50" s="110"/>
      <c r="B50" s="114">
        <v>19</v>
      </c>
      <c r="C50" s="114" t="s">
        <v>1383</v>
      </c>
      <c r="D50" s="114">
        <v>10290116</v>
      </c>
      <c r="E50" s="114" t="s">
        <v>1384</v>
      </c>
      <c r="F50" s="115">
        <v>40704</v>
      </c>
      <c r="G50" s="114" t="s">
        <v>1385</v>
      </c>
      <c r="H50" s="115">
        <v>42740</v>
      </c>
      <c r="I50" s="116">
        <v>210000000</v>
      </c>
      <c r="J50" s="114" t="s">
        <v>1386</v>
      </c>
      <c r="K50" s="110"/>
      <c r="L50" s="110"/>
      <c r="M50" s="110"/>
      <c r="N50" s="110"/>
      <c r="O50" s="110"/>
      <c r="P50" s="110"/>
      <c r="Q50" s="110"/>
      <c r="R50" s="110"/>
      <c r="S50" s="110"/>
      <c r="T50" s="110"/>
      <c r="U50" s="110"/>
      <c r="V50" s="110"/>
      <c r="W50" s="110"/>
      <c r="X50" s="110"/>
      <c r="Y50" s="110"/>
      <c r="Z50" s="110"/>
    </row>
    <row r="51" spans="1:26" ht="16.5" customHeight="1">
      <c r="A51" s="110"/>
      <c r="B51" s="114">
        <v>20</v>
      </c>
      <c r="C51" s="114" t="s">
        <v>1387</v>
      </c>
      <c r="D51" s="114">
        <v>10372486</v>
      </c>
      <c r="E51" s="114" t="s">
        <v>1388</v>
      </c>
      <c r="F51" s="115">
        <v>41106</v>
      </c>
      <c r="G51" s="114" t="s">
        <v>1389</v>
      </c>
      <c r="H51" s="115">
        <v>42740</v>
      </c>
      <c r="I51" s="116">
        <v>25000000</v>
      </c>
      <c r="J51" s="114" t="s">
        <v>1390</v>
      </c>
      <c r="K51" s="110"/>
      <c r="L51" s="110"/>
      <c r="M51" s="110"/>
      <c r="N51" s="110"/>
      <c r="O51" s="110"/>
      <c r="P51" s="110"/>
      <c r="Q51" s="110"/>
      <c r="R51" s="110"/>
      <c r="S51" s="110"/>
      <c r="T51" s="110"/>
      <c r="U51" s="110"/>
      <c r="V51" s="110"/>
      <c r="W51" s="110"/>
      <c r="X51" s="110"/>
      <c r="Y51" s="110"/>
      <c r="Z51" s="110"/>
    </row>
    <row r="52" spans="1:26" ht="16.5" customHeight="1">
      <c r="A52" s="110"/>
      <c r="B52" s="114">
        <v>21</v>
      </c>
      <c r="C52" s="114" t="s">
        <v>1391</v>
      </c>
      <c r="D52" s="114">
        <v>10247150</v>
      </c>
      <c r="E52" s="114" t="s">
        <v>1392</v>
      </c>
      <c r="F52" s="115">
        <v>40478</v>
      </c>
      <c r="G52" s="114" t="s">
        <v>1393</v>
      </c>
      <c r="H52" s="115">
        <v>42740</v>
      </c>
      <c r="I52" s="116">
        <v>32500000</v>
      </c>
      <c r="J52" s="114" t="s">
        <v>1394</v>
      </c>
      <c r="K52" s="110"/>
      <c r="L52" s="110"/>
      <c r="M52" s="110"/>
      <c r="N52" s="110"/>
      <c r="O52" s="110"/>
      <c r="P52" s="110"/>
      <c r="Q52" s="110"/>
      <c r="R52" s="110"/>
      <c r="S52" s="110"/>
      <c r="T52" s="110"/>
      <c r="U52" s="110"/>
      <c r="V52" s="110"/>
      <c r="W52" s="110"/>
      <c r="X52" s="110"/>
      <c r="Y52" s="110"/>
      <c r="Z52" s="110"/>
    </row>
    <row r="53" spans="1:26" ht="16.5" customHeight="1">
      <c r="A53" s="110"/>
      <c r="B53" s="114">
        <v>22</v>
      </c>
      <c r="C53" s="114" t="s">
        <v>1395</v>
      </c>
      <c r="D53" s="114">
        <v>10314537</v>
      </c>
      <c r="E53" s="114" t="s">
        <v>1396</v>
      </c>
      <c r="F53" s="115">
        <v>40841</v>
      </c>
      <c r="G53" s="115">
        <v>42250</v>
      </c>
      <c r="H53" s="115">
        <v>42740</v>
      </c>
      <c r="I53" s="116">
        <v>230500000</v>
      </c>
      <c r="J53" s="114" t="s">
        <v>1397</v>
      </c>
      <c r="K53" s="110"/>
      <c r="L53" s="110"/>
      <c r="M53" s="110"/>
      <c r="N53" s="110"/>
      <c r="O53" s="110"/>
      <c r="P53" s="110"/>
      <c r="Q53" s="110"/>
      <c r="R53" s="110"/>
      <c r="S53" s="110"/>
      <c r="T53" s="110"/>
      <c r="U53" s="110"/>
      <c r="V53" s="110"/>
      <c r="W53" s="110"/>
      <c r="X53" s="110"/>
      <c r="Y53" s="110"/>
      <c r="Z53" s="110"/>
    </row>
    <row r="54" spans="1:26" ht="16.5" customHeight="1">
      <c r="A54" s="110"/>
      <c r="B54" s="114">
        <v>23</v>
      </c>
      <c r="C54" s="114" t="s">
        <v>1398</v>
      </c>
      <c r="D54" s="114">
        <v>100027397</v>
      </c>
      <c r="E54" s="114" t="s">
        <v>1399</v>
      </c>
      <c r="F54" s="115">
        <v>42478</v>
      </c>
      <c r="G54" s="114" t="s">
        <v>1400</v>
      </c>
      <c r="H54" s="115">
        <v>42734</v>
      </c>
      <c r="I54" s="116">
        <v>250000000</v>
      </c>
      <c r="J54" s="114" t="s">
        <v>1401</v>
      </c>
      <c r="K54" s="110"/>
      <c r="L54" s="110"/>
      <c r="M54" s="110"/>
      <c r="N54" s="110"/>
      <c r="O54" s="110"/>
      <c r="P54" s="110"/>
      <c r="Q54" s="110"/>
      <c r="R54" s="110"/>
      <c r="S54" s="110"/>
      <c r="T54" s="110"/>
      <c r="U54" s="110"/>
      <c r="V54" s="110"/>
      <c r="W54" s="110"/>
      <c r="X54" s="110"/>
      <c r="Y54" s="110"/>
      <c r="Z54" s="110"/>
    </row>
    <row r="55" spans="1:26" ht="16.5" customHeight="1">
      <c r="A55" s="110"/>
      <c r="B55" s="114">
        <v>24</v>
      </c>
      <c r="C55" s="114" t="s">
        <v>1402</v>
      </c>
      <c r="D55" s="114">
        <v>10503454</v>
      </c>
      <c r="E55" s="114" t="s">
        <v>1403</v>
      </c>
      <c r="F55" s="115">
        <v>41759</v>
      </c>
      <c r="G55" s="114" t="s">
        <v>1404</v>
      </c>
      <c r="H55" s="115">
        <v>42583</v>
      </c>
      <c r="I55" s="116">
        <v>147500000</v>
      </c>
      <c r="J55" s="114" t="s">
        <v>1405</v>
      </c>
      <c r="K55" s="110"/>
      <c r="L55" s="110"/>
      <c r="M55" s="110"/>
      <c r="N55" s="110"/>
      <c r="O55" s="110"/>
      <c r="P55" s="110"/>
      <c r="Q55" s="110"/>
      <c r="R55" s="110"/>
      <c r="S55" s="110"/>
      <c r="T55" s="110"/>
      <c r="U55" s="110"/>
      <c r="V55" s="110"/>
      <c r="W55" s="110"/>
      <c r="X55" s="110"/>
      <c r="Y55" s="110"/>
      <c r="Z55" s="110"/>
    </row>
    <row r="56" spans="1:26" ht="16.5" customHeight="1">
      <c r="A56" s="110"/>
      <c r="B56" s="114">
        <v>25</v>
      </c>
      <c r="C56" s="114" t="s">
        <v>1406</v>
      </c>
      <c r="D56" s="114">
        <v>10447875</v>
      </c>
      <c r="E56" s="114" t="s">
        <v>1407</v>
      </c>
      <c r="F56" s="115">
        <v>41479</v>
      </c>
      <c r="G56" s="115">
        <v>41606</v>
      </c>
      <c r="H56" s="115">
        <v>42423</v>
      </c>
      <c r="I56" s="116">
        <v>130000000</v>
      </c>
      <c r="J56" s="114" t="s">
        <v>1408</v>
      </c>
      <c r="K56" s="110"/>
      <c r="L56" s="110"/>
      <c r="M56" s="110"/>
      <c r="N56" s="110"/>
      <c r="O56" s="110"/>
      <c r="P56" s="110"/>
      <c r="Q56" s="110"/>
      <c r="R56" s="110"/>
      <c r="S56" s="110"/>
      <c r="T56" s="110"/>
      <c r="U56" s="110"/>
      <c r="V56" s="110"/>
      <c r="W56" s="110"/>
      <c r="X56" s="110"/>
      <c r="Y56" s="110"/>
      <c r="Z56" s="110"/>
    </row>
    <row r="57" spans="1:26" ht="16.5" customHeight="1">
      <c r="A57" s="110"/>
      <c r="B57" s="114">
        <v>26</v>
      </c>
      <c r="C57" s="114" t="s">
        <v>1409</v>
      </c>
      <c r="D57" s="114">
        <v>90153471</v>
      </c>
      <c r="E57" s="114" t="s">
        <v>1410</v>
      </c>
      <c r="F57" s="115">
        <v>35870</v>
      </c>
      <c r="G57" s="114" t="s">
        <v>1411</v>
      </c>
      <c r="H57" s="115">
        <v>40602</v>
      </c>
      <c r="I57" s="116">
        <v>2115000</v>
      </c>
      <c r="J57" s="114" t="s">
        <v>1412</v>
      </c>
      <c r="K57" s="110"/>
      <c r="L57" s="110"/>
      <c r="M57" s="110"/>
      <c r="N57" s="110"/>
      <c r="O57" s="110"/>
      <c r="P57" s="110"/>
      <c r="Q57" s="110"/>
      <c r="R57" s="110"/>
      <c r="S57" s="110"/>
      <c r="T57" s="110"/>
      <c r="U57" s="110"/>
      <c r="V57" s="110"/>
      <c r="W57" s="110"/>
      <c r="X57" s="110"/>
      <c r="Y57" s="110"/>
      <c r="Z57" s="110"/>
    </row>
    <row r="58" spans="1:26" ht="16.5" customHeight="1">
      <c r="A58" s="110"/>
      <c r="B58" s="114">
        <v>27</v>
      </c>
      <c r="C58" s="114" t="s">
        <v>1413</v>
      </c>
      <c r="D58" s="114">
        <v>90153411</v>
      </c>
      <c r="E58" s="114" t="s">
        <v>1414</v>
      </c>
      <c r="F58" s="115">
        <v>35677</v>
      </c>
      <c r="G58" s="114" t="s">
        <v>1415</v>
      </c>
      <c r="H58" s="115">
        <v>40602</v>
      </c>
      <c r="I58" s="116">
        <v>815000</v>
      </c>
      <c r="J58" s="114" t="s">
        <v>1416</v>
      </c>
      <c r="K58" s="110"/>
      <c r="L58" s="110"/>
      <c r="M58" s="110"/>
      <c r="N58" s="110"/>
      <c r="O58" s="110"/>
      <c r="P58" s="110"/>
      <c r="Q58" s="110"/>
      <c r="R58" s="110"/>
      <c r="S58" s="110"/>
      <c r="T58" s="110"/>
      <c r="U58" s="110"/>
      <c r="V58" s="110"/>
      <c r="W58" s="110"/>
      <c r="X58" s="110"/>
      <c r="Y58" s="110"/>
      <c r="Z58" s="110"/>
    </row>
    <row r="59" spans="1:26" ht="16.5" customHeight="1">
      <c r="A59" s="110"/>
      <c r="B59" s="114">
        <v>28</v>
      </c>
      <c r="C59" s="114" t="s">
        <v>1417</v>
      </c>
      <c r="D59" s="114">
        <v>90154236</v>
      </c>
      <c r="E59" s="114" t="s">
        <v>1418</v>
      </c>
      <c r="F59" s="115">
        <v>35677</v>
      </c>
      <c r="G59" s="114" t="s">
        <v>1419</v>
      </c>
      <c r="H59" s="115">
        <v>40602</v>
      </c>
      <c r="I59" s="116">
        <v>500000</v>
      </c>
      <c r="J59" s="114" t="s">
        <v>1420</v>
      </c>
      <c r="K59" s="110"/>
      <c r="L59" s="110"/>
      <c r="M59" s="110"/>
      <c r="N59" s="110"/>
      <c r="O59" s="110"/>
      <c r="P59" s="110"/>
      <c r="Q59" s="110"/>
      <c r="R59" s="110"/>
      <c r="S59" s="110"/>
      <c r="T59" s="110"/>
      <c r="U59" s="110"/>
      <c r="V59" s="110"/>
      <c r="W59" s="110"/>
      <c r="X59" s="110"/>
      <c r="Y59" s="110"/>
      <c r="Z59" s="110"/>
    </row>
    <row r="60" spans="1:26" ht="16.5" customHeight="1">
      <c r="A60" s="110"/>
      <c r="B60" s="114">
        <v>29</v>
      </c>
      <c r="C60" s="114" t="s">
        <v>1421</v>
      </c>
      <c r="D60" s="114">
        <v>90154245</v>
      </c>
      <c r="E60" s="114" t="s">
        <v>1422</v>
      </c>
      <c r="F60" s="115">
        <v>35870</v>
      </c>
      <c r="G60" s="114" t="s">
        <v>1423</v>
      </c>
      <c r="H60" s="115">
        <v>40602</v>
      </c>
      <c r="I60" s="116">
        <v>3115000</v>
      </c>
      <c r="J60" s="114" t="s">
        <v>1424</v>
      </c>
      <c r="K60" s="110"/>
      <c r="L60" s="110"/>
      <c r="M60" s="110"/>
      <c r="N60" s="110"/>
      <c r="O60" s="110"/>
      <c r="P60" s="110"/>
      <c r="Q60" s="110"/>
      <c r="R60" s="110"/>
      <c r="S60" s="110"/>
      <c r="T60" s="110"/>
      <c r="U60" s="110"/>
      <c r="V60" s="110"/>
      <c r="W60" s="110"/>
      <c r="X60" s="110"/>
      <c r="Y60" s="110"/>
      <c r="Z60" s="110"/>
    </row>
    <row r="61" spans="1:26" ht="16.5" customHeight="1">
      <c r="A61" s="110"/>
      <c r="B61" s="114">
        <v>30</v>
      </c>
      <c r="C61" s="114" t="s">
        <v>1425</v>
      </c>
      <c r="D61" s="114">
        <v>90154071</v>
      </c>
      <c r="E61" s="114" t="s">
        <v>1426</v>
      </c>
      <c r="F61" s="115">
        <v>38285</v>
      </c>
      <c r="G61" s="115">
        <v>38923</v>
      </c>
      <c r="H61" s="115">
        <v>40065</v>
      </c>
      <c r="I61" s="116">
        <v>160000000</v>
      </c>
      <c r="J61" s="114" t="s">
        <v>1427</v>
      </c>
      <c r="K61" s="110"/>
      <c r="L61" s="110"/>
      <c r="M61" s="110"/>
      <c r="N61" s="110"/>
      <c r="O61" s="110"/>
      <c r="P61" s="110"/>
      <c r="Q61" s="110"/>
      <c r="R61" s="110"/>
      <c r="S61" s="110"/>
      <c r="T61" s="110"/>
      <c r="U61" s="110"/>
      <c r="V61" s="110"/>
      <c r="W61" s="110"/>
      <c r="X61" s="110"/>
      <c r="Y61" s="110"/>
      <c r="Z61" s="110"/>
    </row>
    <row r="62" spans="1:26" ht="16.5" customHeight="1">
      <c r="A62" s="110"/>
      <c r="B62" s="114">
        <v>31</v>
      </c>
      <c r="C62" s="114" t="s">
        <v>1428</v>
      </c>
      <c r="D62" s="114">
        <v>80036498</v>
      </c>
      <c r="E62" s="114" t="s">
        <v>1429</v>
      </c>
      <c r="F62" s="115">
        <v>37908</v>
      </c>
      <c r="G62" s="114" t="s">
        <v>1430</v>
      </c>
      <c r="H62" s="115">
        <v>39337</v>
      </c>
      <c r="I62" s="116">
        <v>16000000</v>
      </c>
      <c r="J62" s="114" t="s">
        <v>1431</v>
      </c>
      <c r="K62" s="110"/>
      <c r="L62" s="110"/>
      <c r="M62" s="110"/>
      <c r="N62" s="110"/>
      <c r="O62" s="110"/>
      <c r="P62" s="110"/>
      <c r="Q62" s="110"/>
      <c r="R62" s="110"/>
      <c r="S62" s="110"/>
      <c r="T62" s="110"/>
      <c r="U62" s="110"/>
      <c r="V62" s="110"/>
      <c r="W62" s="110"/>
      <c r="X62" s="110"/>
      <c r="Y62" s="110"/>
      <c r="Z62" s="110"/>
    </row>
    <row r="63" spans="1:26" ht="16.5" customHeight="1">
      <c r="A63" s="110"/>
      <c r="B63" s="114">
        <v>32</v>
      </c>
      <c r="C63" s="114" t="s">
        <v>1432</v>
      </c>
      <c r="D63" s="114">
        <v>90154650</v>
      </c>
      <c r="E63" s="114" t="s">
        <v>1433</v>
      </c>
      <c r="F63" s="115">
        <v>37078</v>
      </c>
      <c r="G63" s="114" t="s">
        <v>1434</v>
      </c>
      <c r="H63" s="115">
        <v>37929</v>
      </c>
      <c r="I63" s="116">
        <v>4000000</v>
      </c>
      <c r="J63" s="114" t="s">
        <v>1435</v>
      </c>
      <c r="K63" s="110"/>
      <c r="L63" s="110"/>
      <c r="M63" s="110"/>
      <c r="N63" s="110"/>
      <c r="O63" s="110"/>
      <c r="P63" s="110"/>
      <c r="Q63" s="110"/>
      <c r="R63" s="110"/>
      <c r="S63" s="110"/>
      <c r="T63" s="110"/>
      <c r="U63" s="110"/>
      <c r="V63" s="110"/>
      <c r="W63" s="110"/>
      <c r="X63" s="110"/>
      <c r="Y63" s="110"/>
      <c r="Z63" s="110"/>
    </row>
    <row r="64" spans="1:26" ht="16.5" customHeight="1">
      <c r="A64" s="110"/>
      <c r="B64" s="114">
        <v>33</v>
      </c>
      <c r="C64" s="114" t="s">
        <v>1436</v>
      </c>
      <c r="D64" s="114">
        <v>90153582</v>
      </c>
      <c r="E64" s="114" t="s">
        <v>1437</v>
      </c>
      <c r="F64" s="115">
        <v>36241</v>
      </c>
      <c r="G64" s="114" t="s">
        <v>1438</v>
      </c>
      <c r="H64" s="115">
        <v>37929</v>
      </c>
      <c r="I64" s="116">
        <v>10000000</v>
      </c>
      <c r="J64" s="114" t="s">
        <v>1439</v>
      </c>
      <c r="K64" s="110"/>
      <c r="L64" s="110"/>
      <c r="M64" s="110"/>
      <c r="N64" s="110"/>
      <c r="O64" s="110"/>
      <c r="P64" s="110"/>
      <c r="Q64" s="110"/>
      <c r="R64" s="110"/>
      <c r="S64" s="110"/>
      <c r="T64" s="110"/>
      <c r="U64" s="110"/>
      <c r="V64" s="110"/>
      <c r="W64" s="110"/>
      <c r="X64" s="110"/>
      <c r="Y64" s="110"/>
      <c r="Z64" s="110"/>
    </row>
    <row r="65" spans="1:26" ht="16.5" customHeight="1">
      <c r="A65" s="110"/>
      <c r="B65" s="114">
        <v>34</v>
      </c>
      <c r="C65" s="114" t="s">
        <v>1440</v>
      </c>
      <c r="D65" s="114">
        <v>90153716</v>
      </c>
      <c r="E65" s="114" t="s">
        <v>1441</v>
      </c>
      <c r="F65" s="115">
        <v>36616</v>
      </c>
      <c r="G65" s="114" t="s">
        <v>1442</v>
      </c>
      <c r="H65" s="115">
        <v>37900</v>
      </c>
      <c r="I65" s="116">
        <v>15000000</v>
      </c>
      <c r="J65" s="114" t="s">
        <v>1443</v>
      </c>
      <c r="K65" s="110"/>
      <c r="L65" s="110"/>
      <c r="M65" s="110"/>
      <c r="N65" s="110"/>
      <c r="O65" s="110"/>
      <c r="P65" s="110"/>
      <c r="Q65" s="110"/>
      <c r="R65" s="110"/>
      <c r="S65" s="110"/>
      <c r="T65" s="110"/>
      <c r="U65" s="110"/>
      <c r="V65" s="110"/>
      <c r="W65" s="110"/>
      <c r="X65" s="110"/>
      <c r="Y65" s="110"/>
      <c r="Z65" s="110"/>
    </row>
    <row r="66" spans="1:26" s="95" customFormat="1" ht="15">
      <c r="B66" s="111">
        <v>5</v>
      </c>
      <c r="C66" s="111"/>
      <c r="D66" s="111"/>
      <c r="E66" s="111"/>
      <c r="F66" s="111"/>
      <c r="G66" s="111"/>
      <c r="H66" s="111"/>
      <c r="I66" s="113"/>
      <c r="J66" s="111"/>
    </row>
    <row r="67" spans="1:26" s="95" customFormat="1" ht="15">
      <c r="J67" s="117"/>
    </row>
    <row r="68" spans="1:26" s="95" customFormat="1" ht="21" customHeight="1">
      <c r="B68" s="571" t="s">
        <v>1444</v>
      </c>
      <c r="C68" s="571"/>
      <c r="D68" s="571"/>
      <c r="E68" s="571"/>
      <c r="F68" s="571"/>
      <c r="G68" s="571"/>
      <c r="H68" s="571"/>
      <c r="I68" s="571"/>
      <c r="J68" s="571"/>
    </row>
    <row r="69" spans="1:26" s="118" customFormat="1" ht="30">
      <c r="B69" s="119" t="s">
        <v>1445</v>
      </c>
      <c r="C69" s="119" t="s">
        <v>1446</v>
      </c>
      <c r="D69" s="119" t="s">
        <v>1447</v>
      </c>
      <c r="E69" s="119" t="s">
        <v>1448</v>
      </c>
      <c r="F69" s="119" t="s">
        <v>1449</v>
      </c>
      <c r="G69" s="119" t="s">
        <v>1450</v>
      </c>
      <c r="H69" s="119" t="s">
        <v>1451</v>
      </c>
      <c r="I69" s="559" t="s">
        <v>1452</v>
      </c>
      <c r="J69" s="559"/>
    </row>
    <row r="70" spans="1:26" ht="26.25" customHeight="1">
      <c r="A70" s="110"/>
      <c r="B70" s="120">
        <v>1</v>
      </c>
      <c r="C70" s="121" t="s">
        <v>1453</v>
      </c>
      <c r="D70" s="111" t="s">
        <v>1454</v>
      </c>
      <c r="E70" s="111" t="s">
        <v>1455</v>
      </c>
      <c r="F70" s="112">
        <v>34608</v>
      </c>
      <c r="G70" s="111" t="s">
        <v>1456</v>
      </c>
      <c r="H70" s="112">
        <v>45354</v>
      </c>
      <c r="I70" s="566" t="s">
        <v>1457</v>
      </c>
      <c r="J70" s="566"/>
      <c r="K70" s="110"/>
      <c r="L70" s="110"/>
      <c r="M70" s="110"/>
      <c r="N70" s="110"/>
      <c r="O70" s="110"/>
      <c r="P70" s="110"/>
      <c r="Q70" s="110"/>
      <c r="R70" s="110"/>
      <c r="S70" s="110"/>
      <c r="T70" s="110"/>
      <c r="U70" s="110"/>
      <c r="V70" s="110"/>
      <c r="W70" s="110"/>
      <c r="X70" s="110"/>
      <c r="Y70" s="110"/>
      <c r="Z70" s="110"/>
    </row>
    <row r="71" spans="1:26" ht="26.25" customHeight="1">
      <c r="A71" s="110"/>
      <c r="B71" s="122">
        <v>2</v>
      </c>
      <c r="C71" s="123" t="s">
        <v>1458</v>
      </c>
      <c r="D71" s="114" t="s">
        <v>1459</v>
      </c>
      <c r="E71" s="114" t="s">
        <v>1460</v>
      </c>
      <c r="F71" s="115">
        <v>34608</v>
      </c>
      <c r="G71" s="114" t="s">
        <v>1461</v>
      </c>
      <c r="H71" s="115">
        <v>45297</v>
      </c>
      <c r="I71" s="556" t="s">
        <v>1462</v>
      </c>
      <c r="J71" s="557"/>
      <c r="K71" s="110"/>
      <c r="L71" s="110"/>
      <c r="M71" s="110"/>
      <c r="N71" s="110"/>
      <c r="O71" s="110"/>
      <c r="P71" s="110"/>
      <c r="Q71" s="110"/>
      <c r="R71" s="110"/>
      <c r="S71" s="110"/>
      <c r="T71" s="110"/>
      <c r="U71" s="110"/>
      <c r="V71" s="110"/>
      <c r="W71" s="110"/>
      <c r="X71" s="110"/>
      <c r="Y71" s="110"/>
      <c r="Z71" s="110"/>
    </row>
    <row r="72" spans="1:26" ht="26.25" customHeight="1">
      <c r="A72" s="110"/>
      <c r="B72" s="122">
        <v>3</v>
      </c>
      <c r="C72" s="123" t="s">
        <v>1463</v>
      </c>
      <c r="D72" s="114" t="s">
        <v>1464</v>
      </c>
      <c r="E72" s="114" t="s">
        <v>1465</v>
      </c>
      <c r="F72" s="115">
        <v>34564</v>
      </c>
      <c r="G72" s="114" t="s">
        <v>1466</v>
      </c>
      <c r="H72" s="115">
        <v>45254</v>
      </c>
      <c r="I72" s="556" t="s">
        <v>1467</v>
      </c>
      <c r="J72" s="557"/>
      <c r="K72" s="110"/>
      <c r="L72" s="110"/>
      <c r="M72" s="110"/>
      <c r="N72" s="110"/>
      <c r="O72" s="110"/>
      <c r="P72" s="110"/>
      <c r="Q72" s="110"/>
      <c r="R72" s="110"/>
      <c r="S72" s="110"/>
      <c r="T72" s="110"/>
      <c r="U72" s="110"/>
      <c r="V72" s="110"/>
      <c r="W72" s="110"/>
      <c r="X72" s="110"/>
      <c r="Y72" s="110"/>
      <c r="Z72" s="110"/>
    </row>
    <row r="73" spans="1:26" ht="26.25" customHeight="1">
      <c r="A73" s="110"/>
      <c r="B73" s="120">
        <v>4</v>
      </c>
      <c r="C73" s="121" t="s">
        <v>1468</v>
      </c>
      <c r="D73" s="111" t="s">
        <v>1469</v>
      </c>
      <c r="E73" s="111" t="s">
        <v>1470</v>
      </c>
      <c r="F73" s="112">
        <v>36332</v>
      </c>
      <c r="G73" s="111" t="s">
        <v>1471</v>
      </c>
      <c r="H73" s="112">
        <v>45356</v>
      </c>
      <c r="I73" s="556" t="s">
        <v>1472</v>
      </c>
      <c r="J73" s="557"/>
      <c r="K73" s="110"/>
      <c r="L73" s="110"/>
      <c r="M73" s="110"/>
      <c r="N73" s="110"/>
      <c r="O73" s="110"/>
      <c r="P73" s="110"/>
      <c r="Q73" s="110"/>
      <c r="R73" s="110"/>
      <c r="S73" s="110"/>
      <c r="T73" s="110"/>
      <c r="U73" s="110"/>
      <c r="V73" s="110"/>
      <c r="W73" s="110"/>
      <c r="X73" s="110"/>
      <c r="Y73" s="110"/>
      <c r="Z73" s="110"/>
    </row>
  </sheetData>
  <mergeCells count="53">
    <mergeCell ref="B2:G2"/>
    <mergeCell ref="I72:J72"/>
    <mergeCell ref="B27:C27"/>
    <mergeCell ref="B23:D23"/>
    <mergeCell ref="E23:G23"/>
    <mergeCell ref="B19:D19"/>
    <mergeCell ref="E19:G19"/>
    <mergeCell ref="B15:D15"/>
    <mergeCell ref="E15:G15"/>
    <mergeCell ref="B11:D11"/>
    <mergeCell ref="E11:G11"/>
    <mergeCell ref="B7:D7"/>
    <mergeCell ref="E7:G7"/>
    <mergeCell ref="B14:D14"/>
    <mergeCell ref="E14:G14"/>
    <mergeCell ref="B10:D10"/>
    <mergeCell ref="I71:J71"/>
    <mergeCell ref="B30:J30"/>
    <mergeCell ref="B26:C26"/>
    <mergeCell ref="B22:D22"/>
    <mergeCell ref="E22:G22"/>
    <mergeCell ref="B68:J68"/>
    <mergeCell ref="B5:D5"/>
    <mergeCell ref="E5:G5"/>
    <mergeCell ref="B25:E25"/>
    <mergeCell ref="B21:D21"/>
    <mergeCell ref="E21:G21"/>
    <mergeCell ref="B17:D17"/>
    <mergeCell ref="E17:G17"/>
    <mergeCell ref="B18:D18"/>
    <mergeCell ref="E18:G18"/>
    <mergeCell ref="E10:G10"/>
    <mergeCell ref="B6:D6"/>
    <mergeCell ref="E6:G6"/>
    <mergeCell ref="B13:D13"/>
    <mergeCell ref="B9:D9"/>
    <mergeCell ref="E9:G9"/>
    <mergeCell ref="B3:D3"/>
    <mergeCell ref="I73:J73"/>
    <mergeCell ref="E3:G3"/>
    <mergeCell ref="I69:J69"/>
    <mergeCell ref="B28:C28"/>
    <mergeCell ref="B20:D20"/>
    <mergeCell ref="E20:G20"/>
    <mergeCell ref="B16:D16"/>
    <mergeCell ref="E16:G16"/>
    <mergeCell ref="B12:D12"/>
    <mergeCell ref="E12:G12"/>
    <mergeCell ref="B8:D8"/>
    <mergeCell ref="E8:G8"/>
    <mergeCell ref="B4:D4"/>
    <mergeCell ref="E4:G4"/>
    <mergeCell ref="I70:J70"/>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tabColor rgb="FF0F243F"/>
  </sheetPr>
  <dimension ref="A1:AMJ29"/>
  <sheetViews>
    <sheetView showGridLines="0" workbookViewId="0"/>
  </sheetViews>
  <sheetFormatPr defaultRowHeight="15.75" customHeight="1"/>
  <cols>
    <col min="1" max="1" width="2.85546875" style="124"/>
    <col min="2" max="2" width="4" style="124"/>
    <col min="3" max="3" width="13.7109375" style="125"/>
    <col min="4" max="7" width="15.85546875" style="125"/>
    <col min="8" max="8" width="11.5703125" style="124"/>
    <col min="9" max="9" width="14.42578125" style="124"/>
    <col min="10" max="26" width="9.85546875" style="124"/>
    <col min="27" max="27" width="0" style="124" hidden="1"/>
    <col min="28" max="33" width="0" hidden="1"/>
    <col min="34" max="1024" width="9.85546875" style="124"/>
    <col min="1025" max="1025" width="11.42578125"/>
  </cols>
  <sheetData>
    <row r="1" spans="1:1024" s="125" customFormat="1" ht="12.75"/>
    <row r="2" spans="1:1024" ht="21.75" customHeight="1">
      <c r="B2" s="591" t="s">
        <v>1473</v>
      </c>
      <c r="C2" s="591"/>
      <c r="D2" s="591"/>
      <c r="E2" s="591"/>
      <c r="F2" s="591"/>
      <c r="G2" s="591"/>
    </row>
    <row r="3" spans="1:1024" ht="15">
      <c r="B3" s="592" t="s">
        <v>1474</v>
      </c>
      <c r="C3" s="592"/>
      <c r="D3" s="592"/>
      <c r="E3" s="593" t="s">
        <v>1475</v>
      </c>
      <c r="F3" s="593"/>
      <c r="G3" s="593"/>
    </row>
    <row r="4" spans="1:1024" ht="30" customHeight="1">
      <c r="A4" s="126"/>
      <c r="B4" s="586" t="s">
        <v>1476</v>
      </c>
      <c r="C4" s="586"/>
      <c r="D4" s="586"/>
      <c r="E4" s="590" t="s">
        <v>1477</v>
      </c>
      <c r="F4" s="590"/>
      <c r="G4" s="590"/>
      <c r="H4" s="126"/>
      <c r="I4" s="126"/>
      <c r="J4" s="126"/>
      <c r="K4" s="126"/>
      <c r="L4" s="126"/>
      <c r="M4" s="126"/>
      <c r="N4" s="126"/>
      <c r="O4" s="126"/>
      <c r="P4" s="126"/>
      <c r="Q4" s="126"/>
      <c r="R4" s="126"/>
      <c r="S4" s="126"/>
      <c r="T4" s="126"/>
      <c r="U4" s="126"/>
      <c r="V4" s="126"/>
      <c r="W4" s="126"/>
      <c r="X4" s="126"/>
      <c r="Y4" s="126"/>
      <c r="Z4" s="126"/>
      <c r="AA4" s="126"/>
      <c r="AB4" s="126"/>
      <c r="AC4" s="126"/>
      <c r="AD4" s="126"/>
      <c r="AE4" s="126"/>
      <c r="AF4" s="126"/>
      <c r="AG4" s="126"/>
      <c r="AH4" s="126"/>
      <c r="AI4" s="126"/>
      <c r="AJ4" s="126"/>
      <c r="AK4" s="126"/>
      <c r="AL4" s="126"/>
      <c r="AM4" s="126"/>
      <c r="AN4" s="126"/>
      <c r="AO4" s="126"/>
      <c r="AP4" s="126"/>
      <c r="AQ4" s="126"/>
      <c r="AR4" s="126"/>
      <c r="AS4" s="126"/>
      <c r="AT4" s="126"/>
      <c r="AU4" s="126"/>
      <c r="AV4" s="126"/>
      <c r="AW4" s="126"/>
      <c r="AX4" s="126"/>
      <c r="AY4" s="126"/>
      <c r="AZ4" s="126"/>
      <c r="BA4" s="126"/>
      <c r="BB4" s="126"/>
      <c r="BC4" s="126"/>
      <c r="BD4" s="126"/>
      <c r="BE4" s="126"/>
      <c r="BF4" s="126"/>
      <c r="BG4" s="126"/>
      <c r="BH4" s="126"/>
      <c r="BI4" s="126"/>
      <c r="BJ4" s="126"/>
      <c r="BK4" s="126"/>
      <c r="BL4" s="126"/>
      <c r="BM4" s="126"/>
      <c r="BN4" s="126"/>
      <c r="BO4" s="126"/>
      <c r="BP4" s="126"/>
      <c r="BQ4" s="126"/>
      <c r="BR4" s="126"/>
      <c r="BS4" s="126"/>
      <c r="BT4" s="126"/>
      <c r="BU4" s="126"/>
      <c r="BV4" s="126"/>
      <c r="BW4" s="126"/>
      <c r="BX4" s="126"/>
      <c r="BY4" s="126"/>
      <c r="BZ4" s="126"/>
      <c r="CA4" s="126"/>
      <c r="CB4" s="126"/>
      <c r="CC4" s="126"/>
      <c r="CD4" s="126"/>
      <c r="CE4" s="126"/>
      <c r="CF4" s="126"/>
      <c r="CG4" s="126"/>
      <c r="CH4" s="126"/>
      <c r="CI4" s="126"/>
      <c r="CJ4" s="126"/>
      <c r="CK4" s="126"/>
      <c r="CL4" s="126"/>
      <c r="CM4" s="126"/>
      <c r="CN4" s="126"/>
      <c r="CO4" s="126"/>
      <c r="CP4" s="126"/>
      <c r="CQ4" s="126"/>
      <c r="CR4" s="126"/>
      <c r="CS4" s="126"/>
      <c r="CT4" s="126"/>
      <c r="CU4" s="126"/>
      <c r="CV4" s="126"/>
      <c r="CW4" s="126"/>
      <c r="CX4" s="126"/>
      <c r="CY4" s="126"/>
      <c r="CZ4" s="126"/>
      <c r="DA4" s="126"/>
      <c r="DB4" s="126"/>
      <c r="DC4" s="126"/>
      <c r="DD4" s="126"/>
      <c r="DE4" s="126"/>
      <c r="DF4" s="126"/>
      <c r="DG4" s="126"/>
      <c r="DH4" s="126"/>
      <c r="DI4" s="126"/>
      <c r="DJ4" s="126"/>
      <c r="DK4" s="126"/>
      <c r="DL4" s="126"/>
      <c r="DM4" s="126"/>
      <c r="DN4" s="126"/>
      <c r="DO4" s="126"/>
      <c r="DP4" s="126"/>
      <c r="DQ4" s="126"/>
      <c r="DR4" s="126"/>
      <c r="DS4" s="126"/>
      <c r="DT4" s="126"/>
      <c r="DU4" s="126"/>
      <c r="DV4" s="126"/>
      <c r="DW4" s="126"/>
      <c r="DX4" s="126"/>
      <c r="DY4" s="126"/>
      <c r="DZ4" s="126"/>
      <c r="EA4" s="126"/>
      <c r="EB4" s="126"/>
      <c r="EC4" s="126"/>
      <c r="ED4" s="126"/>
      <c r="EE4" s="126"/>
      <c r="EF4" s="126"/>
      <c r="EG4" s="126"/>
      <c r="EH4" s="126"/>
      <c r="EI4" s="126"/>
      <c r="EJ4" s="126"/>
      <c r="EK4" s="126"/>
      <c r="EL4" s="126"/>
      <c r="EM4" s="126"/>
      <c r="EN4" s="126"/>
      <c r="EO4" s="126"/>
      <c r="EP4" s="126"/>
      <c r="EQ4" s="126"/>
      <c r="ER4" s="126"/>
      <c r="ES4" s="126"/>
      <c r="ET4" s="126"/>
      <c r="EU4" s="126"/>
      <c r="EV4" s="126"/>
      <c r="EW4" s="126"/>
      <c r="EX4" s="126"/>
      <c r="EY4" s="126"/>
      <c r="EZ4" s="126"/>
      <c r="FA4" s="126"/>
      <c r="FB4" s="126"/>
      <c r="FC4" s="126"/>
      <c r="FD4" s="126"/>
      <c r="FE4" s="126"/>
      <c r="FF4" s="126"/>
      <c r="FG4" s="126"/>
      <c r="FH4" s="126"/>
      <c r="FI4" s="126"/>
      <c r="FJ4" s="126"/>
      <c r="FK4" s="126"/>
      <c r="FL4" s="126"/>
      <c r="FM4" s="126"/>
      <c r="FN4" s="126"/>
      <c r="FO4" s="126"/>
      <c r="FP4" s="126"/>
      <c r="FQ4" s="126"/>
      <c r="FR4" s="126"/>
      <c r="FS4" s="126"/>
      <c r="FT4" s="126"/>
      <c r="FU4" s="126"/>
      <c r="FV4" s="126"/>
      <c r="FW4" s="126"/>
      <c r="FX4" s="126"/>
      <c r="FY4" s="126"/>
      <c r="FZ4" s="126"/>
      <c r="GA4" s="126"/>
      <c r="GB4" s="126"/>
      <c r="GC4" s="126"/>
      <c r="GD4" s="126"/>
      <c r="GE4" s="126"/>
      <c r="GF4" s="126"/>
      <c r="GG4" s="126"/>
      <c r="GH4" s="126"/>
      <c r="GI4" s="126"/>
      <c r="GJ4" s="126"/>
      <c r="GK4" s="126"/>
      <c r="GL4" s="126"/>
      <c r="GM4" s="126"/>
      <c r="GN4" s="126"/>
      <c r="GO4" s="126"/>
      <c r="GP4" s="126"/>
      <c r="GQ4" s="126"/>
      <c r="GR4" s="126"/>
      <c r="GS4" s="126"/>
      <c r="GT4" s="126"/>
      <c r="GU4" s="126"/>
      <c r="GV4" s="126"/>
      <c r="GW4" s="126"/>
      <c r="GX4" s="126"/>
      <c r="GY4" s="126"/>
      <c r="GZ4" s="126"/>
      <c r="HA4" s="126"/>
      <c r="HB4" s="126"/>
      <c r="HC4" s="126"/>
      <c r="HD4" s="126"/>
      <c r="HE4" s="126"/>
      <c r="HF4" s="126"/>
      <c r="HG4" s="126"/>
      <c r="HH4" s="126"/>
      <c r="HI4" s="126"/>
      <c r="HJ4" s="126"/>
      <c r="HK4" s="126"/>
      <c r="HL4" s="126"/>
      <c r="HM4" s="126"/>
      <c r="HN4" s="126"/>
      <c r="HO4" s="126"/>
      <c r="HP4" s="126"/>
      <c r="HQ4" s="126"/>
      <c r="HR4" s="126"/>
      <c r="HS4" s="126"/>
      <c r="HT4" s="126"/>
      <c r="HU4" s="126"/>
      <c r="HV4" s="126"/>
      <c r="HW4" s="126"/>
      <c r="HX4" s="126"/>
      <c r="HY4" s="126"/>
      <c r="HZ4" s="126"/>
      <c r="IA4" s="126"/>
      <c r="IB4" s="126"/>
      <c r="IC4" s="126"/>
      <c r="ID4" s="126"/>
      <c r="IE4" s="126"/>
      <c r="IF4" s="126"/>
      <c r="IG4" s="126"/>
      <c r="IH4" s="126"/>
      <c r="II4" s="126"/>
      <c r="IJ4" s="126"/>
      <c r="IK4" s="126"/>
      <c r="IL4" s="126"/>
      <c r="IM4" s="126"/>
      <c r="IN4" s="126"/>
      <c r="IO4" s="126"/>
      <c r="IP4" s="126"/>
      <c r="IQ4" s="126"/>
      <c r="IR4" s="126"/>
      <c r="IS4" s="126"/>
      <c r="IT4" s="126"/>
      <c r="IU4" s="126"/>
      <c r="IV4" s="126"/>
      <c r="IW4" s="126"/>
      <c r="IX4" s="126"/>
      <c r="IY4" s="126"/>
      <c r="IZ4" s="126"/>
      <c r="JA4" s="126"/>
      <c r="JB4" s="126"/>
      <c r="JC4" s="126"/>
      <c r="JD4" s="126"/>
      <c r="JE4" s="126"/>
      <c r="JF4" s="126"/>
      <c r="JG4" s="126"/>
      <c r="JH4" s="126"/>
      <c r="JI4" s="126"/>
      <c r="JJ4" s="126"/>
      <c r="JK4" s="126"/>
      <c r="JL4" s="126"/>
      <c r="JM4" s="126"/>
      <c r="JN4" s="126"/>
      <c r="JO4" s="126"/>
      <c r="JP4" s="126"/>
      <c r="JQ4" s="126"/>
      <c r="JR4" s="126"/>
      <c r="JS4" s="126"/>
      <c r="JT4" s="126"/>
      <c r="JU4" s="126"/>
      <c r="JV4" s="126"/>
      <c r="JW4" s="126"/>
      <c r="JX4" s="126"/>
      <c r="JY4" s="126"/>
      <c r="JZ4" s="126"/>
      <c r="KA4" s="126"/>
      <c r="KB4" s="126"/>
      <c r="KC4" s="126"/>
      <c r="KD4" s="126"/>
      <c r="KE4" s="126"/>
      <c r="KF4" s="126"/>
      <c r="KG4" s="126"/>
      <c r="KH4" s="126"/>
      <c r="KI4" s="126"/>
      <c r="KJ4" s="126"/>
      <c r="KK4" s="126"/>
      <c r="KL4" s="126"/>
      <c r="KM4" s="126"/>
      <c r="KN4" s="126"/>
      <c r="KO4" s="126"/>
      <c r="KP4" s="126"/>
      <c r="KQ4" s="126"/>
      <c r="KR4" s="126"/>
      <c r="KS4" s="126"/>
      <c r="KT4" s="126"/>
      <c r="KU4" s="126"/>
      <c r="KV4" s="126"/>
      <c r="KW4" s="126"/>
      <c r="KX4" s="126"/>
      <c r="KY4" s="126"/>
      <c r="KZ4" s="126"/>
      <c r="LA4" s="126"/>
      <c r="LB4" s="126"/>
      <c r="LC4" s="126"/>
      <c r="LD4" s="126"/>
      <c r="LE4" s="126"/>
      <c r="LF4" s="126"/>
      <c r="LG4" s="126"/>
      <c r="LH4" s="126"/>
      <c r="LI4" s="126"/>
      <c r="LJ4" s="126"/>
      <c r="LK4" s="126"/>
      <c r="LL4" s="126"/>
      <c r="LM4" s="126"/>
      <c r="LN4" s="126"/>
      <c r="LO4" s="126"/>
      <c r="LP4" s="126"/>
      <c r="LQ4" s="126"/>
      <c r="LR4" s="126"/>
      <c r="LS4" s="126"/>
      <c r="LT4" s="126"/>
      <c r="LU4" s="126"/>
      <c r="LV4" s="126"/>
      <c r="LW4" s="126"/>
      <c r="LX4" s="126"/>
      <c r="LY4" s="126"/>
      <c r="LZ4" s="126"/>
      <c r="MA4" s="126"/>
      <c r="MB4" s="126"/>
      <c r="MC4" s="126"/>
      <c r="MD4" s="126"/>
      <c r="ME4" s="126"/>
      <c r="MF4" s="126"/>
      <c r="MG4" s="126"/>
      <c r="MH4" s="126"/>
      <c r="MI4" s="126"/>
      <c r="MJ4" s="126"/>
      <c r="MK4" s="126"/>
      <c r="ML4" s="126"/>
      <c r="MM4" s="126"/>
      <c r="MN4" s="126"/>
      <c r="MO4" s="126"/>
      <c r="MP4" s="126"/>
      <c r="MQ4" s="126"/>
      <c r="MR4" s="126"/>
      <c r="MS4" s="126"/>
      <c r="MT4" s="126"/>
      <c r="MU4" s="126"/>
      <c r="MV4" s="126"/>
      <c r="MW4" s="126"/>
      <c r="MX4" s="126"/>
      <c r="MY4" s="126"/>
      <c r="MZ4" s="126"/>
      <c r="NA4" s="126"/>
      <c r="NB4" s="126"/>
      <c r="NC4" s="126"/>
      <c r="ND4" s="126"/>
      <c r="NE4" s="126"/>
      <c r="NF4" s="126"/>
      <c r="NG4" s="126"/>
      <c r="NH4" s="126"/>
      <c r="NI4" s="126"/>
      <c r="NJ4" s="126"/>
      <c r="NK4" s="126"/>
      <c r="NL4" s="126"/>
      <c r="NM4" s="126"/>
      <c r="NN4" s="126"/>
      <c r="NO4" s="126"/>
      <c r="NP4" s="126"/>
      <c r="NQ4" s="126"/>
      <c r="NR4" s="126"/>
      <c r="NS4" s="126"/>
      <c r="NT4" s="126"/>
      <c r="NU4" s="126"/>
      <c r="NV4" s="126"/>
      <c r="NW4" s="126"/>
      <c r="NX4" s="126"/>
      <c r="NY4" s="126"/>
      <c r="NZ4" s="126"/>
      <c r="OA4" s="126"/>
      <c r="OB4" s="126"/>
      <c r="OC4" s="126"/>
      <c r="OD4" s="126"/>
      <c r="OE4" s="126"/>
      <c r="OF4" s="126"/>
      <c r="OG4" s="126"/>
      <c r="OH4" s="126"/>
      <c r="OI4" s="126"/>
      <c r="OJ4" s="126"/>
      <c r="OK4" s="126"/>
      <c r="OL4" s="126"/>
      <c r="OM4" s="126"/>
      <c r="ON4" s="126"/>
      <c r="OO4" s="126"/>
      <c r="OP4" s="126"/>
      <c r="OQ4" s="126"/>
      <c r="OR4" s="126"/>
      <c r="OS4" s="126"/>
      <c r="OT4" s="126"/>
      <c r="OU4" s="126"/>
      <c r="OV4" s="126"/>
      <c r="OW4" s="126"/>
      <c r="OX4" s="126"/>
      <c r="OY4" s="126"/>
      <c r="OZ4" s="126"/>
      <c r="PA4" s="126"/>
      <c r="PB4" s="126"/>
      <c r="PC4" s="126"/>
      <c r="PD4" s="126"/>
      <c r="PE4" s="126"/>
      <c r="PF4" s="126"/>
      <c r="PG4" s="126"/>
      <c r="PH4" s="126"/>
      <c r="PI4" s="126"/>
      <c r="PJ4" s="126"/>
      <c r="PK4" s="126"/>
      <c r="PL4" s="126"/>
      <c r="PM4" s="126"/>
      <c r="PN4" s="126"/>
      <c r="PO4" s="126"/>
      <c r="PP4" s="126"/>
      <c r="PQ4" s="126"/>
      <c r="PR4" s="126"/>
      <c r="PS4" s="126"/>
      <c r="PT4" s="126"/>
      <c r="PU4" s="126"/>
      <c r="PV4" s="126"/>
      <c r="PW4" s="126"/>
      <c r="PX4" s="126"/>
      <c r="PY4" s="126"/>
      <c r="PZ4" s="126"/>
      <c r="QA4" s="126"/>
      <c r="QB4" s="126"/>
      <c r="QC4" s="126"/>
      <c r="QD4" s="126"/>
      <c r="QE4" s="126"/>
      <c r="QF4" s="126"/>
      <c r="QG4" s="126"/>
      <c r="QH4" s="126"/>
      <c r="QI4" s="126"/>
      <c r="QJ4" s="126"/>
      <c r="QK4" s="126"/>
      <c r="QL4" s="126"/>
      <c r="QM4" s="126"/>
      <c r="QN4" s="126"/>
      <c r="QO4" s="126"/>
      <c r="QP4" s="126"/>
      <c r="QQ4" s="126"/>
      <c r="QR4" s="126"/>
      <c r="QS4" s="126"/>
      <c r="QT4" s="126"/>
      <c r="QU4" s="126"/>
      <c r="QV4" s="126"/>
      <c r="QW4" s="126"/>
      <c r="QX4" s="126"/>
      <c r="QY4" s="126"/>
      <c r="QZ4" s="126"/>
      <c r="RA4" s="126"/>
      <c r="RB4" s="126"/>
      <c r="RC4" s="126"/>
      <c r="RD4" s="126"/>
      <c r="RE4" s="126"/>
      <c r="RF4" s="126"/>
      <c r="RG4" s="126"/>
      <c r="RH4" s="126"/>
      <c r="RI4" s="126"/>
      <c r="RJ4" s="126"/>
      <c r="RK4" s="126"/>
      <c r="RL4" s="126"/>
      <c r="RM4" s="126"/>
      <c r="RN4" s="126"/>
      <c r="RO4" s="126"/>
      <c r="RP4" s="126"/>
      <c r="RQ4" s="126"/>
      <c r="RR4" s="126"/>
      <c r="RS4" s="126"/>
      <c r="RT4" s="126"/>
      <c r="RU4" s="126"/>
      <c r="RV4" s="126"/>
      <c r="RW4" s="126"/>
      <c r="RX4" s="126"/>
      <c r="RY4" s="126"/>
      <c r="RZ4" s="126"/>
      <c r="SA4" s="126"/>
      <c r="SB4" s="126"/>
      <c r="SC4" s="126"/>
      <c r="SD4" s="126"/>
      <c r="SE4" s="126"/>
      <c r="SF4" s="126"/>
      <c r="SG4" s="126"/>
      <c r="SH4" s="126"/>
      <c r="SI4" s="126"/>
      <c r="SJ4" s="126"/>
      <c r="SK4" s="126"/>
      <c r="SL4" s="126"/>
      <c r="SM4" s="126"/>
      <c r="SN4" s="126"/>
      <c r="SO4" s="126"/>
      <c r="SP4" s="126"/>
      <c r="SQ4" s="126"/>
      <c r="SR4" s="126"/>
      <c r="SS4" s="126"/>
      <c r="ST4" s="126"/>
      <c r="SU4" s="126"/>
      <c r="SV4" s="126"/>
      <c r="SW4" s="126"/>
      <c r="SX4" s="126"/>
      <c r="SY4" s="126"/>
      <c r="SZ4" s="126"/>
      <c r="TA4" s="126"/>
      <c r="TB4" s="126"/>
      <c r="TC4" s="126"/>
      <c r="TD4" s="126"/>
      <c r="TE4" s="126"/>
      <c r="TF4" s="126"/>
      <c r="TG4" s="126"/>
      <c r="TH4" s="126"/>
      <c r="TI4" s="126"/>
      <c r="TJ4" s="126"/>
      <c r="TK4" s="126"/>
      <c r="TL4" s="126"/>
      <c r="TM4" s="126"/>
      <c r="TN4" s="126"/>
      <c r="TO4" s="126"/>
      <c r="TP4" s="126"/>
      <c r="TQ4" s="126"/>
      <c r="TR4" s="126"/>
      <c r="TS4" s="126"/>
      <c r="TT4" s="126"/>
      <c r="TU4" s="126"/>
      <c r="TV4" s="126"/>
      <c r="TW4" s="126"/>
      <c r="TX4" s="126"/>
      <c r="TY4" s="126"/>
      <c r="TZ4" s="126"/>
      <c r="UA4" s="126"/>
      <c r="UB4" s="126"/>
      <c r="UC4" s="126"/>
      <c r="UD4" s="126"/>
      <c r="UE4" s="126"/>
      <c r="UF4" s="126"/>
      <c r="UG4" s="126"/>
      <c r="UH4" s="126"/>
      <c r="UI4" s="126"/>
      <c r="UJ4" s="126"/>
      <c r="UK4" s="126"/>
      <c r="UL4" s="126"/>
      <c r="UM4" s="126"/>
      <c r="UN4" s="126"/>
      <c r="UO4" s="126"/>
      <c r="UP4" s="126"/>
      <c r="UQ4" s="126"/>
      <c r="UR4" s="126"/>
      <c r="US4" s="126"/>
      <c r="UT4" s="126"/>
      <c r="UU4" s="126"/>
      <c r="UV4" s="126"/>
      <c r="UW4" s="126"/>
      <c r="UX4" s="126"/>
      <c r="UY4" s="126"/>
      <c r="UZ4" s="126"/>
      <c r="VA4" s="126"/>
      <c r="VB4" s="126"/>
      <c r="VC4" s="126"/>
      <c r="VD4" s="126"/>
      <c r="VE4" s="126"/>
      <c r="VF4" s="126"/>
      <c r="VG4" s="126"/>
      <c r="VH4" s="126"/>
      <c r="VI4" s="126"/>
      <c r="VJ4" s="126"/>
      <c r="VK4" s="126"/>
      <c r="VL4" s="126"/>
      <c r="VM4" s="126"/>
      <c r="VN4" s="126"/>
      <c r="VO4" s="126"/>
      <c r="VP4" s="126"/>
      <c r="VQ4" s="126"/>
      <c r="VR4" s="126"/>
      <c r="VS4" s="126"/>
      <c r="VT4" s="126"/>
      <c r="VU4" s="126"/>
      <c r="VV4" s="126"/>
      <c r="VW4" s="126"/>
      <c r="VX4" s="126"/>
      <c r="VY4" s="126"/>
      <c r="VZ4" s="126"/>
      <c r="WA4" s="126"/>
      <c r="WB4" s="126"/>
      <c r="WC4" s="126"/>
      <c r="WD4" s="126"/>
      <c r="WE4" s="126"/>
      <c r="WF4" s="126"/>
      <c r="WG4" s="126"/>
      <c r="WH4" s="126"/>
      <c r="WI4" s="126"/>
      <c r="WJ4" s="126"/>
      <c r="WK4" s="126"/>
      <c r="WL4" s="126"/>
      <c r="WM4" s="126"/>
      <c r="WN4" s="126"/>
      <c r="WO4" s="126"/>
      <c r="WP4" s="126"/>
      <c r="WQ4" s="126"/>
      <c r="WR4" s="126"/>
      <c r="WS4" s="126"/>
      <c r="WT4" s="126"/>
      <c r="WU4" s="126"/>
      <c r="WV4" s="126"/>
      <c r="WW4" s="126"/>
      <c r="WX4" s="126"/>
      <c r="WY4" s="126"/>
      <c r="WZ4" s="126"/>
      <c r="XA4" s="126"/>
      <c r="XB4" s="126"/>
      <c r="XC4" s="126"/>
      <c r="XD4" s="126"/>
      <c r="XE4" s="126"/>
      <c r="XF4" s="126"/>
      <c r="XG4" s="126"/>
      <c r="XH4" s="126"/>
      <c r="XI4" s="126"/>
      <c r="XJ4" s="126"/>
      <c r="XK4" s="126"/>
      <c r="XL4" s="126"/>
      <c r="XM4" s="126"/>
      <c r="XN4" s="126"/>
      <c r="XO4" s="126"/>
      <c r="XP4" s="126"/>
      <c r="XQ4" s="126"/>
      <c r="XR4" s="126"/>
      <c r="XS4" s="126"/>
      <c r="XT4" s="126"/>
      <c r="XU4" s="126"/>
      <c r="XV4" s="126"/>
      <c r="XW4" s="126"/>
      <c r="XX4" s="126"/>
      <c r="XY4" s="126"/>
      <c r="XZ4" s="126"/>
      <c r="YA4" s="126"/>
      <c r="YB4" s="126"/>
      <c r="YC4" s="126"/>
      <c r="YD4" s="126"/>
      <c r="YE4" s="126"/>
      <c r="YF4" s="126"/>
      <c r="YG4" s="126"/>
      <c r="YH4" s="126"/>
      <c r="YI4" s="126"/>
      <c r="YJ4" s="126"/>
      <c r="YK4" s="126"/>
      <c r="YL4" s="126"/>
      <c r="YM4" s="126"/>
      <c r="YN4" s="126"/>
      <c r="YO4" s="126"/>
      <c r="YP4" s="126"/>
      <c r="YQ4" s="126"/>
      <c r="YR4" s="126"/>
      <c r="YS4" s="126"/>
      <c r="YT4" s="126"/>
      <c r="YU4" s="126"/>
      <c r="YV4" s="126"/>
      <c r="YW4" s="126"/>
      <c r="YX4" s="126"/>
      <c r="YY4" s="126"/>
      <c r="YZ4" s="126"/>
      <c r="ZA4" s="126"/>
      <c r="ZB4" s="126"/>
      <c r="ZC4" s="126"/>
      <c r="ZD4" s="126"/>
      <c r="ZE4" s="126"/>
      <c r="ZF4" s="126"/>
      <c r="ZG4" s="126"/>
      <c r="ZH4" s="126"/>
      <c r="ZI4" s="126"/>
      <c r="ZJ4" s="126"/>
      <c r="ZK4" s="126"/>
      <c r="ZL4" s="126"/>
      <c r="ZM4" s="126"/>
      <c r="ZN4" s="126"/>
      <c r="ZO4" s="126"/>
      <c r="ZP4" s="126"/>
      <c r="ZQ4" s="126"/>
      <c r="ZR4" s="126"/>
      <c r="ZS4" s="126"/>
      <c r="ZT4" s="126"/>
      <c r="ZU4" s="126"/>
      <c r="ZV4" s="126"/>
      <c r="ZW4" s="126"/>
      <c r="ZX4" s="126"/>
      <c r="ZY4" s="126"/>
      <c r="ZZ4" s="126"/>
      <c r="AAA4" s="126"/>
      <c r="AAB4" s="126"/>
      <c r="AAC4" s="126"/>
      <c r="AAD4" s="126"/>
      <c r="AAE4" s="126"/>
      <c r="AAF4" s="126"/>
      <c r="AAG4" s="126"/>
      <c r="AAH4" s="126"/>
      <c r="AAI4" s="126"/>
      <c r="AAJ4" s="126"/>
      <c r="AAK4" s="126"/>
      <c r="AAL4" s="126"/>
      <c r="AAM4" s="126"/>
      <c r="AAN4" s="126"/>
      <c r="AAO4" s="126"/>
      <c r="AAP4" s="126"/>
      <c r="AAQ4" s="126"/>
      <c r="AAR4" s="126"/>
      <c r="AAS4" s="126"/>
      <c r="AAT4" s="126"/>
      <c r="AAU4" s="126"/>
      <c r="AAV4" s="126"/>
      <c r="AAW4" s="126"/>
      <c r="AAX4" s="126"/>
      <c r="AAY4" s="126"/>
      <c r="AAZ4" s="126"/>
      <c r="ABA4" s="126"/>
      <c r="ABB4" s="126"/>
      <c r="ABC4" s="126"/>
      <c r="ABD4" s="126"/>
      <c r="ABE4" s="126"/>
      <c r="ABF4" s="126"/>
      <c r="ABG4" s="126"/>
      <c r="ABH4" s="126"/>
      <c r="ABI4" s="126"/>
      <c r="ABJ4" s="126"/>
      <c r="ABK4" s="126"/>
      <c r="ABL4" s="126"/>
      <c r="ABM4" s="126"/>
      <c r="ABN4" s="126"/>
      <c r="ABO4" s="126"/>
      <c r="ABP4" s="126"/>
      <c r="ABQ4" s="126"/>
      <c r="ABR4" s="126"/>
      <c r="ABS4" s="126"/>
      <c r="ABT4" s="126"/>
      <c r="ABU4" s="126"/>
      <c r="ABV4" s="126"/>
      <c r="ABW4" s="126"/>
      <c r="ABX4" s="126"/>
      <c r="ABY4" s="126"/>
      <c r="ABZ4" s="126"/>
      <c r="ACA4" s="126"/>
      <c r="ACB4" s="126"/>
      <c r="ACC4" s="126"/>
      <c r="ACD4" s="126"/>
      <c r="ACE4" s="126"/>
      <c r="ACF4" s="126"/>
      <c r="ACG4" s="126"/>
      <c r="ACH4" s="126"/>
      <c r="ACI4" s="126"/>
      <c r="ACJ4" s="126"/>
      <c r="ACK4" s="126"/>
      <c r="ACL4" s="126"/>
      <c r="ACM4" s="126"/>
      <c r="ACN4" s="126"/>
      <c r="ACO4" s="126"/>
      <c r="ACP4" s="126"/>
      <c r="ACQ4" s="126"/>
      <c r="ACR4" s="126"/>
      <c r="ACS4" s="126"/>
      <c r="ACT4" s="126"/>
      <c r="ACU4" s="126"/>
      <c r="ACV4" s="126"/>
      <c r="ACW4" s="126"/>
      <c r="ACX4" s="126"/>
      <c r="ACY4" s="126"/>
      <c r="ACZ4" s="126"/>
      <c r="ADA4" s="126"/>
      <c r="ADB4" s="126"/>
      <c r="ADC4" s="126"/>
      <c r="ADD4" s="126"/>
      <c r="ADE4" s="126"/>
      <c r="ADF4" s="126"/>
      <c r="ADG4" s="126"/>
      <c r="ADH4" s="126"/>
      <c r="ADI4" s="126"/>
      <c r="ADJ4" s="126"/>
      <c r="ADK4" s="126"/>
      <c r="ADL4" s="126"/>
      <c r="ADM4" s="126"/>
      <c r="ADN4" s="126"/>
      <c r="ADO4" s="126"/>
      <c r="ADP4" s="126"/>
      <c r="ADQ4" s="126"/>
      <c r="ADR4" s="126"/>
      <c r="ADS4" s="126"/>
      <c r="ADT4" s="126"/>
      <c r="ADU4" s="126"/>
      <c r="ADV4" s="126"/>
      <c r="ADW4" s="126"/>
      <c r="ADX4" s="126"/>
      <c r="ADY4" s="126"/>
      <c r="ADZ4" s="126"/>
      <c r="AEA4" s="126"/>
      <c r="AEB4" s="126"/>
      <c r="AEC4" s="126"/>
      <c r="AED4" s="126"/>
      <c r="AEE4" s="126"/>
      <c r="AEF4" s="126"/>
      <c r="AEG4" s="126"/>
      <c r="AEH4" s="126"/>
      <c r="AEI4" s="126"/>
      <c r="AEJ4" s="126"/>
      <c r="AEK4" s="126"/>
      <c r="AEL4" s="126"/>
      <c r="AEM4" s="126"/>
      <c r="AEN4" s="126"/>
      <c r="AEO4" s="126"/>
      <c r="AEP4" s="126"/>
      <c r="AEQ4" s="126"/>
      <c r="AER4" s="126"/>
      <c r="AES4" s="126"/>
      <c r="AET4" s="126"/>
      <c r="AEU4" s="126"/>
      <c r="AEV4" s="126"/>
      <c r="AEW4" s="126"/>
      <c r="AEX4" s="126"/>
      <c r="AEY4" s="126"/>
      <c r="AEZ4" s="126"/>
      <c r="AFA4" s="126"/>
      <c r="AFB4" s="126"/>
      <c r="AFC4" s="126"/>
      <c r="AFD4" s="126"/>
      <c r="AFE4" s="126"/>
      <c r="AFF4" s="126"/>
      <c r="AFG4" s="126"/>
      <c r="AFH4" s="126"/>
      <c r="AFI4" s="126"/>
      <c r="AFJ4" s="126"/>
      <c r="AFK4" s="126"/>
      <c r="AFL4" s="126"/>
      <c r="AFM4" s="126"/>
      <c r="AFN4" s="126"/>
      <c r="AFO4" s="126"/>
      <c r="AFP4" s="126"/>
      <c r="AFQ4" s="126"/>
      <c r="AFR4" s="126"/>
      <c r="AFS4" s="126"/>
      <c r="AFT4" s="126"/>
      <c r="AFU4" s="126"/>
      <c r="AFV4" s="126"/>
      <c r="AFW4" s="126"/>
      <c r="AFX4" s="126"/>
      <c r="AFY4" s="126"/>
      <c r="AFZ4" s="126"/>
      <c r="AGA4" s="126"/>
      <c r="AGB4" s="126"/>
      <c r="AGC4" s="126"/>
      <c r="AGD4" s="126"/>
      <c r="AGE4" s="126"/>
      <c r="AGF4" s="126"/>
      <c r="AGG4" s="126"/>
      <c r="AGH4" s="126"/>
      <c r="AGI4" s="126"/>
      <c r="AGJ4" s="126"/>
      <c r="AGK4" s="126"/>
      <c r="AGL4" s="126"/>
      <c r="AGM4" s="126"/>
      <c r="AGN4" s="126"/>
      <c r="AGO4" s="126"/>
      <c r="AGP4" s="126"/>
      <c r="AGQ4" s="126"/>
      <c r="AGR4" s="126"/>
      <c r="AGS4" s="126"/>
      <c r="AGT4" s="126"/>
      <c r="AGU4" s="126"/>
      <c r="AGV4" s="126"/>
      <c r="AGW4" s="126"/>
      <c r="AGX4" s="126"/>
      <c r="AGY4" s="126"/>
      <c r="AGZ4" s="126"/>
      <c r="AHA4" s="126"/>
      <c r="AHB4" s="126"/>
      <c r="AHC4" s="126"/>
      <c r="AHD4" s="126"/>
      <c r="AHE4" s="126"/>
      <c r="AHF4" s="126"/>
      <c r="AHG4" s="126"/>
      <c r="AHH4" s="126"/>
      <c r="AHI4" s="126"/>
      <c r="AHJ4" s="126"/>
      <c r="AHK4" s="126"/>
      <c r="AHL4" s="126"/>
      <c r="AHM4" s="126"/>
      <c r="AHN4" s="126"/>
      <c r="AHO4" s="126"/>
      <c r="AHP4" s="126"/>
      <c r="AHQ4" s="126"/>
      <c r="AHR4" s="126"/>
      <c r="AHS4" s="126"/>
      <c r="AHT4" s="126"/>
      <c r="AHU4" s="126"/>
      <c r="AHV4" s="126"/>
      <c r="AHW4" s="126"/>
      <c r="AHX4" s="126"/>
      <c r="AHY4" s="126"/>
      <c r="AHZ4" s="126"/>
      <c r="AIA4" s="126"/>
      <c r="AIB4" s="126"/>
      <c r="AIC4" s="126"/>
      <c r="AID4" s="126"/>
      <c r="AIE4" s="126"/>
      <c r="AIF4" s="126"/>
      <c r="AIG4" s="126"/>
      <c r="AIH4" s="126"/>
      <c r="AII4" s="126"/>
      <c r="AIJ4" s="126"/>
      <c r="AIK4" s="126"/>
      <c r="AIL4" s="126"/>
      <c r="AIM4" s="126"/>
      <c r="AIN4" s="126"/>
      <c r="AIO4" s="126"/>
      <c r="AIP4" s="126"/>
      <c r="AIQ4" s="126"/>
      <c r="AIR4" s="126"/>
      <c r="AIS4" s="126"/>
      <c r="AIT4" s="126"/>
      <c r="AIU4" s="126"/>
      <c r="AIV4" s="126"/>
      <c r="AIW4" s="126"/>
      <c r="AIX4" s="126"/>
      <c r="AIY4" s="126"/>
      <c r="AIZ4" s="126"/>
      <c r="AJA4" s="126"/>
      <c r="AJB4" s="126"/>
      <c r="AJC4" s="126"/>
      <c r="AJD4" s="126"/>
      <c r="AJE4" s="126"/>
      <c r="AJF4" s="126"/>
      <c r="AJG4" s="126"/>
      <c r="AJH4" s="126"/>
      <c r="AJI4" s="126"/>
      <c r="AJJ4" s="126"/>
      <c r="AJK4" s="126"/>
      <c r="AJL4" s="126"/>
      <c r="AJM4" s="126"/>
      <c r="AJN4" s="126"/>
      <c r="AJO4" s="126"/>
      <c r="AJP4" s="126"/>
      <c r="AJQ4" s="126"/>
      <c r="AJR4" s="126"/>
      <c r="AJS4" s="126"/>
      <c r="AJT4" s="126"/>
      <c r="AJU4" s="126"/>
      <c r="AJV4" s="126"/>
      <c r="AJW4" s="126"/>
      <c r="AJX4" s="126"/>
      <c r="AJY4" s="126"/>
      <c r="AJZ4" s="126"/>
      <c r="AKA4" s="126"/>
      <c r="AKB4" s="126"/>
      <c r="AKC4" s="126"/>
      <c r="AKD4" s="126"/>
      <c r="AKE4" s="126"/>
      <c r="AKF4" s="126"/>
      <c r="AKG4" s="126"/>
      <c r="AKH4" s="126"/>
      <c r="AKI4" s="126"/>
      <c r="AKJ4" s="126"/>
      <c r="AKK4" s="126"/>
      <c r="AKL4" s="126"/>
      <c r="AKM4" s="126"/>
      <c r="AKN4" s="126"/>
      <c r="AKO4" s="126"/>
      <c r="AKP4" s="126"/>
      <c r="AKQ4" s="126"/>
      <c r="AKR4" s="126"/>
      <c r="AKS4" s="126"/>
      <c r="AKT4" s="126"/>
      <c r="AKU4" s="126"/>
      <c r="AKV4" s="126"/>
      <c r="AKW4" s="126"/>
      <c r="AKX4" s="126"/>
      <c r="AKY4" s="126"/>
      <c r="AKZ4" s="126"/>
      <c r="ALA4" s="126"/>
      <c r="ALB4" s="126"/>
      <c r="ALC4" s="126"/>
      <c r="ALD4" s="126"/>
      <c r="ALE4" s="126"/>
      <c r="ALF4" s="126"/>
      <c r="ALG4" s="126"/>
      <c r="ALH4" s="126"/>
      <c r="ALI4" s="126"/>
      <c r="ALJ4" s="126"/>
      <c r="ALK4" s="126"/>
      <c r="ALL4" s="126"/>
      <c r="ALM4" s="126"/>
      <c r="ALN4" s="126"/>
      <c r="ALO4" s="126"/>
      <c r="ALP4" s="126"/>
      <c r="ALQ4" s="126"/>
      <c r="ALR4" s="126"/>
      <c r="ALS4" s="126"/>
      <c r="ALT4" s="126"/>
      <c r="ALU4" s="126"/>
      <c r="ALV4" s="126"/>
      <c r="ALW4" s="126"/>
      <c r="ALX4" s="126"/>
      <c r="ALY4" s="126"/>
      <c r="ALZ4" s="126"/>
      <c r="AMA4" s="126"/>
      <c r="AMB4" s="126"/>
      <c r="AMC4" s="126"/>
      <c r="AMD4" s="126"/>
      <c r="AME4" s="126"/>
      <c r="AMF4" s="126"/>
      <c r="AMG4" s="126"/>
      <c r="AMH4" s="126"/>
      <c r="AMI4" s="126"/>
      <c r="AMJ4" s="126"/>
    </row>
    <row r="5" spans="1:1024" ht="30" customHeight="1">
      <c r="A5" s="126"/>
      <c r="B5" s="586" t="s">
        <v>1478</v>
      </c>
      <c r="C5" s="586"/>
      <c r="D5" s="586"/>
      <c r="E5" s="590" t="s">
        <v>1479</v>
      </c>
      <c r="F5" s="590"/>
      <c r="G5" s="590"/>
      <c r="H5" s="126"/>
      <c r="I5" s="126"/>
      <c r="J5" s="126"/>
      <c r="K5" s="126"/>
      <c r="L5" s="126"/>
      <c r="M5" s="126"/>
      <c r="N5" s="126"/>
      <c r="O5" s="126"/>
      <c r="P5" s="126"/>
      <c r="Q5" s="126"/>
      <c r="R5" s="126"/>
      <c r="S5" s="126"/>
      <c r="T5" s="126"/>
      <c r="U5" s="126"/>
      <c r="V5" s="126"/>
      <c r="W5" s="126"/>
      <c r="X5" s="126"/>
      <c r="Y5" s="126"/>
      <c r="Z5" s="126"/>
      <c r="AA5" s="126"/>
      <c r="AB5" s="126"/>
      <c r="AC5" s="126"/>
      <c r="AD5" s="126"/>
      <c r="AE5" s="126"/>
      <c r="AF5" s="126"/>
      <c r="AG5" s="126"/>
      <c r="AH5" s="126"/>
      <c r="AI5" s="126"/>
      <c r="AJ5" s="126"/>
      <c r="AK5" s="126"/>
      <c r="AL5" s="126"/>
      <c r="AM5" s="126"/>
      <c r="AN5" s="126"/>
      <c r="AO5" s="126"/>
      <c r="AP5" s="126"/>
      <c r="AQ5" s="126"/>
      <c r="AR5" s="126"/>
      <c r="AS5" s="126"/>
      <c r="AT5" s="126"/>
      <c r="AU5" s="126"/>
      <c r="AV5" s="126"/>
      <c r="AW5" s="126"/>
      <c r="AX5" s="126"/>
      <c r="AY5" s="126"/>
      <c r="AZ5" s="126"/>
      <c r="BA5" s="126"/>
      <c r="BB5" s="126"/>
      <c r="BC5" s="126"/>
      <c r="BD5" s="126"/>
      <c r="BE5" s="126"/>
      <c r="BF5" s="126"/>
      <c r="BG5" s="126"/>
      <c r="BH5" s="126"/>
      <c r="BI5" s="126"/>
      <c r="BJ5" s="126"/>
      <c r="BK5" s="126"/>
      <c r="BL5" s="126"/>
      <c r="BM5" s="126"/>
      <c r="BN5" s="126"/>
      <c r="BO5" s="126"/>
      <c r="BP5" s="126"/>
      <c r="BQ5" s="126"/>
      <c r="BR5" s="126"/>
      <c r="BS5" s="126"/>
      <c r="BT5" s="126"/>
      <c r="BU5" s="126"/>
      <c r="BV5" s="126"/>
      <c r="BW5" s="126"/>
      <c r="BX5" s="126"/>
      <c r="BY5" s="126"/>
      <c r="BZ5" s="126"/>
      <c r="CA5" s="126"/>
      <c r="CB5" s="126"/>
      <c r="CC5" s="126"/>
      <c r="CD5" s="126"/>
      <c r="CE5" s="126"/>
      <c r="CF5" s="126"/>
      <c r="CG5" s="126"/>
      <c r="CH5" s="126"/>
      <c r="CI5" s="126"/>
      <c r="CJ5" s="126"/>
      <c r="CK5" s="126"/>
      <c r="CL5" s="126"/>
      <c r="CM5" s="126"/>
      <c r="CN5" s="126"/>
      <c r="CO5" s="126"/>
      <c r="CP5" s="126"/>
      <c r="CQ5" s="126"/>
      <c r="CR5" s="126"/>
      <c r="CS5" s="126"/>
      <c r="CT5" s="126"/>
      <c r="CU5" s="126"/>
      <c r="CV5" s="126"/>
      <c r="CW5" s="126"/>
      <c r="CX5" s="126"/>
      <c r="CY5" s="126"/>
      <c r="CZ5" s="126"/>
      <c r="DA5" s="126"/>
      <c r="DB5" s="126"/>
      <c r="DC5" s="126"/>
      <c r="DD5" s="126"/>
      <c r="DE5" s="126"/>
      <c r="DF5" s="126"/>
      <c r="DG5" s="126"/>
      <c r="DH5" s="126"/>
      <c r="DI5" s="126"/>
      <c r="DJ5" s="126"/>
      <c r="DK5" s="126"/>
      <c r="DL5" s="126"/>
      <c r="DM5" s="126"/>
      <c r="DN5" s="126"/>
      <c r="DO5" s="126"/>
      <c r="DP5" s="126"/>
      <c r="DQ5" s="126"/>
      <c r="DR5" s="126"/>
      <c r="DS5" s="126"/>
      <c r="DT5" s="126"/>
      <c r="DU5" s="126"/>
      <c r="DV5" s="126"/>
      <c r="DW5" s="126"/>
      <c r="DX5" s="126"/>
      <c r="DY5" s="126"/>
      <c r="DZ5" s="126"/>
      <c r="EA5" s="126"/>
      <c r="EB5" s="126"/>
      <c r="EC5" s="126"/>
      <c r="ED5" s="126"/>
      <c r="EE5" s="126"/>
      <c r="EF5" s="126"/>
      <c r="EG5" s="126"/>
      <c r="EH5" s="126"/>
      <c r="EI5" s="126"/>
      <c r="EJ5" s="126"/>
      <c r="EK5" s="126"/>
      <c r="EL5" s="126"/>
      <c r="EM5" s="126"/>
      <c r="EN5" s="126"/>
      <c r="EO5" s="126"/>
      <c r="EP5" s="126"/>
      <c r="EQ5" s="126"/>
      <c r="ER5" s="126"/>
      <c r="ES5" s="126"/>
      <c r="ET5" s="126"/>
      <c r="EU5" s="126"/>
      <c r="EV5" s="126"/>
      <c r="EW5" s="126"/>
      <c r="EX5" s="126"/>
      <c r="EY5" s="126"/>
      <c r="EZ5" s="126"/>
      <c r="FA5" s="126"/>
      <c r="FB5" s="126"/>
      <c r="FC5" s="126"/>
      <c r="FD5" s="126"/>
      <c r="FE5" s="126"/>
      <c r="FF5" s="126"/>
      <c r="FG5" s="126"/>
      <c r="FH5" s="126"/>
      <c r="FI5" s="126"/>
      <c r="FJ5" s="126"/>
      <c r="FK5" s="126"/>
      <c r="FL5" s="126"/>
      <c r="FM5" s="126"/>
      <c r="FN5" s="126"/>
      <c r="FO5" s="126"/>
      <c r="FP5" s="126"/>
      <c r="FQ5" s="126"/>
      <c r="FR5" s="126"/>
      <c r="FS5" s="126"/>
      <c r="FT5" s="126"/>
      <c r="FU5" s="126"/>
      <c r="FV5" s="126"/>
      <c r="FW5" s="126"/>
      <c r="FX5" s="126"/>
      <c r="FY5" s="126"/>
      <c r="FZ5" s="126"/>
      <c r="GA5" s="126"/>
      <c r="GB5" s="126"/>
      <c r="GC5" s="126"/>
      <c r="GD5" s="126"/>
      <c r="GE5" s="126"/>
      <c r="GF5" s="126"/>
      <c r="GG5" s="126"/>
      <c r="GH5" s="126"/>
      <c r="GI5" s="126"/>
      <c r="GJ5" s="126"/>
      <c r="GK5" s="126"/>
      <c r="GL5" s="126"/>
      <c r="GM5" s="126"/>
      <c r="GN5" s="126"/>
      <c r="GO5" s="126"/>
      <c r="GP5" s="126"/>
      <c r="GQ5" s="126"/>
      <c r="GR5" s="126"/>
      <c r="GS5" s="126"/>
      <c r="GT5" s="126"/>
      <c r="GU5" s="126"/>
      <c r="GV5" s="126"/>
      <c r="GW5" s="126"/>
      <c r="GX5" s="126"/>
      <c r="GY5" s="126"/>
      <c r="GZ5" s="126"/>
      <c r="HA5" s="126"/>
      <c r="HB5" s="126"/>
      <c r="HC5" s="126"/>
      <c r="HD5" s="126"/>
      <c r="HE5" s="126"/>
      <c r="HF5" s="126"/>
      <c r="HG5" s="126"/>
      <c r="HH5" s="126"/>
      <c r="HI5" s="126"/>
      <c r="HJ5" s="126"/>
      <c r="HK5" s="126"/>
      <c r="HL5" s="126"/>
      <c r="HM5" s="126"/>
      <c r="HN5" s="126"/>
      <c r="HO5" s="126"/>
      <c r="HP5" s="126"/>
      <c r="HQ5" s="126"/>
      <c r="HR5" s="126"/>
      <c r="HS5" s="126"/>
      <c r="HT5" s="126"/>
      <c r="HU5" s="126"/>
      <c r="HV5" s="126"/>
      <c r="HW5" s="126"/>
      <c r="HX5" s="126"/>
      <c r="HY5" s="126"/>
      <c r="HZ5" s="126"/>
      <c r="IA5" s="126"/>
      <c r="IB5" s="126"/>
      <c r="IC5" s="126"/>
      <c r="ID5" s="126"/>
      <c r="IE5" s="126"/>
      <c r="IF5" s="126"/>
      <c r="IG5" s="126"/>
      <c r="IH5" s="126"/>
      <c r="II5" s="126"/>
      <c r="IJ5" s="126"/>
      <c r="IK5" s="126"/>
      <c r="IL5" s="126"/>
      <c r="IM5" s="126"/>
      <c r="IN5" s="126"/>
      <c r="IO5" s="126"/>
      <c r="IP5" s="126"/>
      <c r="IQ5" s="126"/>
      <c r="IR5" s="126"/>
      <c r="IS5" s="126"/>
      <c r="IT5" s="126"/>
      <c r="IU5" s="126"/>
      <c r="IV5" s="126"/>
      <c r="IW5" s="126"/>
      <c r="IX5" s="126"/>
      <c r="IY5" s="126"/>
      <c r="IZ5" s="126"/>
      <c r="JA5" s="126"/>
      <c r="JB5" s="126"/>
      <c r="JC5" s="126"/>
      <c r="JD5" s="126"/>
      <c r="JE5" s="126"/>
      <c r="JF5" s="126"/>
      <c r="JG5" s="126"/>
      <c r="JH5" s="126"/>
      <c r="JI5" s="126"/>
      <c r="JJ5" s="126"/>
      <c r="JK5" s="126"/>
      <c r="JL5" s="126"/>
      <c r="JM5" s="126"/>
      <c r="JN5" s="126"/>
      <c r="JO5" s="126"/>
      <c r="JP5" s="126"/>
      <c r="JQ5" s="126"/>
      <c r="JR5" s="126"/>
      <c r="JS5" s="126"/>
      <c r="JT5" s="126"/>
      <c r="JU5" s="126"/>
      <c r="JV5" s="126"/>
      <c r="JW5" s="126"/>
      <c r="JX5" s="126"/>
      <c r="JY5" s="126"/>
      <c r="JZ5" s="126"/>
      <c r="KA5" s="126"/>
      <c r="KB5" s="126"/>
      <c r="KC5" s="126"/>
      <c r="KD5" s="126"/>
      <c r="KE5" s="126"/>
      <c r="KF5" s="126"/>
      <c r="KG5" s="126"/>
      <c r="KH5" s="126"/>
      <c r="KI5" s="126"/>
      <c r="KJ5" s="126"/>
      <c r="KK5" s="126"/>
      <c r="KL5" s="126"/>
      <c r="KM5" s="126"/>
      <c r="KN5" s="126"/>
      <c r="KO5" s="126"/>
      <c r="KP5" s="126"/>
      <c r="KQ5" s="126"/>
      <c r="KR5" s="126"/>
      <c r="KS5" s="126"/>
      <c r="KT5" s="126"/>
      <c r="KU5" s="126"/>
      <c r="KV5" s="126"/>
      <c r="KW5" s="126"/>
      <c r="KX5" s="126"/>
      <c r="KY5" s="126"/>
      <c r="KZ5" s="126"/>
      <c r="LA5" s="126"/>
      <c r="LB5" s="126"/>
      <c r="LC5" s="126"/>
      <c r="LD5" s="126"/>
      <c r="LE5" s="126"/>
      <c r="LF5" s="126"/>
      <c r="LG5" s="126"/>
      <c r="LH5" s="126"/>
      <c r="LI5" s="126"/>
      <c r="LJ5" s="126"/>
      <c r="LK5" s="126"/>
      <c r="LL5" s="126"/>
      <c r="LM5" s="126"/>
      <c r="LN5" s="126"/>
      <c r="LO5" s="126"/>
      <c r="LP5" s="126"/>
      <c r="LQ5" s="126"/>
      <c r="LR5" s="126"/>
      <c r="LS5" s="126"/>
      <c r="LT5" s="126"/>
      <c r="LU5" s="126"/>
      <c r="LV5" s="126"/>
      <c r="LW5" s="126"/>
      <c r="LX5" s="126"/>
      <c r="LY5" s="126"/>
      <c r="LZ5" s="126"/>
      <c r="MA5" s="126"/>
      <c r="MB5" s="126"/>
      <c r="MC5" s="126"/>
      <c r="MD5" s="126"/>
      <c r="ME5" s="126"/>
      <c r="MF5" s="126"/>
      <c r="MG5" s="126"/>
      <c r="MH5" s="126"/>
      <c r="MI5" s="126"/>
      <c r="MJ5" s="126"/>
      <c r="MK5" s="126"/>
      <c r="ML5" s="126"/>
      <c r="MM5" s="126"/>
      <c r="MN5" s="126"/>
      <c r="MO5" s="126"/>
      <c r="MP5" s="126"/>
      <c r="MQ5" s="126"/>
      <c r="MR5" s="126"/>
      <c r="MS5" s="126"/>
      <c r="MT5" s="126"/>
      <c r="MU5" s="126"/>
      <c r="MV5" s="126"/>
      <c r="MW5" s="126"/>
      <c r="MX5" s="126"/>
      <c r="MY5" s="126"/>
      <c r="MZ5" s="126"/>
      <c r="NA5" s="126"/>
      <c r="NB5" s="126"/>
      <c r="NC5" s="126"/>
      <c r="ND5" s="126"/>
      <c r="NE5" s="126"/>
      <c r="NF5" s="126"/>
      <c r="NG5" s="126"/>
      <c r="NH5" s="126"/>
      <c r="NI5" s="126"/>
      <c r="NJ5" s="126"/>
      <c r="NK5" s="126"/>
      <c r="NL5" s="126"/>
      <c r="NM5" s="126"/>
      <c r="NN5" s="126"/>
      <c r="NO5" s="126"/>
      <c r="NP5" s="126"/>
      <c r="NQ5" s="126"/>
      <c r="NR5" s="126"/>
      <c r="NS5" s="126"/>
      <c r="NT5" s="126"/>
      <c r="NU5" s="126"/>
      <c r="NV5" s="126"/>
      <c r="NW5" s="126"/>
      <c r="NX5" s="126"/>
      <c r="NY5" s="126"/>
      <c r="NZ5" s="126"/>
      <c r="OA5" s="126"/>
      <c r="OB5" s="126"/>
      <c r="OC5" s="126"/>
      <c r="OD5" s="126"/>
      <c r="OE5" s="126"/>
      <c r="OF5" s="126"/>
      <c r="OG5" s="126"/>
      <c r="OH5" s="126"/>
      <c r="OI5" s="126"/>
      <c r="OJ5" s="126"/>
      <c r="OK5" s="126"/>
      <c r="OL5" s="126"/>
      <c r="OM5" s="126"/>
      <c r="ON5" s="126"/>
      <c r="OO5" s="126"/>
      <c r="OP5" s="126"/>
      <c r="OQ5" s="126"/>
      <c r="OR5" s="126"/>
      <c r="OS5" s="126"/>
      <c r="OT5" s="126"/>
      <c r="OU5" s="126"/>
      <c r="OV5" s="126"/>
      <c r="OW5" s="126"/>
      <c r="OX5" s="126"/>
      <c r="OY5" s="126"/>
      <c r="OZ5" s="126"/>
      <c r="PA5" s="126"/>
      <c r="PB5" s="126"/>
      <c r="PC5" s="126"/>
      <c r="PD5" s="126"/>
      <c r="PE5" s="126"/>
      <c r="PF5" s="126"/>
      <c r="PG5" s="126"/>
      <c r="PH5" s="126"/>
      <c r="PI5" s="126"/>
      <c r="PJ5" s="126"/>
      <c r="PK5" s="126"/>
      <c r="PL5" s="126"/>
      <c r="PM5" s="126"/>
      <c r="PN5" s="126"/>
      <c r="PO5" s="126"/>
      <c r="PP5" s="126"/>
      <c r="PQ5" s="126"/>
      <c r="PR5" s="126"/>
      <c r="PS5" s="126"/>
      <c r="PT5" s="126"/>
      <c r="PU5" s="126"/>
      <c r="PV5" s="126"/>
      <c r="PW5" s="126"/>
      <c r="PX5" s="126"/>
      <c r="PY5" s="126"/>
      <c r="PZ5" s="126"/>
      <c r="QA5" s="126"/>
      <c r="QB5" s="126"/>
      <c r="QC5" s="126"/>
      <c r="QD5" s="126"/>
      <c r="QE5" s="126"/>
      <c r="QF5" s="126"/>
      <c r="QG5" s="126"/>
      <c r="QH5" s="126"/>
      <c r="QI5" s="126"/>
      <c r="QJ5" s="126"/>
      <c r="QK5" s="126"/>
      <c r="QL5" s="126"/>
      <c r="QM5" s="126"/>
      <c r="QN5" s="126"/>
      <c r="QO5" s="126"/>
      <c r="QP5" s="126"/>
      <c r="QQ5" s="126"/>
      <c r="QR5" s="126"/>
      <c r="QS5" s="126"/>
      <c r="QT5" s="126"/>
      <c r="QU5" s="126"/>
      <c r="QV5" s="126"/>
      <c r="QW5" s="126"/>
      <c r="QX5" s="126"/>
      <c r="QY5" s="126"/>
      <c r="QZ5" s="126"/>
      <c r="RA5" s="126"/>
      <c r="RB5" s="126"/>
      <c r="RC5" s="126"/>
      <c r="RD5" s="126"/>
      <c r="RE5" s="126"/>
      <c r="RF5" s="126"/>
      <c r="RG5" s="126"/>
      <c r="RH5" s="126"/>
      <c r="RI5" s="126"/>
      <c r="RJ5" s="126"/>
      <c r="RK5" s="126"/>
      <c r="RL5" s="126"/>
      <c r="RM5" s="126"/>
      <c r="RN5" s="126"/>
      <c r="RO5" s="126"/>
      <c r="RP5" s="126"/>
      <c r="RQ5" s="126"/>
      <c r="RR5" s="126"/>
      <c r="RS5" s="126"/>
      <c r="RT5" s="126"/>
      <c r="RU5" s="126"/>
      <c r="RV5" s="126"/>
      <c r="RW5" s="126"/>
      <c r="RX5" s="126"/>
      <c r="RY5" s="126"/>
      <c r="RZ5" s="126"/>
      <c r="SA5" s="126"/>
      <c r="SB5" s="126"/>
      <c r="SC5" s="126"/>
      <c r="SD5" s="126"/>
      <c r="SE5" s="126"/>
      <c r="SF5" s="126"/>
      <c r="SG5" s="126"/>
      <c r="SH5" s="126"/>
      <c r="SI5" s="126"/>
      <c r="SJ5" s="126"/>
      <c r="SK5" s="126"/>
      <c r="SL5" s="126"/>
      <c r="SM5" s="126"/>
      <c r="SN5" s="126"/>
      <c r="SO5" s="126"/>
      <c r="SP5" s="126"/>
      <c r="SQ5" s="126"/>
      <c r="SR5" s="126"/>
      <c r="SS5" s="126"/>
      <c r="ST5" s="126"/>
      <c r="SU5" s="126"/>
      <c r="SV5" s="126"/>
      <c r="SW5" s="126"/>
      <c r="SX5" s="126"/>
      <c r="SY5" s="126"/>
      <c r="SZ5" s="126"/>
      <c r="TA5" s="126"/>
      <c r="TB5" s="126"/>
      <c r="TC5" s="126"/>
      <c r="TD5" s="126"/>
      <c r="TE5" s="126"/>
      <c r="TF5" s="126"/>
      <c r="TG5" s="126"/>
      <c r="TH5" s="126"/>
      <c r="TI5" s="126"/>
      <c r="TJ5" s="126"/>
      <c r="TK5" s="126"/>
      <c r="TL5" s="126"/>
      <c r="TM5" s="126"/>
      <c r="TN5" s="126"/>
      <c r="TO5" s="126"/>
      <c r="TP5" s="126"/>
      <c r="TQ5" s="126"/>
      <c r="TR5" s="126"/>
      <c r="TS5" s="126"/>
      <c r="TT5" s="126"/>
      <c r="TU5" s="126"/>
      <c r="TV5" s="126"/>
      <c r="TW5" s="126"/>
      <c r="TX5" s="126"/>
      <c r="TY5" s="126"/>
      <c r="TZ5" s="126"/>
      <c r="UA5" s="126"/>
      <c r="UB5" s="126"/>
      <c r="UC5" s="126"/>
      <c r="UD5" s="126"/>
      <c r="UE5" s="126"/>
      <c r="UF5" s="126"/>
      <c r="UG5" s="126"/>
      <c r="UH5" s="126"/>
      <c r="UI5" s="126"/>
      <c r="UJ5" s="126"/>
      <c r="UK5" s="126"/>
      <c r="UL5" s="126"/>
      <c r="UM5" s="126"/>
      <c r="UN5" s="126"/>
      <c r="UO5" s="126"/>
      <c r="UP5" s="126"/>
      <c r="UQ5" s="126"/>
      <c r="UR5" s="126"/>
      <c r="US5" s="126"/>
      <c r="UT5" s="126"/>
      <c r="UU5" s="126"/>
      <c r="UV5" s="126"/>
      <c r="UW5" s="126"/>
      <c r="UX5" s="126"/>
      <c r="UY5" s="126"/>
      <c r="UZ5" s="126"/>
      <c r="VA5" s="126"/>
      <c r="VB5" s="126"/>
      <c r="VC5" s="126"/>
      <c r="VD5" s="126"/>
      <c r="VE5" s="126"/>
      <c r="VF5" s="126"/>
      <c r="VG5" s="126"/>
      <c r="VH5" s="126"/>
      <c r="VI5" s="126"/>
      <c r="VJ5" s="126"/>
      <c r="VK5" s="126"/>
      <c r="VL5" s="126"/>
      <c r="VM5" s="126"/>
      <c r="VN5" s="126"/>
      <c r="VO5" s="126"/>
      <c r="VP5" s="126"/>
      <c r="VQ5" s="126"/>
      <c r="VR5" s="126"/>
      <c r="VS5" s="126"/>
      <c r="VT5" s="126"/>
      <c r="VU5" s="126"/>
      <c r="VV5" s="126"/>
      <c r="VW5" s="126"/>
      <c r="VX5" s="126"/>
      <c r="VY5" s="126"/>
      <c r="VZ5" s="126"/>
      <c r="WA5" s="126"/>
      <c r="WB5" s="126"/>
      <c r="WC5" s="126"/>
      <c r="WD5" s="126"/>
      <c r="WE5" s="126"/>
      <c r="WF5" s="126"/>
      <c r="WG5" s="126"/>
      <c r="WH5" s="126"/>
      <c r="WI5" s="126"/>
      <c r="WJ5" s="126"/>
      <c r="WK5" s="126"/>
      <c r="WL5" s="126"/>
      <c r="WM5" s="126"/>
      <c r="WN5" s="126"/>
      <c r="WO5" s="126"/>
      <c r="WP5" s="126"/>
      <c r="WQ5" s="126"/>
      <c r="WR5" s="126"/>
      <c r="WS5" s="126"/>
      <c r="WT5" s="126"/>
      <c r="WU5" s="126"/>
      <c r="WV5" s="126"/>
      <c r="WW5" s="126"/>
      <c r="WX5" s="126"/>
      <c r="WY5" s="126"/>
      <c r="WZ5" s="126"/>
      <c r="XA5" s="126"/>
      <c r="XB5" s="126"/>
      <c r="XC5" s="126"/>
      <c r="XD5" s="126"/>
      <c r="XE5" s="126"/>
      <c r="XF5" s="126"/>
      <c r="XG5" s="126"/>
      <c r="XH5" s="126"/>
      <c r="XI5" s="126"/>
      <c r="XJ5" s="126"/>
      <c r="XK5" s="126"/>
      <c r="XL5" s="126"/>
      <c r="XM5" s="126"/>
      <c r="XN5" s="126"/>
      <c r="XO5" s="126"/>
      <c r="XP5" s="126"/>
      <c r="XQ5" s="126"/>
      <c r="XR5" s="126"/>
      <c r="XS5" s="126"/>
      <c r="XT5" s="126"/>
      <c r="XU5" s="126"/>
      <c r="XV5" s="126"/>
      <c r="XW5" s="126"/>
      <c r="XX5" s="126"/>
      <c r="XY5" s="126"/>
      <c r="XZ5" s="126"/>
      <c r="YA5" s="126"/>
      <c r="YB5" s="126"/>
      <c r="YC5" s="126"/>
      <c r="YD5" s="126"/>
      <c r="YE5" s="126"/>
      <c r="YF5" s="126"/>
      <c r="YG5" s="126"/>
      <c r="YH5" s="126"/>
      <c r="YI5" s="126"/>
      <c r="YJ5" s="126"/>
      <c r="YK5" s="126"/>
      <c r="YL5" s="126"/>
      <c r="YM5" s="126"/>
      <c r="YN5" s="126"/>
      <c r="YO5" s="126"/>
      <c r="YP5" s="126"/>
      <c r="YQ5" s="126"/>
      <c r="YR5" s="126"/>
      <c r="YS5" s="126"/>
      <c r="YT5" s="126"/>
      <c r="YU5" s="126"/>
      <c r="YV5" s="126"/>
      <c r="YW5" s="126"/>
      <c r="YX5" s="126"/>
      <c r="YY5" s="126"/>
      <c r="YZ5" s="126"/>
      <c r="ZA5" s="126"/>
      <c r="ZB5" s="126"/>
      <c r="ZC5" s="126"/>
      <c r="ZD5" s="126"/>
      <c r="ZE5" s="126"/>
      <c r="ZF5" s="126"/>
      <c r="ZG5" s="126"/>
      <c r="ZH5" s="126"/>
      <c r="ZI5" s="126"/>
      <c r="ZJ5" s="126"/>
      <c r="ZK5" s="126"/>
      <c r="ZL5" s="126"/>
      <c r="ZM5" s="126"/>
      <c r="ZN5" s="126"/>
      <c r="ZO5" s="126"/>
      <c r="ZP5" s="126"/>
      <c r="ZQ5" s="126"/>
      <c r="ZR5" s="126"/>
      <c r="ZS5" s="126"/>
      <c r="ZT5" s="126"/>
      <c r="ZU5" s="126"/>
      <c r="ZV5" s="126"/>
      <c r="ZW5" s="126"/>
      <c r="ZX5" s="126"/>
      <c r="ZY5" s="126"/>
      <c r="ZZ5" s="126"/>
      <c r="AAA5" s="126"/>
      <c r="AAB5" s="126"/>
      <c r="AAC5" s="126"/>
      <c r="AAD5" s="126"/>
      <c r="AAE5" s="126"/>
      <c r="AAF5" s="126"/>
      <c r="AAG5" s="126"/>
      <c r="AAH5" s="126"/>
      <c r="AAI5" s="126"/>
      <c r="AAJ5" s="126"/>
      <c r="AAK5" s="126"/>
      <c r="AAL5" s="126"/>
      <c r="AAM5" s="126"/>
      <c r="AAN5" s="126"/>
      <c r="AAO5" s="126"/>
      <c r="AAP5" s="126"/>
      <c r="AAQ5" s="126"/>
      <c r="AAR5" s="126"/>
      <c r="AAS5" s="126"/>
      <c r="AAT5" s="126"/>
      <c r="AAU5" s="126"/>
      <c r="AAV5" s="126"/>
      <c r="AAW5" s="126"/>
      <c r="AAX5" s="126"/>
      <c r="AAY5" s="126"/>
      <c r="AAZ5" s="126"/>
      <c r="ABA5" s="126"/>
      <c r="ABB5" s="126"/>
      <c r="ABC5" s="126"/>
      <c r="ABD5" s="126"/>
      <c r="ABE5" s="126"/>
      <c r="ABF5" s="126"/>
      <c r="ABG5" s="126"/>
      <c r="ABH5" s="126"/>
      <c r="ABI5" s="126"/>
      <c r="ABJ5" s="126"/>
      <c r="ABK5" s="126"/>
      <c r="ABL5" s="126"/>
      <c r="ABM5" s="126"/>
      <c r="ABN5" s="126"/>
      <c r="ABO5" s="126"/>
      <c r="ABP5" s="126"/>
      <c r="ABQ5" s="126"/>
      <c r="ABR5" s="126"/>
      <c r="ABS5" s="126"/>
      <c r="ABT5" s="126"/>
      <c r="ABU5" s="126"/>
      <c r="ABV5" s="126"/>
      <c r="ABW5" s="126"/>
      <c r="ABX5" s="126"/>
      <c r="ABY5" s="126"/>
      <c r="ABZ5" s="126"/>
      <c r="ACA5" s="126"/>
      <c r="ACB5" s="126"/>
      <c r="ACC5" s="126"/>
      <c r="ACD5" s="126"/>
      <c r="ACE5" s="126"/>
      <c r="ACF5" s="126"/>
      <c r="ACG5" s="126"/>
      <c r="ACH5" s="126"/>
      <c r="ACI5" s="126"/>
      <c r="ACJ5" s="126"/>
      <c r="ACK5" s="126"/>
      <c r="ACL5" s="126"/>
      <c r="ACM5" s="126"/>
      <c r="ACN5" s="126"/>
      <c r="ACO5" s="126"/>
      <c r="ACP5" s="126"/>
      <c r="ACQ5" s="126"/>
      <c r="ACR5" s="126"/>
      <c r="ACS5" s="126"/>
      <c r="ACT5" s="126"/>
      <c r="ACU5" s="126"/>
      <c r="ACV5" s="126"/>
      <c r="ACW5" s="126"/>
      <c r="ACX5" s="126"/>
      <c r="ACY5" s="126"/>
      <c r="ACZ5" s="126"/>
      <c r="ADA5" s="126"/>
      <c r="ADB5" s="126"/>
      <c r="ADC5" s="126"/>
      <c r="ADD5" s="126"/>
      <c r="ADE5" s="126"/>
      <c r="ADF5" s="126"/>
      <c r="ADG5" s="126"/>
      <c r="ADH5" s="126"/>
      <c r="ADI5" s="126"/>
      <c r="ADJ5" s="126"/>
      <c r="ADK5" s="126"/>
      <c r="ADL5" s="126"/>
      <c r="ADM5" s="126"/>
      <c r="ADN5" s="126"/>
      <c r="ADO5" s="126"/>
      <c r="ADP5" s="126"/>
      <c r="ADQ5" s="126"/>
      <c r="ADR5" s="126"/>
      <c r="ADS5" s="126"/>
      <c r="ADT5" s="126"/>
      <c r="ADU5" s="126"/>
      <c r="ADV5" s="126"/>
      <c r="ADW5" s="126"/>
      <c r="ADX5" s="126"/>
      <c r="ADY5" s="126"/>
      <c r="ADZ5" s="126"/>
      <c r="AEA5" s="126"/>
      <c r="AEB5" s="126"/>
      <c r="AEC5" s="126"/>
      <c r="AED5" s="126"/>
      <c r="AEE5" s="126"/>
      <c r="AEF5" s="126"/>
      <c r="AEG5" s="126"/>
      <c r="AEH5" s="126"/>
      <c r="AEI5" s="126"/>
      <c r="AEJ5" s="126"/>
      <c r="AEK5" s="126"/>
      <c r="AEL5" s="126"/>
      <c r="AEM5" s="126"/>
      <c r="AEN5" s="126"/>
      <c r="AEO5" s="126"/>
      <c r="AEP5" s="126"/>
      <c r="AEQ5" s="126"/>
      <c r="AER5" s="126"/>
      <c r="AES5" s="126"/>
      <c r="AET5" s="126"/>
      <c r="AEU5" s="126"/>
      <c r="AEV5" s="126"/>
      <c r="AEW5" s="126"/>
      <c r="AEX5" s="126"/>
      <c r="AEY5" s="126"/>
      <c r="AEZ5" s="126"/>
      <c r="AFA5" s="126"/>
      <c r="AFB5" s="126"/>
      <c r="AFC5" s="126"/>
      <c r="AFD5" s="126"/>
      <c r="AFE5" s="126"/>
      <c r="AFF5" s="126"/>
      <c r="AFG5" s="126"/>
      <c r="AFH5" s="126"/>
      <c r="AFI5" s="126"/>
      <c r="AFJ5" s="126"/>
      <c r="AFK5" s="126"/>
      <c r="AFL5" s="126"/>
      <c r="AFM5" s="126"/>
      <c r="AFN5" s="126"/>
      <c r="AFO5" s="126"/>
      <c r="AFP5" s="126"/>
      <c r="AFQ5" s="126"/>
      <c r="AFR5" s="126"/>
      <c r="AFS5" s="126"/>
      <c r="AFT5" s="126"/>
      <c r="AFU5" s="126"/>
      <c r="AFV5" s="126"/>
      <c r="AFW5" s="126"/>
      <c r="AFX5" s="126"/>
      <c r="AFY5" s="126"/>
      <c r="AFZ5" s="126"/>
      <c r="AGA5" s="126"/>
      <c r="AGB5" s="126"/>
      <c r="AGC5" s="126"/>
      <c r="AGD5" s="126"/>
      <c r="AGE5" s="126"/>
      <c r="AGF5" s="126"/>
      <c r="AGG5" s="126"/>
      <c r="AGH5" s="126"/>
      <c r="AGI5" s="126"/>
      <c r="AGJ5" s="126"/>
      <c r="AGK5" s="126"/>
      <c r="AGL5" s="126"/>
      <c r="AGM5" s="126"/>
      <c r="AGN5" s="126"/>
      <c r="AGO5" s="126"/>
      <c r="AGP5" s="126"/>
      <c r="AGQ5" s="126"/>
      <c r="AGR5" s="126"/>
      <c r="AGS5" s="126"/>
      <c r="AGT5" s="126"/>
      <c r="AGU5" s="126"/>
      <c r="AGV5" s="126"/>
      <c r="AGW5" s="126"/>
      <c r="AGX5" s="126"/>
      <c r="AGY5" s="126"/>
      <c r="AGZ5" s="126"/>
      <c r="AHA5" s="126"/>
      <c r="AHB5" s="126"/>
      <c r="AHC5" s="126"/>
      <c r="AHD5" s="126"/>
      <c r="AHE5" s="126"/>
      <c r="AHF5" s="126"/>
      <c r="AHG5" s="126"/>
      <c r="AHH5" s="126"/>
      <c r="AHI5" s="126"/>
      <c r="AHJ5" s="126"/>
      <c r="AHK5" s="126"/>
      <c r="AHL5" s="126"/>
      <c r="AHM5" s="126"/>
      <c r="AHN5" s="126"/>
      <c r="AHO5" s="126"/>
      <c r="AHP5" s="126"/>
      <c r="AHQ5" s="126"/>
      <c r="AHR5" s="126"/>
      <c r="AHS5" s="126"/>
      <c r="AHT5" s="126"/>
      <c r="AHU5" s="126"/>
      <c r="AHV5" s="126"/>
      <c r="AHW5" s="126"/>
      <c r="AHX5" s="126"/>
      <c r="AHY5" s="126"/>
      <c r="AHZ5" s="126"/>
      <c r="AIA5" s="126"/>
      <c r="AIB5" s="126"/>
      <c r="AIC5" s="126"/>
      <c r="AID5" s="126"/>
      <c r="AIE5" s="126"/>
      <c r="AIF5" s="126"/>
      <c r="AIG5" s="126"/>
      <c r="AIH5" s="126"/>
      <c r="AII5" s="126"/>
      <c r="AIJ5" s="126"/>
      <c r="AIK5" s="126"/>
      <c r="AIL5" s="126"/>
      <c r="AIM5" s="126"/>
      <c r="AIN5" s="126"/>
      <c r="AIO5" s="126"/>
      <c r="AIP5" s="126"/>
      <c r="AIQ5" s="126"/>
      <c r="AIR5" s="126"/>
      <c r="AIS5" s="126"/>
      <c r="AIT5" s="126"/>
      <c r="AIU5" s="126"/>
      <c r="AIV5" s="126"/>
      <c r="AIW5" s="126"/>
      <c r="AIX5" s="126"/>
      <c r="AIY5" s="126"/>
      <c r="AIZ5" s="126"/>
      <c r="AJA5" s="126"/>
      <c r="AJB5" s="126"/>
      <c r="AJC5" s="126"/>
      <c r="AJD5" s="126"/>
      <c r="AJE5" s="126"/>
      <c r="AJF5" s="126"/>
      <c r="AJG5" s="126"/>
      <c r="AJH5" s="126"/>
      <c r="AJI5" s="126"/>
      <c r="AJJ5" s="126"/>
      <c r="AJK5" s="126"/>
      <c r="AJL5" s="126"/>
      <c r="AJM5" s="126"/>
      <c r="AJN5" s="126"/>
      <c r="AJO5" s="126"/>
      <c r="AJP5" s="126"/>
      <c r="AJQ5" s="126"/>
      <c r="AJR5" s="126"/>
      <c r="AJS5" s="126"/>
      <c r="AJT5" s="126"/>
      <c r="AJU5" s="126"/>
      <c r="AJV5" s="126"/>
      <c r="AJW5" s="126"/>
      <c r="AJX5" s="126"/>
      <c r="AJY5" s="126"/>
      <c r="AJZ5" s="126"/>
      <c r="AKA5" s="126"/>
      <c r="AKB5" s="126"/>
      <c r="AKC5" s="126"/>
      <c r="AKD5" s="126"/>
      <c r="AKE5" s="126"/>
      <c r="AKF5" s="126"/>
      <c r="AKG5" s="126"/>
      <c r="AKH5" s="126"/>
      <c r="AKI5" s="126"/>
      <c r="AKJ5" s="126"/>
      <c r="AKK5" s="126"/>
      <c r="AKL5" s="126"/>
      <c r="AKM5" s="126"/>
      <c r="AKN5" s="126"/>
      <c r="AKO5" s="126"/>
      <c r="AKP5" s="126"/>
      <c r="AKQ5" s="126"/>
      <c r="AKR5" s="126"/>
      <c r="AKS5" s="126"/>
      <c r="AKT5" s="126"/>
      <c r="AKU5" s="126"/>
      <c r="AKV5" s="126"/>
      <c r="AKW5" s="126"/>
      <c r="AKX5" s="126"/>
      <c r="AKY5" s="126"/>
      <c r="AKZ5" s="126"/>
      <c r="ALA5" s="126"/>
      <c r="ALB5" s="126"/>
      <c r="ALC5" s="126"/>
      <c r="ALD5" s="126"/>
      <c r="ALE5" s="126"/>
      <c r="ALF5" s="126"/>
      <c r="ALG5" s="126"/>
      <c r="ALH5" s="126"/>
      <c r="ALI5" s="126"/>
      <c r="ALJ5" s="126"/>
      <c r="ALK5" s="126"/>
      <c r="ALL5" s="126"/>
      <c r="ALM5" s="126"/>
      <c r="ALN5" s="126"/>
      <c r="ALO5" s="126"/>
      <c r="ALP5" s="126"/>
      <c r="ALQ5" s="126"/>
      <c r="ALR5" s="126"/>
      <c r="ALS5" s="126"/>
      <c r="ALT5" s="126"/>
      <c r="ALU5" s="126"/>
      <c r="ALV5" s="126"/>
      <c r="ALW5" s="126"/>
      <c r="ALX5" s="126"/>
      <c r="ALY5" s="126"/>
      <c r="ALZ5" s="126"/>
      <c r="AMA5" s="126"/>
      <c r="AMB5" s="126"/>
      <c r="AMC5" s="126"/>
      <c r="AMD5" s="126"/>
      <c r="AME5" s="126"/>
      <c r="AMF5" s="126"/>
      <c r="AMG5" s="126"/>
      <c r="AMH5" s="126"/>
      <c r="AMI5" s="126"/>
      <c r="AMJ5" s="126"/>
    </row>
    <row r="6" spans="1:1024" ht="14.25" customHeight="1">
      <c r="B6" s="588" t="s">
        <v>1480</v>
      </c>
      <c r="C6" s="588"/>
      <c r="D6" s="588"/>
      <c r="E6" s="587">
        <v>42917</v>
      </c>
      <c r="F6" s="585"/>
      <c r="G6" s="585"/>
    </row>
    <row r="7" spans="1:1024" ht="14.25" customHeight="1">
      <c r="B7" s="588" t="s">
        <v>1481</v>
      </c>
      <c r="C7" s="588"/>
      <c r="D7" s="588"/>
      <c r="E7" s="585" t="s">
        <v>1482</v>
      </c>
      <c r="F7" s="585"/>
      <c r="G7" s="585"/>
    </row>
    <row r="8" spans="1:1024" ht="14.25" customHeight="1">
      <c r="B8" s="588" t="s">
        <v>1483</v>
      </c>
      <c r="C8" s="588"/>
      <c r="D8" s="588"/>
      <c r="E8" s="585" t="s">
        <v>1484</v>
      </c>
      <c r="F8" s="585"/>
      <c r="G8" s="585"/>
    </row>
    <row r="9" spans="1:1024" ht="14.25" customHeight="1">
      <c r="B9" s="588" t="s">
        <v>1485</v>
      </c>
      <c r="C9" s="588"/>
      <c r="D9" s="588"/>
      <c r="E9" s="585" t="s">
        <v>1486</v>
      </c>
      <c r="F9" s="585"/>
      <c r="G9" s="585"/>
    </row>
    <row r="10" spans="1:1024" ht="38.25" customHeight="1">
      <c r="B10" s="588" t="s">
        <v>1487</v>
      </c>
      <c r="C10" s="588"/>
      <c r="D10" s="588"/>
      <c r="E10" s="590" t="s">
        <v>1488</v>
      </c>
      <c r="F10" s="590"/>
      <c r="G10" s="590"/>
    </row>
    <row r="11" spans="1:1024" ht="38.25" customHeight="1">
      <c r="B11" s="588" t="s">
        <v>1489</v>
      </c>
      <c r="C11" s="588"/>
      <c r="D11" s="588"/>
      <c r="E11" s="590" t="s">
        <v>1490</v>
      </c>
      <c r="F11" s="590"/>
      <c r="G11" s="590"/>
    </row>
    <row r="12" spans="1:1024" ht="38.25" customHeight="1">
      <c r="B12" s="588" t="s">
        <v>1491</v>
      </c>
      <c r="C12" s="588"/>
      <c r="D12" s="588"/>
      <c r="E12" s="590" t="s">
        <v>1492</v>
      </c>
      <c r="F12" s="590"/>
      <c r="G12" s="590"/>
    </row>
    <row r="13" spans="1:1024" ht="14.25" customHeight="1">
      <c r="B13" s="588" t="s">
        <v>1493</v>
      </c>
      <c r="C13" s="588"/>
      <c r="D13" s="588"/>
      <c r="E13" s="585"/>
      <c r="F13" s="585"/>
      <c r="G13" s="585"/>
    </row>
    <row r="14" spans="1:1024" ht="14.25" customHeight="1">
      <c r="B14" s="588" t="s">
        <v>1494</v>
      </c>
      <c r="C14" s="588"/>
      <c r="D14" s="588"/>
      <c r="E14" s="589"/>
      <c r="F14" s="585"/>
      <c r="G14" s="585"/>
    </row>
    <row r="15" spans="1:1024" ht="15">
      <c r="B15" s="127"/>
      <c r="C15" s="124"/>
      <c r="D15" s="124"/>
      <c r="E15" s="124"/>
      <c r="F15" s="124"/>
      <c r="G15" s="128"/>
    </row>
    <row r="16" spans="1:1024" s="124" customFormat="1" ht="25.5">
      <c r="B16" s="129" t="s">
        <v>1495</v>
      </c>
      <c r="C16" s="130" t="s">
        <v>1496</v>
      </c>
      <c r="D16" s="130" t="s">
        <v>1497</v>
      </c>
      <c r="E16" s="130" t="s">
        <v>1498</v>
      </c>
      <c r="F16" s="130" t="s">
        <v>1499</v>
      </c>
      <c r="G16" s="130" t="s">
        <v>1500</v>
      </c>
      <c r="H16" s="131" t="s">
        <v>1501</v>
      </c>
      <c r="I16" s="131" t="s">
        <v>1502</v>
      </c>
      <c r="AA16" s="132" t="s">
        <v>1503</v>
      </c>
      <c r="AB16" s="133"/>
      <c r="AC16" s="133"/>
      <c r="AD16" s="132"/>
      <c r="AE16" s="132"/>
      <c r="AF16" s="133"/>
      <c r="AG16" s="132"/>
    </row>
    <row r="17" spans="2:33" s="124" customFormat="1" ht="14.25" customHeight="1">
      <c r="B17" s="132">
        <v>1</v>
      </c>
      <c r="C17" s="134" t="s">
        <v>1504</v>
      </c>
      <c r="D17" s="134" t="s">
        <v>1505</v>
      </c>
      <c r="E17" s="134" t="s">
        <v>1506</v>
      </c>
      <c r="F17" s="135">
        <v>45189</v>
      </c>
      <c r="G17" s="134" t="s">
        <v>1507</v>
      </c>
      <c r="H17" s="136">
        <v>45189</v>
      </c>
      <c r="I17" s="137">
        <v>0</v>
      </c>
      <c r="AA17" s="138" t="str">
        <f t="shared" ref="AA17:AA28" si="0">E17</f>
        <v>August</v>
      </c>
      <c r="AB17" s="134">
        <f t="shared" ref="AB17:AB28" si="1">IF(E17="April",4,IF(E17="May",5,IF(E17="June",6,IF(E17="July",7,IF(E17="August",8,IF(E17="September",9,IF(E17="October",10,IF(E17="November",11,IF(E17="December",12,IF(E17="January",1,IF(E17="February",2,IF(E17="March",3,""))))))))))))</f>
        <v>8</v>
      </c>
      <c r="AC17" s="139">
        <f t="shared" ref="AC17:AC28" si="2">IF(E17="January",2023,IF(E17="February",2023,IF(E17="March",2023,IF(E17="April",2022,IF(E17="May",2022,IF(E17="June",2022,IF(E17="July",2022,IF(E17="August",2022,IF(E17="September",2022,IF(E17="October",2022,IF(E17="November",2022,IF(E17="December",2022,""))))))))))))</f>
        <v>2022</v>
      </c>
      <c r="AD17" s="140">
        <f t="shared" ref="AD17:AD28" si="3">DATE(AC17,AB17,1)</f>
        <v>44774</v>
      </c>
      <c r="AE17" s="141">
        <f t="shared" ref="AE17:AE28" si="4">MONTH(DATEVALUE(E17&amp;"1"))</f>
        <v>8</v>
      </c>
      <c r="AF17" s="142">
        <f t="shared" ref="AF17:AF28" si="5">EOMONTH(AD17,0)+20</f>
        <v>44824</v>
      </c>
      <c r="AG17" s="143">
        <f t="shared" ref="AG17:AG28" si="6">H17-F17</f>
        <v>0</v>
      </c>
    </row>
    <row r="18" spans="2:33" s="124" customFormat="1" ht="14.25" customHeight="1">
      <c r="B18" s="132">
        <v>2</v>
      </c>
      <c r="C18" s="134" t="s">
        <v>1508</v>
      </c>
      <c r="D18" s="134" t="s">
        <v>1509</v>
      </c>
      <c r="E18" s="134" t="s">
        <v>1510</v>
      </c>
      <c r="F18" s="135">
        <v>45158</v>
      </c>
      <c r="G18" s="134" t="s">
        <v>1511</v>
      </c>
      <c r="H18" s="136">
        <v>45158</v>
      </c>
      <c r="I18" s="137">
        <v>0</v>
      </c>
      <c r="AA18" s="138" t="str">
        <f t="shared" si="0"/>
        <v>July</v>
      </c>
      <c r="AB18" s="134">
        <f t="shared" si="1"/>
        <v>7</v>
      </c>
      <c r="AC18" s="139">
        <f t="shared" si="2"/>
        <v>2022</v>
      </c>
      <c r="AD18" s="140">
        <f t="shared" si="3"/>
        <v>44743</v>
      </c>
      <c r="AE18" s="141">
        <f t="shared" si="4"/>
        <v>7</v>
      </c>
      <c r="AF18" s="142">
        <f t="shared" si="5"/>
        <v>44793</v>
      </c>
      <c r="AG18" s="143">
        <f t="shared" si="6"/>
        <v>0</v>
      </c>
    </row>
    <row r="19" spans="2:33" s="124" customFormat="1" ht="14.25" customHeight="1">
      <c r="B19" s="132">
        <v>3</v>
      </c>
      <c r="C19" s="134" t="s">
        <v>1512</v>
      </c>
      <c r="D19" s="134" t="s">
        <v>1513</v>
      </c>
      <c r="E19" s="134" t="s">
        <v>1514</v>
      </c>
      <c r="F19" s="135">
        <v>45127</v>
      </c>
      <c r="G19" s="134" t="s">
        <v>1515</v>
      </c>
      <c r="H19" s="136">
        <v>45127</v>
      </c>
      <c r="I19" s="137">
        <v>0</v>
      </c>
      <c r="AA19" s="138" t="str">
        <f t="shared" si="0"/>
        <v>June</v>
      </c>
      <c r="AB19" s="134">
        <f t="shared" si="1"/>
        <v>6</v>
      </c>
      <c r="AC19" s="139">
        <f t="shared" si="2"/>
        <v>2022</v>
      </c>
      <c r="AD19" s="140">
        <f t="shared" si="3"/>
        <v>44713</v>
      </c>
      <c r="AE19" s="141">
        <f t="shared" si="4"/>
        <v>6</v>
      </c>
      <c r="AF19" s="142">
        <f t="shared" si="5"/>
        <v>44762</v>
      </c>
      <c r="AG19" s="143">
        <f t="shared" si="6"/>
        <v>0</v>
      </c>
    </row>
    <row r="20" spans="2:33" s="124" customFormat="1" ht="14.25" customHeight="1">
      <c r="B20" s="132">
        <v>4</v>
      </c>
      <c r="C20" s="134" t="s">
        <v>1516</v>
      </c>
      <c r="D20" s="134" t="s">
        <v>1517</v>
      </c>
      <c r="E20" s="134" t="s">
        <v>1518</v>
      </c>
      <c r="F20" s="135">
        <v>45097</v>
      </c>
      <c r="G20" s="134" t="s">
        <v>1519</v>
      </c>
      <c r="H20" s="136">
        <v>45097</v>
      </c>
      <c r="I20" s="137">
        <v>0</v>
      </c>
      <c r="AA20" s="138" t="str">
        <f t="shared" si="0"/>
        <v>May</v>
      </c>
      <c r="AB20" s="134">
        <f t="shared" si="1"/>
        <v>5</v>
      </c>
      <c r="AC20" s="139">
        <f t="shared" si="2"/>
        <v>2022</v>
      </c>
      <c r="AD20" s="140">
        <f t="shared" si="3"/>
        <v>44682</v>
      </c>
      <c r="AE20" s="141">
        <f t="shared" si="4"/>
        <v>5</v>
      </c>
      <c r="AF20" s="142">
        <f t="shared" si="5"/>
        <v>44732</v>
      </c>
      <c r="AG20" s="143">
        <f t="shared" si="6"/>
        <v>0</v>
      </c>
    </row>
    <row r="21" spans="2:33" s="124" customFormat="1" ht="14.25" customHeight="1">
      <c r="B21" s="132">
        <v>5</v>
      </c>
      <c r="C21" s="134" t="s">
        <v>1520</v>
      </c>
      <c r="D21" s="134" t="s">
        <v>1521</v>
      </c>
      <c r="E21" s="134" t="s">
        <v>1522</v>
      </c>
      <c r="F21" s="135">
        <v>45066</v>
      </c>
      <c r="G21" s="134" t="s">
        <v>1523</v>
      </c>
      <c r="H21" s="136">
        <v>45066</v>
      </c>
      <c r="I21" s="137">
        <v>0</v>
      </c>
      <c r="AA21" s="138" t="str">
        <f t="shared" si="0"/>
        <v>April</v>
      </c>
      <c r="AB21" s="134">
        <f t="shared" si="1"/>
        <v>4</v>
      </c>
      <c r="AC21" s="139">
        <f t="shared" si="2"/>
        <v>2022</v>
      </c>
      <c r="AD21" s="140">
        <f t="shared" si="3"/>
        <v>44652</v>
      </c>
      <c r="AE21" s="141">
        <f t="shared" si="4"/>
        <v>4</v>
      </c>
      <c r="AF21" s="142">
        <f t="shared" si="5"/>
        <v>44701</v>
      </c>
      <c r="AG21" s="143">
        <f t="shared" si="6"/>
        <v>0</v>
      </c>
    </row>
    <row r="22" spans="2:33" s="124" customFormat="1" ht="14.25" customHeight="1">
      <c r="B22" s="132">
        <v>6</v>
      </c>
      <c r="C22" s="134" t="s">
        <v>1524</v>
      </c>
      <c r="D22" s="134" t="s">
        <v>1525</v>
      </c>
      <c r="E22" s="134" t="s">
        <v>1526</v>
      </c>
      <c r="F22" s="135">
        <v>45036</v>
      </c>
      <c r="G22" s="134" t="s">
        <v>1527</v>
      </c>
      <c r="H22" s="136">
        <f t="shared" ref="H22:H28" si="7">IF(E22="","",AF22)</f>
        <v>45036</v>
      </c>
      <c r="I22" s="137">
        <v>0</v>
      </c>
      <c r="AA22" s="138" t="str">
        <f t="shared" si="0"/>
        <v>March</v>
      </c>
      <c r="AB22" s="134">
        <f t="shared" si="1"/>
        <v>3</v>
      </c>
      <c r="AC22" s="139">
        <f t="shared" si="2"/>
        <v>2023</v>
      </c>
      <c r="AD22" s="140">
        <f t="shared" si="3"/>
        <v>44986</v>
      </c>
      <c r="AE22" s="141">
        <f t="shared" si="4"/>
        <v>3</v>
      </c>
      <c r="AF22" s="142">
        <f t="shared" si="5"/>
        <v>45036</v>
      </c>
      <c r="AG22" s="143">
        <f t="shared" si="6"/>
        <v>0</v>
      </c>
    </row>
    <row r="23" spans="2:33" s="124" customFormat="1" ht="14.25" customHeight="1">
      <c r="B23" s="132">
        <v>7</v>
      </c>
      <c r="C23" s="134" t="s">
        <v>1528</v>
      </c>
      <c r="D23" s="134" t="s">
        <v>1529</v>
      </c>
      <c r="E23" s="134" t="s">
        <v>1530</v>
      </c>
      <c r="F23" s="135">
        <v>45003</v>
      </c>
      <c r="G23" s="134" t="s">
        <v>1531</v>
      </c>
      <c r="H23" s="136">
        <f t="shared" si="7"/>
        <v>45005</v>
      </c>
      <c r="I23" s="137">
        <v>0</v>
      </c>
      <c r="AA23" s="138" t="str">
        <f t="shared" si="0"/>
        <v>February</v>
      </c>
      <c r="AB23" s="134">
        <f t="shared" si="1"/>
        <v>2</v>
      </c>
      <c r="AC23" s="139">
        <f t="shared" si="2"/>
        <v>2023</v>
      </c>
      <c r="AD23" s="140">
        <f t="shared" si="3"/>
        <v>44958</v>
      </c>
      <c r="AE23" s="141">
        <f t="shared" si="4"/>
        <v>2</v>
      </c>
      <c r="AF23" s="142">
        <f t="shared" si="5"/>
        <v>45005</v>
      </c>
      <c r="AG23" s="143">
        <f t="shared" si="6"/>
        <v>2</v>
      </c>
    </row>
    <row r="24" spans="2:33" s="124" customFormat="1" ht="14.25" customHeight="1">
      <c r="B24" s="132">
        <v>8</v>
      </c>
      <c r="C24" s="134" t="s">
        <v>1532</v>
      </c>
      <c r="D24" s="134" t="s">
        <v>1533</v>
      </c>
      <c r="E24" s="134" t="s">
        <v>1534</v>
      </c>
      <c r="F24" s="135">
        <v>44977</v>
      </c>
      <c r="G24" s="134" t="s">
        <v>1535</v>
      </c>
      <c r="H24" s="136">
        <f t="shared" si="7"/>
        <v>44977</v>
      </c>
      <c r="I24" s="137">
        <v>0</v>
      </c>
      <c r="AA24" s="138" t="str">
        <f t="shared" si="0"/>
        <v>January</v>
      </c>
      <c r="AB24" s="134">
        <f t="shared" si="1"/>
        <v>1</v>
      </c>
      <c r="AC24" s="139">
        <f t="shared" si="2"/>
        <v>2023</v>
      </c>
      <c r="AD24" s="140">
        <f t="shared" si="3"/>
        <v>44927</v>
      </c>
      <c r="AE24" s="141">
        <f t="shared" si="4"/>
        <v>1</v>
      </c>
      <c r="AF24" s="142">
        <f t="shared" si="5"/>
        <v>44977</v>
      </c>
      <c r="AG24" s="143">
        <f t="shared" si="6"/>
        <v>0</v>
      </c>
    </row>
    <row r="25" spans="2:33" s="124" customFormat="1" ht="14.25" customHeight="1">
      <c r="B25" s="132">
        <v>9</v>
      </c>
      <c r="C25" s="134" t="s">
        <v>1536</v>
      </c>
      <c r="D25" s="134" t="s">
        <v>1537</v>
      </c>
      <c r="E25" s="134" t="s">
        <v>1538</v>
      </c>
      <c r="F25" s="135">
        <v>44946</v>
      </c>
      <c r="G25" s="134" t="s">
        <v>1539</v>
      </c>
      <c r="H25" s="136">
        <f t="shared" si="7"/>
        <v>44946</v>
      </c>
      <c r="I25" s="137">
        <v>0</v>
      </c>
      <c r="AA25" s="138" t="str">
        <f t="shared" si="0"/>
        <v>December</v>
      </c>
      <c r="AB25" s="134">
        <f t="shared" si="1"/>
        <v>12</v>
      </c>
      <c r="AC25" s="139">
        <f t="shared" si="2"/>
        <v>2022</v>
      </c>
      <c r="AD25" s="140">
        <f t="shared" si="3"/>
        <v>44896</v>
      </c>
      <c r="AE25" s="141">
        <f t="shared" si="4"/>
        <v>12</v>
      </c>
      <c r="AF25" s="142">
        <f t="shared" si="5"/>
        <v>44946</v>
      </c>
      <c r="AG25" s="143">
        <f t="shared" si="6"/>
        <v>0</v>
      </c>
    </row>
    <row r="26" spans="2:33" s="124" customFormat="1" ht="14.25" customHeight="1">
      <c r="B26" s="144">
        <v>10</v>
      </c>
      <c r="C26" s="145" t="s">
        <v>1540</v>
      </c>
      <c r="D26" s="145" t="s">
        <v>1541</v>
      </c>
      <c r="E26" s="145" t="s">
        <v>1542</v>
      </c>
      <c r="F26" s="135">
        <v>44915</v>
      </c>
      <c r="G26" s="134" t="s">
        <v>1543</v>
      </c>
      <c r="H26" s="136">
        <f t="shared" si="7"/>
        <v>44915</v>
      </c>
      <c r="I26" s="137">
        <v>0</v>
      </c>
      <c r="AA26" s="138" t="str">
        <f t="shared" si="0"/>
        <v>November</v>
      </c>
      <c r="AB26" s="134">
        <f t="shared" si="1"/>
        <v>11</v>
      </c>
      <c r="AC26" s="139">
        <f t="shared" si="2"/>
        <v>2022</v>
      </c>
      <c r="AD26" s="140">
        <f t="shared" si="3"/>
        <v>44866</v>
      </c>
      <c r="AE26" s="141">
        <f t="shared" si="4"/>
        <v>11</v>
      </c>
      <c r="AF26" s="142">
        <f t="shared" si="5"/>
        <v>44915</v>
      </c>
      <c r="AG26" s="143">
        <f t="shared" si="6"/>
        <v>0</v>
      </c>
    </row>
    <row r="27" spans="2:33" s="124" customFormat="1" ht="14.25" customHeight="1">
      <c r="B27" s="132">
        <v>11</v>
      </c>
      <c r="C27" s="134"/>
      <c r="D27" s="134"/>
      <c r="E27" s="134"/>
      <c r="F27" s="134"/>
      <c r="G27" s="134"/>
      <c r="H27" s="134" t="str">
        <f t="shared" si="7"/>
        <v/>
      </c>
      <c r="I27" s="137" t="str">
        <f t="shared" ref="I27:I28" si="8">IF(E27="","",AG27)</f>
        <v/>
      </c>
      <c r="AA27" s="138">
        <f t="shared" si="0"/>
        <v>0</v>
      </c>
      <c r="AB27" s="134" t="str">
        <f t="shared" si="1"/>
        <v/>
      </c>
      <c r="AC27" s="139" t="str">
        <f t="shared" si="2"/>
        <v/>
      </c>
      <c r="AD27" s="132" t="e">
        <f t="shared" si="3"/>
        <v>#VALUE!</v>
      </c>
      <c r="AE27" s="141" t="e">
        <f t="shared" si="4"/>
        <v>#VALUE!</v>
      </c>
      <c r="AF27" s="146" t="e">
        <f t="shared" si="5"/>
        <v>#VALUE!</v>
      </c>
      <c r="AG27" s="143" t="e">
        <f t="shared" si="6"/>
        <v>#VALUE!</v>
      </c>
    </row>
    <row r="28" spans="2:33" s="124" customFormat="1" ht="14.25" customHeight="1">
      <c r="B28" s="132">
        <v>12</v>
      </c>
      <c r="C28" s="134"/>
      <c r="D28" s="134"/>
      <c r="E28" s="134"/>
      <c r="F28" s="134"/>
      <c r="G28" s="134"/>
      <c r="H28" s="134" t="str">
        <f t="shared" si="7"/>
        <v/>
      </c>
      <c r="I28" s="137" t="str">
        <f t="shared" si="8"/>
        <v/>
      </c>
      <c r="AA28" s="138">
        <f t="shared" si="0"/>
        <v>0</v>
      </c>
      <c r="AB28" s="134" t="str">
        <f t="shared" si="1"/>
        <v/>
      </c>
      <c r="AC28" s="139" t="str">
        <f t="shared" si="2"/>
        <v/>
      </c>
      <c r="AD28" s="132" t="e">
        <f t="shared" si="3"/>
        <v>#VALUE!</v>
      </c>
      <c r="AE28" s="141" t="e">
        <f t="shared" si="4"/>
        <v>#VALUE!</v>
      </c>
      <c r="AF28" s="146" t="e">
        <f t="shared" si="5"/>
        <v>#VALUE!</v>
      </c>
      <c r="AG28" s="143" t="e">
        <f t="shared" si="6"/>
        <v>#VALUE!</v>
      </c>
    </row>
    <row r="29" spans="2:33" ht="15">
      <c r="B29" s="124" t="s">
        <v>1544</v>
      </c>
      <c r="I29" s="147">
        <f>SUM(I17:I28)</f>
        <v>0</v>
      </c>
    </row>
  </sheetData>
  <mergeCells count="25">
    <mergeCell ref="B2:G2"/>
    <mergeCell ref="E4:G4"/>
    <mergeCell ref="B13:D13"/>
    <mergeCell ref="B11:D11"/>
    <mergeCell ref="E13:G13"/>
    <mergeCell ref="B9:D9"/>
    <mergeCell ref="E11:G11"/>
    <mergeCell ref="B7:D7"/>
    <mergeCell ref="E9:G9"/>
    <mergeCell ref="B5:D5"/>
    <mergeCell ref="E7:G7"/>
    <mergeCell ref="B3:D3"/>
    <mergeCell ref="E5:G5"/>
    <mergeCell ref="E3:G3"/>
    <mergeCell ref="B8:D8"/>
    <mergeCell ref="B6:D6"/>
    <mergeCell ref="E8:G8"/>
    <mergeCell ref="B4:D4"/>
    <mergeCell ref="E6:G6"/>
    <mergeCell ref="B14:D14"/>
    <mergeCell ref="B12:D12"/>
    <mergeCell ref="E14:G14"/>
    <mergeCell ref="B10:D10"/>
    <mergeCell ref="E12:G12"/>
    <mergeCell ref="E10:G10"/>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tabColor rgb="FF0F243F"/>
  </sheetPr>
  <dimension ref="A1:AMJ139"/>
  <sheetViews>
    <sheetView showGridLines="0" workbookViewId="0"/>
  </sheetViews>
  <sheetFormatPr defaultRowHeight="15.75" customHeight="1"/>
  <cols>
    <col min="1" max="1" width="1.85546875" style="46"/>
    <col min="2" max="2" width="21.28515625" style="148"/>
    <col min="3" max="3" width="42.85546875" style="148"/>
    <col min="4" max="4" width="18.28515625" style="46"/>
    <col min="5" max="5" width="27" style="46"/>
    <col min="6" max="6" width="16.5703125" style="46"/>
    <col min="7" max="7" width="13" style="46"/>
    <col min="8" max="8" width="11.85546875" style="46"/>
    <col min="9" max="9" width="9.85546875" style="46"/>
    <col min="10" max="10" width="16.5703125" style="46"/>
    <col min="11" max="26" width="9.85546875" style="46"/>
    <col min="27" max="27" width="0" style="46" hidden="1"/>
    <col min="28" max="34" width="0" hidden="1"/>
    <col min="35" max="1024" width="9.85546875" style="46"/>
    <col min="1025" max="1025" width="11.42578125"/>
  </cols>
  <sheetData>
    <row r="1" spans="2:8" ht="10.5" customHeight="1">
      <c r="B1" s="1"/>
      <c r="C1" s="1"/>
      <c r="D1" s="1"/>
      <c r="E1" s="1"/>
      <c r="F1" s="1"/>
      <c r="G1" s="1"/>
      <c r="H1" s="1"/>
    </row>
    <row r="2" spans="2:8" ht="15">
      <c r="B2" s="594" t="s">
        <v>1545</v>
      </c>
      <c r="C2" s="595"/>
      <c r="D2" s="1"/>
      <c r="E2" s="1"/>
      <c r="F2" s="1"/>
      <c r="G2" s="1"/>
      <c r="H2" s="1"/>
    </row>
    <row r="3" spans="2:8" ht="15">
      <c r="B3" s="149" t="s">
        <v>1546</v>
      </c>
      <c r="C3" s="150" t="s">
        <v>1547</v>
      </c>
      <c r="D3" s="1"/>
      <c r="E3" s="1"/>
      <c r="F3" s="1"/>
      <c r="G3" s="1"/>
      <c r="H3" s="1"/>
    </row>
    <row r="4" spans="2:8" ht="15">
      <c r="B4" s="151" t="s">
        <v>1548</v>
      </c>
      <c r="C4" s="152" t="s">
        <v>1549</v>
      </c>
      <c r="D4" s="1"/>
      <c r="E4" s="1"/>
      <c r="F4" s="153"/>
      <c r="G4" s="154"/>
      <c r="H4" s="155"/>
    </row>
    <row r="5" spans="2:8" ht="45">
      <c r="B5" s="151" t="s">
        <v>1550</v>
      </c>
      <c r="C5" s="152" t="s">
        <v>1551</v>
      </c>
      <c r="D5" s="1"/>
      <c r="E5" s="1"/>
      <c r="F5" s="153"/>
      <c r="G5" s="154"/>
      <c r="H5" s="155"/>
    </row>
    <row r="6" spans="2:8" ht="30">
      <c r="B6" s="151" t="s">
        <v>1552</v>
      </c>
      <c r="C6" s="152" t="s">
        <v>1553</v>
      </c>
      <c r="D6" s="1"/>
      <c r="E6" s="1"/>
      <c r="F6" s="153"/>
      <c r="G6" s="154"/>
      <c r="H6" s="155"/>
    </row>
    <row r="7" spans="2:8" ht="15">
      <c r="B7" s="151" t="s">
        <v>1554</v>
      </c>
      <c r="C7" s="156"/>
      <c r="D7" s="1"/>
      <c r="E7" s="1" t="s">
        <v>1555</v>
      </c>
      <c r="F7" s="157">
        <f>D23</f>
        <v>45078</v>
      </c>
      <c r="G7" s="154"/>
      <c r="H7" s="155"/>
    </row>
    <row r="8" spans="2:8" ht="15">
      <c r="B8" s="151" t="s">
        <v>1556</v>
      </c>
      <c r="C8" s="152" t="s">
        <v>1557</v>
      </c>
      <c r="D8" s="1"/>
      <c r="E8" s="1" t="s">
        <v>1558</v>
      </c>
      <c r="F8" s="157">
        <f>F7-365</f>
        <v>44713</v>
      </c>
      <c r="G8" s="154"/>
      <c r="H8" s="155"/>
    </row>
    <row r="9" spans="2:8" ht="30">
      <c r="B9" s="151" t="s">
        <v>1559</v>
      </c>
      <c r="C9" s="158">
        <v>40266</v>
      </c>
      <c r="D9" s="1"/>
      <c r="E9" s="1" t="s">
        <v>1560</v>
      </c>
      <c r="F9" s="159">
        <f>SUM(H23:H52)</f>
        <v>1466.5801851849901</v>
      </c>
      <c r="G9" s="154"/>
      <c r="H9" s="155"/>
    </row>
    <row r="10" spans="2:8" ht="15">
      <c r="B10" s="151" t="s">
        <v>1561</v>
      </c>
      <c r="C10" s="152" t="s">
        <v>1562</v>
      </c>
      <c r="D10" s="1"/>
      <c r="E10" s="1" t="s">
        <v>1563</v>
      </c>
      <c r="F10" s="159">
        <f>AVERAGE(E23:E25)</f>
        <v>167</v>
      </c>
      <c r="G10" s="154"/>
      <c r="H10" s="155"/>
    </row>
    <row r="11" spans="2:8" ht="15">
      <c r="B11" s="151" t="s">
        <v>1564</v>
      </c>
      <c r="C11" s="152" t="s">
        <v>1565</v>
      </c>
      <c r="D11" s="1"/>
      <c r="E11" s="1" t="s">
        <v>1566</v>
      </c>
      <c r="F11" s="159">
        <f>AVERAGE(E32+E31,E30+E29,E28+E27+E26)</f>
        <v>143.33333333333334</v>
      </c>
      <c r="G11" s="154"/>
      <c r="H11" s="155"/>
    </row>
    <row r="12" spans="2:8" ht="15">
      <c r="B12" s="151" t="s">
        <v>1567</v>
      </c>
      <c r="C12" s="152" t="s">
        <v>1568</v>
      </c>
      <c r="D12" s="1"/>
      <c r="E12" s="1" t="s">
        <v>1569</v>
      </c>
      <c r="F12" s="160">
        <f>F10/F11-1</f>
        <v>0.16511627906976734</v>
      </c>
      <c r="G12" s="154"/>
      <c r="H12" s="155"/>
    </row>
    <row r="13" spans="2:8" ht="15">
      <c r="B13" s="151" t="s">
        <v>1570</v>
      </c>
      <c r="C13" s="152" t="s">
        <v>1571</v>
      </c>
      <c r="D13" s="1"/>
      <c r="E13" s="1"/>
      <c r="F13" s="153"/>
      <c r="G13" s="154"/>
      <c r="H13" s="155"/>
    </row>
    <row r="14" spans="2:8" ht="30">
      <c r="B14" s="151" t="s">
        <v>1572</v>
      </c>
      <c r="C14" s="152" t="s">
        <v>1573</v>
      </c>
      <c r="D14" s="1"/>
      <c r="E14" s="1"/>
      <c r="F14" s="153"/>
      <c r="G14" s="154"/>
      <c r="H14" s="155"/>
    </row>
    <row r="15" spans="2:8" ht="15">
      <c r="B15" s="151" t="s">
        <v>1574</v>
      </c>
      <c r="C15" s="152" t="s">
        <v>1575</v>
      </c>
      <c r="D15" s="1"/>
      <c r="E15" s="1"/>
      <c r="F15" s="153"/>
      <c r="G15" s="154"/>
      <c r="H15" s="155"/>
    </row>
    <row r="16" spans="2:8" ht="15">
      <c r="B16" s="151" t="s">
        <v>1576</v>
      </c>
      <c r="C16" s="152" t="s">
        <v>1577</v>
      </c>
      <c r="D16" s="1"/>
      <c r="E16" s="1"/>
      <c r="F16" s="153"/>
      <c r="G16" s="154"/>
      <c r="H16" s="155"/>
    </row>
    <row r="17" spans="2:34" ht="15">
      <c r="B17" s="151" t="s">
        <v>1578</v>
      </c>
      <c r="C17" s="152" t="s">
        <v>1579</v>
      </c>
      <c r="D17" s="1"/>
      <c r="E17" s="1"/>
      <c r="F17" s="153"/>
      <c r="G17" s="154"/>
      <c r="H17" s="155"/>
    </row>
    <row r="18" spans="2:34" ht="15">
      <c r="B18" s="151" t="s">
        <v>1580</v>
      </c>
      <c r="C18" s="158" t="s">
        <v>1581</v>
      </c>
      <c r="D18" s="1"/>
      <c r="F18" s="153"/>
      <c r="G18" s="154"/>
      <c r="H18" s="155"/>
    </row>
    <row r="19" spans="2:34" ht="15">
      <c r="B19" s="151" t="s">
        <v>1582</v>
      </c>
      <c r="C19" s="161"/>
      <c r="D19" s="1"/>
      <c r="F19" s="153"/>
      <c r="G19" s="154"/>
      <c r="H19" s="155"/>
    </row>
    <row r="20" spans="2:34" ht="15">
      <c r="B20" s="1"/>
      <c r="C20" s="1"/>
      <c r="D20" s="1"/>
      <c r="F20" s="1"/>
    </row>
    <row r="21" spans="2:34" ht="15">
      <c r="B21" s="596" t="s">
        <v>1583</v>
      </c>
      <c r="C21" s="597"/>
      <c r="D21" s="597"/>
      <c r="E21" s="597"/>
      <c r="F21" s="597"/>
      <c r="G21" s="597"/>
      <c r="H21" s="597"/>
    </row>
    <row r="22" spans="2:34" ht="15">
      <c r="B22" s="162" t="s">
        <v>1584</v>
      </c>
      <c r="C22" s="162" t="s">
        <v>1585</v>
      </c>
      <c r="D22" s="163" t="s">
        <v>1586</v>
      </c>
      <c r="E22" s="164" t="s">
        <v>1587</v>
      </c>
      <c r="F22" s="163" t="s">
        <v>1588</v>
      </c>
      <c r="G22" s="130" t="s">
        <v>1589</v>
      </c>
      <c r="H22" s="130" t="s">
        <v>1590</v>
      </c>
    </row>
    <row r="23" spans="2:34" s="46" customFormat="1" ht="15">
      <c r="B23" s="165">
        <v>45120.548912036997</v>
      </c>
      <c r="C23" s="166">
        <v>877245</v>
      </c>
      <c r="D23" s="157">
        <v>45078</v>
      </c>
      <c r="E23" s="167">
        <v>167</v>
      </c>
      <c r="F23" s="168" t="s">
        <v>1591</v>
      </c>
      <c r="G23" s="169">
        <v>45122</v>
      </c>
      <c r="H23" s="170">
        <f t="shared" ref="H23:H139" si="0">IF(G23&gt;B23,0,B23-G23)</f>
        <v>0</v>
      </c>
      <c r="I23" s="46">
        <v>1</v>
      </c>
      <c r="J23" s="171"/>
      <c r="AA23" s="172">
        <f t="shared" ref="AA23:AA114" si="1">YEAR(D23)</f>
        <v>2023</v>
      </c>
      <c r="AB23" s="173" t="str">
        <f t="shared" ref="AB23:AB114" si="2">IF(AC23=1,"January",IF(AC23=2,"February",IF(AC23=3,"March",IF(AC23=4,"April",IF(AC23=5,"May",IF(AC23=6,"June",IF(AC23=7,"July",IF(AC23=8,"August",IF(AC23=9,"September",IF(AC23=10,"October",IF(AC23=11,"November",IF(AC23=12,"December",""))))))))))))</f>
        <v>June</v>
      </c>
      <c r="AC23" s="174">
        <f t="shared" ref="AC23:AC114" si="3">MONTH(D23)</f>
        <v>6</v>
      </c>
      <c r="AD23" s="175">
        <f t="shared" ref="AD23:AD114" si="4">YEAR(D23)</f>
        <v>2023</v>
      </c>
      <c r="AE23" s="176">
        <f t="shared" ref="AE23:AE114" si="5">MONTH(DATEVALUE(AB23&amp;"1"))</f>
        <v>6</v>
      </c>
      <c r="AF23" s="177">
        <f t="shared" ref="AF23:AF114" si="6">DATE(AA23,AE23,20)</f>
        <v>45097</v>
      </c>
      <c r="AG23" s="178">
        <f t="shared" ref="AG23:AG114" si="7">EOMONTH(AF23,0)+15</f>
        <v>45122</v>
      </c>
      <c r="AH23" s="179">
        <f t="shared" ref="AH23:AH114" si="8">G23-B23</f>
        <v>1.4510879630033742</v>
      </c>
    </row>
    <row r="24" spans="2:34" s="46" customFormat="1" ht="15">
      <c r="B24" s="165">
        <v>45090.5337268519</v>
      </c>
      <c r="C24" s="166">
        <v>873427</v>
      </c>
      <c r="D24" s="157">
        <v>45047</v>
      </c>
      <c r="E24" s="167">
        <v>166</v>
      </c>
      <c r="F24" s="168" t="s">
        <v>1592</v>
      </c>
      <c r="G24" s="169">
        <v>45092</v>
      </c>
      <c r="H24" s="170">
        <f t="shared" si="0"/>
        <v>0</v>
      </c>
      <c r="I24" s="46">
        <f t="shared" ref="I24:I52" si="9">I23+1</f>
        <v>2</v>
      </c>
      <c r="AA24" s="172">
        <f t="shared" si="1"/>
        <v>2023</v>
      </c>
      <c r="AB24" s="173" t="str">
        <f t="shared" si="2"/>
        <v>May</v>
      </c>
      <c r="AC24" s="174">
        <f t="shared" si="3"/>
        <v>5</v>
      </c>
      <c r="AD24" s="175">
        <f t="shared" si="4"/>
        <v>2023</v>
      </c>
      <c r="AE24" s="176">
        <f t="shared" si="5"/>
        <v>5</v>
      </c>
      <c r="AF24" s="177">
        <f t="shared" si="6"/>
        <v>45066</v>
      </c>
      <c r="AG24" s="178">
        <f t="shared" si="7"/>
        <v>45092</v>
      </c>
      <c r="AH24" s="179">
        <f t="shared" si="8"/>
        <v>1.4662731481002993</v>
      </c>
    </row>
    <row r="25" spans="2:34" s="46" customFormat="1" ht="15">
      <c r="B25" s="165">
        <v>45062.2803472222</v>
      </c>
      <c r="C25" s="166">
        <v>903982</v>
      </c>
      <c r="D25" s="157">
        <v>45017</v>
      </c>
      <c r="E25" s="167">
        <v>168</v>
      </c>
      <c r="F25" s="168" t="s">
        <v>1593</v>
      </c>
      <c r="G25" s="169">
        <v>45061</v>
      </c>
      <c r="H25" s="170">
        <f t="shared" si="0"/>
        <v>1.280347222200362</v>
      </c>
      <c r="I25" s="46">
        <f t="shared" si="9"/>
        <v>3</v>
      </c>
      <c r="AA25" s="172">
        <f t="shared" si="1"/>
        <v>2023</v>
      </c>
      <c r="AB25" s="173" t="str">
        <f t="shared" si="2"/>
        <v>April</v>
      </c>
      <c r="AC25" s="174">
        <f t="shared" si="3"/>
        <v>4</v>
      </c>
      <c r="AD25" s="175">
        <f t="shared" si="4"/>
        <v>2023</v>
      </c>
      <c r="AE25" s="176">
        <f t="shared" si="5"/>
        <v>4</v>
      </c>
      <c r="AF25" s="177">
        <f t="shared" si="6"/>
        <v>45036</v>
      </c>
      <c r="AG25" s="178">
        <f t="shared" si="7"/>
        <v>45061</v>
      </c>
      <c r="AH25" s="179">
        <f t="shared" si="8"/>
        <v>-1.280347222200362</v>
      </c>
    </row>
    <row r="26" spans="2:34" s="46" customFormat="1" ht="15">
      <c r="B26" s="165">
        <v>45030.378472222197</v>
      </c>
      <c r="C26" s="166">
        <v>767671</v>
      </c>
      <c r="D26" s="157">
        <v>44986</v>
      </c>
      <c r="E26" s="167">
        <v>135</v>
      </c>
      <c r="F26" s="168" t="s">
        <v>1594</v>
      </c>
      <c r="G26" s="169">
        <v>45031</v>
      </c>
      <c r="H26" s="170">
        <f t="shared" si="0"/>
        <v>0</v>
      </c>
      <c r="I26" s="46">
        <f t="shared" si="9"/>
        <v>4</v>
      </c>
      <c r="AA26" s="172">
        <f t="shared" si="1"/>
        <v>2023</v>
      </c>
      <c r="AB26" s="173" t="str">
        <f t="shared" si="2"/>
        <v>March</v>
      </c>
      <c r="AC26" s="174">
        <f t="shared" si="3"/>
        <v>3</v>
      </c>
      <c r="AD26" s="175">
        <f t="shared" si="4"/>
        <v>2023</v>
      </c>
      <c r="AE26" s="176">
        <f t="shared" si="5"/>
        <v>3</v>
      </c>
      <c r="AF26" s="177">
        <f t="shared" si="6"/>
        <v>45005</v>
      </c>
      <c r="AG26" s="178">
        <f t="shared" si="7"/>
        <v>45031</v>
      </c>
      <c r="AH26" s="179">
        <f t="shared" si="8"/>
        <v>0.62152777780283941</v>
      </c>
    </row>
    <row r="27" spans="2:34" s="46" customFormat="1" ht="15">
      <c r="B27" s="165">
        <v>45032.320462962998</v>
      </c>
      <c r="C27" s="166">
        <v>3750</v>
      </c>
      <c r="D27" s="157">
        <v>44986</v>
      </c>
      <c r="E27" s="167">
        <v>1</v>
      </c>
      <c r="F27" s="168" t="s">
        <v>1595</v>
      </c>
      <c r="G27" s="169">
        <v>45031</v>
      </c>
      <c r="H27" s="170">
        <f t="shared" si="0"/>
        <v>1.3204629629981355</v>
      </c>
      <c r="I27" s="46">
        <f t="shared" si="9"/>
        <v>5</v>
      </c>
      <c r="AA27" s="172">
        <f t="shared" si="1"/>
        <v>2023</v>
      </c>
      <c r="AB27" s="173" t="str">
        <f t="shared" si="2"/>
        <v>March</v>
      </c>
      <c r="AC27" s="174">
        <f t="shared" si="3"/>
        <v>3</v>
      </c>
      <c r="AD27" s="175">
        <f t="shared" si="4"/>
        <v>2023</v>
      </c>
      <c r="AE27" s="176">
        <f t="shared" si="5"/>
        <v>3</v>
      </c>
      <c r="AF27" s="177">
        <f t="shared" si="6"/>
        <v>45005</v>
      </c>
      <c r="AG27" s="178">
        <f t="shared" si="7"/>
        <v>45031</v>
      </c>
      <c r="AH27" s="179">
        <f t="shared" si="8"/>
        <v>-1.3204629629981355</v>
      </c>
    </row>
    <row r="28" spans="2:34" s="46" customFormat="1" ht="15">
      <c r="B28" s="165">
        <v>45083.784317129597</v>
      </c>
      <c r="C28" s="166">
        <v>42617</v>
      </c>
      <c r="D28" s="157">
        <v>44986</v>
      </c>
      <c r="E28" s="167">
        <v>11</v>
      </c>
      <c r="F28" s="168" t="s">
        <v>1596</v>
      </c>
      <c r="G28" s="169">
        <v>45031</v>
      </c>
      <c r="H28" s="170">
        <f t="shared" si="0"/>
        <v>52.784317129597184</v>
      </c>
      <c r="I28" s="46">
        <f t="shared" si="9"/>
        <v>6</v>
      </c>
      <c r="AA28" s="172">
        <f t="shared" si="1"/>
        <v>2023</v>
      </c>
      <c r="AB28" s="173" t="str">
        <f t="shared" si="2"/>
        <v>March</v>
      </c>
      <c r="AC28" s="174">
        <f t="shared" si="3"/>
        <v>3</v>
      </c>
      <c r="AD28" s="175">
        <f t="shared" si="4"/>
        <v>2023</v>
      </c>
      <c r="AE28" s="176">
        <f t="shared" si="5"/>
        <v>3</v>
      </c>
      <c r="AF28" s="177">
        <f t="shared" si="6"/>
        <v>45005</v>
      </c>
      <c r="AG28" s="178">
        <f t="shared" si="7"/>
        <v>45031</v>
      </c>
      <c r="AH28" s="179">
        <f t="shared" si="8"/>
        <v>-52.784317129597184</v>
      </c>
    </row>
    <row r="29" spans="2:34" s="46" customFormat="1" ht="15">
      <c r="B29" s="165">
        <v>45000.5489930556</v>
      </c>
      <c r="C29" s="166">
        <v>764069</v>
      </c>
      <c r="D29" s="157">
        <v>44958</v>
      </c>
      <c r="E29" s="167">
        <v>136</v>
      </c>
      <c r="F29" s="168" t="s">
        <v>1597</v>
      </c>
      <c r="G29" s="169">
        <v>45000</v>
      </c>
      <c r="H29" s="170">
        <f t="shared" si="0"/>
        <v>0.54899305559956701</v>
      </c>
      <c r="I29" s="46">
        <f t="shared" si="9"/>
        <v>7</v>
      </c>
      <c r="AA29" s="172">
        <f t="shared" si="1"/>
        <v>2023</v>
      </c>
      <c r="AB29" s="173" t="str">
        <f t="shared" si="2"/>
        <v>February</v>
      </c>
      <c r="AC29" s="174">
        <f t="shared" si="3"/>
        <v>2</v>
      </c>
      <c r="AD29" s="175">
        <f t="shared" si="4"/>
        <v>2023</v>
      </c>
      <c r="AE29" s="176">
        <f t="shared" si="5"/>
        <v>2</v>
      </c>
      <c r="AF29" s="177">
        <f t="shared" si="6"/>
        <v>44977</v>
      </c>
      <c r="AG29" s="178">
        <f t="shared" si="7"/>
        <v>45000</v>
      </c>
      <c r="AH29" s="179">
        <f t="shared" si="8"/>
        <v>-0.54899305559956701</v>
      </c>
    </row>
    <row r="30" spans="2:34" s="46" customFormat="1" ht="15">
      <c r="B30" s="165">
        <v>45031.774884259197</v>
      </c>
      <c r="C30" s="166">
        <v>16474</v>
      </c>
      <c r="D30" s="157">
        <v>44958</v>
      </c>
      <c r="E30" s="167">
        <v>6</v>
      </c>
      <c r="F30" s="168" t="s">
        <v>1598</v>
      </c>
      <c r="G30" s="169">
        <v>45000</v>
      </c>
      <c r="H30" s="170">
        <f t="shared" si="0"/>
        <v>31.774884259197279</v>
      </c>
      <c r="I30" s="46">
        <f t="shared" si="9"/>
        <v>8</v>
      </c>
      <c r="AA30" s="172">
        <f t="shared" si="1"/>
        <v>2023</v>
      </c>
      <c r="AB30" s="173" t="str">
        <f t="shared" si="2"/>
        <v>February</v>
      </c>
      <c r="AC30" s="174">
        <f t="shared" si="3"/>
        <v>2</v>
      </c>
      <c r="AD30" s="175">
        <f t="shared" si="4"/>
        <v>2023</v>
      </c>
      <c r="AE30" s="176">
        <f t="shared" si="5"/>
        <v>2</v>
      </c>
      <c r="AF30" s="177">
        <f t="shared" si="6"/>
        <v>44977</v>
      </c>
      <c r="AG30" s="178">
        <f t="shared" si="7"/>
        <v>45000</v>
      </c>
      <c r="AH30" s="179">
        <f t="shared" si="8"/>
        <v>-31.774884259197279</v>
      </c>
    </row>
    <row r="31" spans="2:34" s="46" customFormat="1" ht="15">
      <c r="B31" s="165">
        <v>44972.751041666699</v>
      </c>
      <c r="C31" s="166">
        <v>773784</v>
      </c>
      <c r="D31" s="157">
        <v>44927</v>
      </c>
      <c r="E31" s="167">
        <v>138</v>
      </c>
      <c r="F31" s="168" t="s">
        <v>1599</v>
      </c>
      <c r="G31" s="169">
        <v>44972</v>
      </c>
      <c r="H31" s="170">
        <f t="shared" si="0"/>
        <v>0.75104166669916594</v>
      </c>
      <c r="I31" s="46">
        <f t="shared" si="9"/>
        <v>9</v>
      </c>
      <c r="AA31" s="172">
        <f t="shared" si="1"/>
        <v>2023</v>
      </c>
      <c r="AB31" s="173" t="str">
        <f t="shared" si="2"/>
        <v>January</v>
      </c>
      <c r="AC31" s="174">
        <f t="shared" si="3"/>
        <v>1</v>
      </c>
      <c r="AD31" s="175">
        <f t="shared" si="4"/>
        <v>2023</v>
      </c>
      <c r="AE31" s="176">
        <f t="shared" si="5"/>
        <v>1</v>
      </c>
      <c r="AF31" s="177">
        <f t="shared" si="6"/>
        <v>44946</v>
      </c>
      <c r="AG31" s="178">
        <f t="shared" si="7"/>
        <v>44972</v>
      </c>
      <c r="AH31" s="179">
        <f t="shared" si="8"/>
        <v>-0.75104166669916594</v>
      </c>
    </row>
    <row r="32" spans="2:34" s="46" customFormat="1" ht="15">
      <c r="B32" s="165">
        <v>45005.713101851899</v>
      </c>
      <c r="C32" s="166">
        <v>16150</v>
      </c>
      <c r="D32" s="157">
        <v>44927</v>
      </c>
      <c r="E32" s="167">
        <v>3</v>
      </c>
      <c r="F32" s="168" t="s">
        <v>1600</v>
      </c>
      <c r="G32" s="169">
        <v>44972</v>
      </c>
      <c r="H32" s="170">
        <f t="shared" si="0"/>
        <v>33.71310185189941</v>
      </c>
      <c r="I32" s="46">
        <f t="shared" si="9"/>
        <v>10</v>
      </c>
      <c r="AA32" s="172">
        <f t="shared" si="1"/>
        <v>2023</v>
      </c>
      <c r="AB32" s="173" t="str">
        <f t="shared" si="2"/>
        <v>January</v>
      </c>
      <c r="AC32" s="174">
        <f t="shared" si="3"/>
        <v>1</v>
      </c>
      <c r="AD32" s="175">
        <f t="shared" si="4"/>
        <v>2023</v>
      </c>
      <c r="AE32" s="176">
        <f t="shared" si="5"/>
        <v>1</v>
      </c>
      <c r="AF32" s="177">
        <f t="shared" si="6"/>
        <v>44946</v>
      </c>
      <c r="AG32" s="178">
        <f t="shared" si="7"/>
        <v>44972</v>
      </c>
      <c r="AH32" s="179">
        <f t="shared" si="8"/>
        <v>-33.71310185189941</v>
      </c>
    </row>
    <row r="33" spans="2:34" s="46" customFormat="1" ht="15">
      <c r="B33" s="165">
        <v>44939.6951736111</v>
      </c>
      <c r="C33" s="166">
        <v>763608</v>
      </c>
      <c r="D33" s="157">
        <v>44896</v>
      </c>
      <c r="E33" s="167">
        <v>133</v>
      </c>
      <c r="F33" s="168" t="s">
        <v>1601</v>
      </c>
      <c r="G33" s="169">
        <v>44941</v>
      </c>
      <c r="H33" s="170">
        <f t="shared" si="0"/>
        <v>0</v>
      </c>
      <c r="I33" s="46">
        <f t="shared" si="9"/>
        <v>11</v>
      </c>
      <c r="AA33" s="172">
        <f t="shared" si="1"/>
        <v>2022</v>
      </c>
      <c r="AB33" s="173" t="str">
        <f t="shared" si="2"/>
        <v>December</v>
      </c>
      <c r="AC33" s="174">
        <f t="shared" si="3"/>
        <v>12</v>
      </c>
      <c r="AD33" s="175">
        <f t="shared" si="4"/>
        <v>2022</v>
      </c>
      <c r="AE33" s="176">
        <f t="shared" si="5"/>
        <v>12</v>
      </c>
      <c r="AF33" s="177">
        <f t="shared" si="6"/>
        <v>44915</v>
      </c>
      <c r="AG33" s="178">
        <f t="shared" si="7"/>
        <v>44941</v>
      </c>
      <c r="AH33" s="179">
        <f t="shared" si="8"/>
        <v>1.304826388899528</v>
      </c>
    </row>
    <row r="34" spans="2:34" s="46" customFormat="1" ht="15">
      <c r="B34" s="165">
        <v>44978.761712963002</v>
      </c>
      <c r="C34" s="166">
        <v>3750</v>
      </c>
      <c r="D34" s="157">
        <v>44896</v>
      </c>
      <c r="E34" s="167">
        <v>1</v>
      </c>
      <c r="F34" s="168" t="s">
        <v>1602</v>
      </c>
      <c r="G34" s="169">
        <v>44941</v>
      </c>
      <c r="H34" s="170">
        <f t="shared" si="0"/>
        <v>37.761712963001628</v>
      </c>
      <c r="I34" s="46">
        <f t="shared" si="9"/>
        <v>12</v>
      </c>
      <c r="AA34" s="172">
        <f t="shared" si="1"/>
        <v>2022</v>
      </c>
      <c r="AB34" s="173" t="str">
        <f t="shared" si="2"/>
        <v>December</v>
      </c>
      <c r="AC34" s="174">
        <f t="shared" si="3"/>
        <v>12</v>
      </c>
      <c r="AD34" s="175">
        <f t="shared" si="4"/>
        <v>2022</v>
      </c>
      <c r="AE34" s="176">
        <f t="shared" si="5"/>
        <v>12</v>
      </c>
      <c r="AF34" s="177">
        <f t="shared" si="6"/>
        <v>44915</v>
      </c>
      <c r="AG34" s="178">
        <f t="shared" si="7"/>
        <v>44941</v>
      </c>
      <c r="AH34" s="179">
        <f t="shared" si="8"/>
        <v>-37.761712963001628</v>
      </c>
    </row>
    <row r="35" spans="2:34" s="46" customFormat="1" ht="15">
      <c r="B35" s="165">
        <v>45005.605960648099</v>
      </c>
      <c r="C35" s="166">
        <v>8650</v>
      </c>
      <c r="D35" s="157">
        <v>44896</v>
      </c>
      <c r="E35" s="167">
        <v>1</v>
      </c>
      <c r="F35" s="168" t="s">
        <v>1603</v>
      </c>
      <c r="G35" s="169">
        <v>44941</v>
      </c>
      <c r="H35" s="170">
        <f t="shared" si="0"/>
        <v>64.605960648099426</v>
      </c>
      <c r="I35" s="46">
        <f t="shared" si="9"/>
        <v>13</v>
      </c>
      <c r="AA35" s="172">
        <f t="shared" si="1"/>
        <v>2022</v>
      </c>
      <c r="AB35" s="173" t="str">
        <f t="shared" si="2"/>
        <v>December</v>
      </c>
      <c r="AC35" s="174">
        <f t="shared" si="3"/>
        <v>12</v>
      </c>
      <c r="AD35" s="175">
        <f t="shared" si="4"/>
        <v>2022</v>
      </c>
      <c r="AE35" s="176">
        <f t="shared" si="5"/>
        <v>12</v>
      </c>
      <c r="AF35" s="177">
        <f t="shared" si="6"/>
        <v>44915</v>
      </c>
      <c r="AG35" s="178">
        <f t="shared" si="7"/>
        <v>44941</v>
      </c>
      <c r="AH35" s="179">
        <f t="shared" si="8"/>
        <v>-64.605960648099426</v>
      </c>
    </row>
    <row r="36" spans="2:34" s="46" customFormat="1" ht="15">
      <c r="B36" s="165">
        <v>44910.651979166701</v>
      </c>
      <c r="C36" s="166">
        <v>768027</v>
      </c>
      <c r="D36" s="157">
        <v>44866</v>
      </c>
      <c r="E36" s="167">
        <v>133</v>
      </c>
      <c r="F36" s="168" t="s">
        <v>1604</v>
      </c>
      <c r="G36" s="169">
        <v>44910</v>
      </c>
      <c r="H36" s="170">
        <f t="shared" si="0"/>
        <v>0.65197916670149425</v>
      </c>
      <c r="I36" s="46">
        <f t="shared" si="9"/>
        <v>14</v>
      </c>
      <c r="AA36" s="172">
        <f t="shared" si="1"/>
        <v>2022</v>
      </c>
      <c r="AB36" s="173" t="str">
        <f t="shared" si="2"/>
        <v>November</v>
      </c>
      <c r="AC36" s="174">
        <f t="shared" si="3"/>
        <v>11</v>
      </c>
      <c r="AD36" s="175">
        <f t="shared" si="4"/>
        <v>2022</v>
      </c>
      <c r="AE36" s="176">
        <f t="shared" si="5"/>
        <v>11</v>
      </c>
      <c r="AF36" s="177">
        <f t="shared" si="6"/>
        <v>44885</v>
      </c>
      <c r="AG36" s="178">
        <f t="shared" si="7"/>
        <v>44910</v>
      </c>
      <c r="AH36" s="179">
        <f t="shared" si="8"/>
        <v>-0.65197916670149425</v>
      </c>
    </row>
    <row r="37" spans="2:34" s="46" customFormat="1" ht="15">
      <c r="B37" s="165">
        <v>44923.613564814797</v>
      </c>
      <c r="C37" s="166">
        <v>3374</v>
      </c>
      <c r="D37" s="157">
        <v>44866</v>
      </c>
      <c r="E37" s="167">
        <v>1</v>
      </c>
      <c r="F37" s="168" t="s">
        <v>1605</v>
      </c>
      <c r="G37" s="169">
        <v>44910</v>
      </c>
      <c r="H37" s="170">
        <f t="shared" si="0"/>
        <v>13.613564814797428</v>
      </c>
      <c r="I37" s="46">
        <f t="shared" si="9"/>
        <v>15</v>
      </c>
      <c r="AA37" s="172">
        <f t="shared" si="1"/>
        <v>2022</v>
      </c>
      <c r="AB37" s="173" t="str">
        <f t="shared" si="2"/>
        <v>November</v>
      </c>
      <c r="AC37" s="174">
        <f t="shared" si="3"/>
        <v>11</v>
      </c>
      <c r="AD37" s="175">
        <f t="shared" si="4"/>
        <v>2022</v>
      </c>
      <c r="AE37" s="176">
        <f t="shared" si="5"/>
        <v>11</v>
      </c>
      <c r="AF37" s="177">
        <f t="shared" si="6"/>
        <v>44885</v>
      </c>
      <c r="AG37" s="178">
        <f t="shared" si="7"/>
        <v>44910</v>
      </c>
      <c r="AH37" s="179">
        <f t="shared" si="8"/>
        <v>-13.613564814797428</v>
      </c>
    </row>
    <row r="38" spans="2:34" s="46" customFormat="1" ht="15">
      <c r="B38" s="165">
        <v>44978.761076388902</v>
      </c>
      <c r="C38" s="166">
        <v>3750</v>
      </c>
      <c r="D38" s="157">
        <v>44866</v>
      </c>
      <c r="E38" s="167">
        <v>1</v>
      </c>
      <c r="F38" s="168" t="s">
        <v>1606</v>
      </c>
      <c r="G38" s="169">
        <v>44910</v>
      </c>
      <c r="H38" s="170">
        <f t="shared" si="0"/>
        <v>68.761076388902438</v>
      </c>
      <c r="I38" s="46">
        <f t="shared" si="9"/>
        <v>16</v>
      </c>
      <c r="AA38" s="172">
        <f t="shared" si="1"/>
        <v>2022</v>
      </c>
      <c r="AB38" s="173" t="str">
        <f t="shared" si="2"/>
        <v>November</v>
      </c>
      <c r="AC38" s="174">
        <f t="shared" si="3"/>
        <v>11</v>
      </c>
      <c r="AD38" s="175">
        <f t="shared" si="4"/>
        <v>2022</v>
      </c>
      <c r="AE38" s="176">
        <f t="shared" si="5"/>
        <v>11</v>
      </c>
      <c r="AF38" s="177">
        <f t="shared" si="6"/>
        <v>44885</v>
      </c>
      <c r="AG38" s="178">
        <f t="shared" si="7"/>
        <v>44910</v>
      </c>
      <c r="AH38" s="179">
        <f t="shared" si="8"/>
        <v>-68.761076388902438</v>
      </c>
    </row>
    <row r="39" spans="2:34" s="46" customFormat="1" ht="15">
      <c r="B39" s="165">
        <v>45005.717141203699</v>
      </c>
      <c r="C39" s="166">
        <v>8650</v>
      </c>
      <c r="D39" s="157">
        <v>44866</v>
      </c>
      <c r="E39" s="167">
        <v>1</v>
      </c>
      <c r="F39" s="168" t="s">
        <v>1607</v>
      </c>
      <c r="G39" s="169">
        <v>44910</v>
      </c>
      <c r="H39" s="170">
        <f t="shared" si="0"/>
        <v>95.717141203698702</v>
      </c>
      <c r="I39" s="46">
        <f t="shared" si="9"/>
        <v>17</v>
      </c>
      <c r="AA39" s="172">
        <f t="shared" si="1"/>
        <v>2022</v>
      </c>
      <c r="AB39" s="173" t="str">
        <f t="shared" si="2"/>
        <v>November</v>
      </c>
      <c r="AC39" s="174">
        <f t="shared" si="3"/>
        <v>11</v>
      </c>
      <c r="AD39" s="175">
        <f t="shared" si="4"/>
        <v>2022</v>
      </c>
      <c r="AE39" s="176">
        <f t="shared" si="5"/>
        <v>11</v>
      </c>
      <c r="AF39" s="177">
        <f t="shared" si="6"/>
        <v>44885</v>
      </c>
      <c r="AG39" s="178">
        <f t="shared" si="7"/>
        <v>44910</v>
      </c>
      <c r="AH39" s="179">
        <f t="shared" si="8"/>
        <v>-95.717141203698702</v>
      </c>
    </row>
    <row r="40" spans="2:34" s="46" customFormat="1" ht="15">
      <c r="B40" s="165">
        <v>44879.714930555601</v>
      </c>
      <c r="C40" s="166">
        <v>776120</v>
      </c>
      <c r="D40" s="157">
        <v>44835</v>
      </c>
      <c r="E40" s="167">
        <v>132</v>
      </c>
      <c r="F40" s="168" t="s">
        <v>1608</v>
      </c>
      <c r="G40" s="169">
        <v>44880</v>
      </c>
      <c r="H40" s="170">
        <f t="shared" si="0"/>
        <v>0</v>
      </c>
      <c r="I40" s="46">
        <f t="shared" si="9"/>
        <v>18</v>
      </c>
      <c r="AA40" s="172">
        <f t="shared" si="1"/>
        <v>2022</v>
      </c>
      <c r="AB40" s="173" t="str">
        <f t="shared" si="2"/>
        <v>October</v>
      </c>
      <c r="AC40" s="174">
        <f t="shared" si="3"/>
        <v>10</v>
      </c>
      <c r="AD40" s="175">
        <f t="shared" si="4"/>
        <v>2022</v>
      </c>
      <c r="AE40" s="176">
        <f t="shared" si="5"/>
        <v>10</v>
      </c>
      <c r="AF40" s="177">
        <f t="shared" si="6"/>
        <v>44854</v>
      </c>
      <c r="AG40" s="178">
        <f t="shared" si="7"/>
        <v>44880</v>
      </c>
      <c r="AH40" s="179">
        <f t="shared" si="8"/>
        <v>0.28506944439868676</v>
      </c>
    </row>
    <row r="41" spans="2:34" s="46" customFormat="1" ht="15">
      <c r="B41" s="165">
        <v>44923.613506944399</v>
      </c>
      <c r="C41" s="166">
        <v>3750</v>
      </c>
      <c r="D41" s="157">
        <v>44835</v>
      </c>
      <c r="E41" s="167">
        <v>1</v>
      </c>
      <c r="F41" s="168" t="s">
        <v>1609</v>
      </c>
      <c r="G41" s="169">
        <v>44880</v>
      </c>
      <c r="H41" s="170">
        <f t="shared" si="0"/>
        <v>43.613506944398978</v>
      </c>
      <c r="I41" s="46">
        <f t="shared" si="9"/>
        <v>19</v>
      </c>
      <c r="AA41" s="172">
        <f t="shared" si="1"/>
        <v>2022</v>
      </c>
      <c r="AB41" s="173" t="str">
        <f t="shared" si="2"/>
        <v>October</v>
      </c>
      <c r="AC41" s="174">
        <f t="shared" si="3"/>
        <v>10</v>
      </c>
      <c r="AD41" s="175">
        <f t="shared" si="4"/>
        <v>2022</v>
      </c>
      <c r="AE41" s="176">
        <f t="shared" si="5"/>
        <v>10</v>
      </c>
      <c r="AF41" s="177">
        <f t="shared" si="6"/>
        <v>44854</v>
      </c>
      <c r="AG41" s="178">
        <f t="shared" si="7"/>
        <v>44880</v>
      </c>
      <c r="AH41" s="179">
        <f t="shared" si="8"/>
        <v>-43.613506944398978</v>
      </c>
    </row>
    <row r="42" spans="2:34" s="46" customFormat="1" ht="15">
      <c r="B42" s="165">
        <v>44978.821701388901</v>
      </c>
      <c r="C42" s="166">
        <v>3750</v>
      </c>
      <c r="D42" s="157">
        <v>44835</v>
      </c>
      <c r="E42" s="167">
        <v>1</v>
      </c>
      <c r="F42" s="168" t="s">
        <v>1610</v>
      </c>
      <c r="G42" s="169">
        <v>44880</v>
      </c>
      <c r="H42" s="170">
        <f t="shared" si="0"/>
        <v>98.821701388900692</v>
      </c>
      <c r="I42" s="46">
        <f t="shared" si="9"/>
        <v>20</v>
      </c>
      <c r="AA42" s="172">
        <f t="shared" si="1"/>
        <v>2022</v>
      </c>
      <c r="AB42" s="173" t="str">
        <f t="shared" si="2"/>
        <v>October</v>
      </c>
      <c r="AC42" s="174">
        <f t="shared" si="3"/>
        <v>10</v>
      </c>
      <c r="AD42" s="175">
        <f t="shared" si="4"/>
        <v>2022</v>
      </c>
      <c r="AE42" s="176">
        <f t="shared" si="5"/>
        <v>10</v>
      </c>
      <c r="AF42" s="177">
        <f t="shared" si="6"/>
        <v>44854</v>
      </c>
      <c r="AG42" s="178">
        <f t="shared" si="7"/>
        <v>44880</v>
      </c>
      <c r="AH42" s="179">
        <f t="shared" si="8"/>
        <v>-98.821701388900692</v>
      </c>
    </row>
    <row r="43" spans="2:34" s="46" customFormat="1" ht="15">
      <c r="B43" s="165">
        <v>45005.603715277801</v>
      </c>
      <c r="C43" s="166">
        <v>8650</v>
      </c>
      <c r="D43" s="157">
        <v>44835</v>
      </c>
      <c r="E43" s="167">
        <v>1</v>
      </c>
      <c r="F43" s="168" t="s">
        <v>1611</v>
      </c>
      <c r="G43" s="169">
        <v>44880</v>
      </c>
      <c r="H43" s="170">
        <f t="shared" si="0"/>
        <v>125.6037152778008</v>
      </c>
      <c r="I43" s="46">
        <f t="shared" si="9"/>
        <v>21</v>
      </c>
      <c r="AA43" s="172">
        <f t="shared" si="1"/>
        <v>2022</v>
      </c>
      <c r="AB43" s="173" t="str">
        <f t="shared" si="2"/>
        <v>October</v>
      </c>
      <c r="AC43" s="174">
        <f t="shared" si="3"/>
        <v>10</v>
      </c>
      <c r="AD43" s="175">
        <f t="shared" si="4"/>
        <v>2022</v>
      </c>
      <c r="AE43" s="176">
        <f t="shared" si="5"/>
        <v>10</v>
      </c>
      <c r="AF43" s="177">
        <f t="shared" si="6"/>
        <v>44854</v>
      </c>
      <c r="AG43" s="178">
        <f t="shared" si="7"/>
        <v>44880</v>
      </c>
      <c r="AH43" s="179">
        <f t="shared" si="8"/>
        <v>-125.6037152778008</v>
      </c>
    </row>
    <row r="44" spans="2:34" s="46" customFormat="1" ht="15">
      <c r="B44" s="165">
        <v>44847.687673611101</v>
      </c>
      <c r="C44" s="166">
        <v>785042</v>
      </c>
      <c r="D44" s="157">
        <v>44805</v>
      </c>
      <c r="E44" s="167">
        <v>135</v>
      </c>
      <c r="F44" s="168" t="s">
        <v>1612</v>
      </c>
      <c r="G44" s="169">
        <v>44849</v>
      </c>
      <c r="H44" s="170">
        <f t="shared" si="0"/>
        <v>0</v>
      </c>
      <c r="I44" s="46">
        <f t="shared" si="9"/>
        <v>22</v>
      </c>
      <c r="AA44" s="172">
        <f t="shared" si="1"/>
        <v>2022</v>
      </c>
      <c r="AB44" s="173" t="str">
        <f t="shared" si="2"/>
        <v>September</v>
      </c>
      <c r="AC44" s="174">
        <f t="shared" si="3"/>
        <v>9</v>
      </c>
      <c r="AD44" s="175">
        <f t="shared" si="4"/>
        <v>2022</v>
      </c>
      <c r="AE44" s="176">
        <f t="shared" si="5"/>
        <v>9</v>
      </c>
      <c r="AF44" s="177">
        <f t="shared" si="6"/>
        <v>44824</v>
      </c>
      <c r="AG44" s="178">
        <f t="shared" si="7"/>
        <v>44849</v>
      </c>
      <c r="AH44" s="179">
        <f t="shared" si="8"/>
        <v>1.3123263888992369</v>
      </c>
    </row>
    <row r="45" spans="2:34" s="46" customFormat="1" ht="15">
      <c r="B45" s="165">
        <v>44923.5892476851</v>
      </c>
      <c r="C45" s="166">
        <v>3750</v>
      </c>
      <c r="D45" s="157">
        <v>44805</v>
      </c>
      <c r="E45" s="167">
        <v>1</v>
      </c>
      <c r="F45" s="168" t="s">
        <v>1613</v>
      </c>
      <c r="G45" s="169">
        <v>44849</v>
      </c>
      <c r="H45" s="170">
        <f t="shared" si="0"/>
        <v>74.589247685100418</v>
      </c>
      <c r="I45" s="46">
        <f t="shared" si="9"/>
        <v>23</v>
      </c>
      <c r="AA45" s="172">
        <f t="shared" si="1"/>
        <v>2022</v>
      </c>
      <c r="AB45" s="173" t="str">
        <f t="shared" si="2"/>
        <v>September</v>
      </c>
      <c r="AC45" s="174">
        <f t="shared" si="3"/>
        <v>9</v>
      </c>
      <c r="AD45" s="175">
        <f t="shared" si="4"/>
        <v>2022</v>
      </c>
      <c r="AE45" s="176">
        <f t="shared" si="5"/>
        <v>9</v>
      </c>
      <c r="AF45" s="177">
        <f t="shared" si="6"/>
        <v>44824</v>
      </c>
      <c r="AG45" s="178">
        <f t="shared" si="7"/>
        <v>44849</v>
      </c>
      <c r="AH45" s="179">
        <f t="shared" si="8"/>
        <v>-74.589247685100418</v>
      </c>
    </row>
    <row r="46" spans="2:34" s="46" customFormat="1" ht="15">
      <c r="B46" s="165">
        <v>44978.820706018501</v>
      </c>
      <c r="C46" s="166">
        <v>3500</v>
      </c>
      <c r="D46" s="157">
        <v>44805</v>
      </c>
      <c r="E46" s="167">
        <v>1</v>
      </c>
      <c r="F46" s="168" t="s">
        <v>1614</v>
      </c>
      <c r="G46" s="169">
        <v>44849</v>
      </c>
      <c r="H46" s="170">
        <f t="shared" si="0"/>
        <v>129.82070601850137</v>
      </c>
      <c r="I46" s="46">
        <f t="shared" si="9"/>
        <v>24</v>
      </c>
      <c r="AA46" s="172">
        <f t="shared" si="1"/>
        <v>2022</v>
      </c>
      <c r="AB46" s="173" t="str">
        <f t="shared" si="2"/>
        <v>September</v>
      </c>
      <c r="AC46" s="174">
        <f t="shared" si="3"/>
        <v>9</v>
      </c>
      <c r="AD46" s="175">
        <f t="shared" si="4"/>
        <v>2022</v>
      </c>
      <c r="AE46" s="176">
        <f t="shared" si="5"/>
        <v>9</v>
      </c>
      <c r="AF46" s="177">
        <f t="shared" si="6"/>
        <v>44824</v>
      </c>
      <c r="AG46" s="178">
        <f t="shared" si="7"/>
        <v>44849</v>
      </c>
      <c r="AH46" s="179">
        <f t="shared" si="8"/>
        <v>-129.82070601850137</v>
      </c>
    </row>
    <row r="47" spans="2:34" s="46" customFormat="1" ht="15">
      <c r="B47" s="165">
        <v>44818.737453703703</v>
      </c>
      <c r="C47" s="166">
        <v>769438</v>
      </c>
      <c r="D47" s="157">
        <v>44774</v>
      </c>
      <c r="E47" s="167">
        <v>135</v>
      </c>
      <c r="F47" s="168" t="s">
        <v>1615</v>
      </c>
      <c r="G47" s="169">
        <v>44819</v>
      </c>
      <c r="H47" s="170">
        <f t="shared" si="0"/>
        <v>0</v>
      </c>
      <c r="I47" s="46">
        <f t="shared" si="9"/>
        <v>25</v>
      </c>
      <c r="AA47" s="172">
        <f t="shared" si="1"/>
        <v>2022</v>
      </c>
      <c r="AB47" s="173" t="str">
        <f t="shared" si="2"/>
        <v>August</v>
      </c>
      <c r="AC47" s="174">
        <f t="shared" si="3"/>
        <v>8</v>
      </c>
      <c r="AD47" s="175">
        <f t="shared" si="4"/>
        <v>2022</v>
      </c>
      <c r="AE47" s="176">
        <f t="shared" si="5"/>
        <v>8</v>
      </c>
      <c r="AF47" s="177">
        <f t="shared" si="6"/>
        <v>44793</v>
      </c>
      <c r="AG47" s="178">
        <f t="shared" si="7"/>
        <v>44819</v>
      </c>
      <c r="AH47" s="179">
        <f t="shared" si="8"/>
        <v>0.26254629629693227</v>
      </c>
    </row>
    <row r="48" spans="2:34" s="46" customFormat="1" ht="15">
      <c r="B48" s="165">
        <v>44923.613437499997</v>
      </c>
      <c r="C48" s="166">
        <v>6532</v>
      </c>
      <c r="D48" s="157">
        <v>44774</v>
      </c>
      <c r="E48" s="167">
        <v>2</v>
      </c>
      <c r="F48" s="168" t="s">
        <v>1616</v>
      </c>
      <c r="G48" s="169">
        <v>44819</v>
      </c>
      <c r="H48" s="170">
        <f t="shared" si="0"/>
        <v>104.61343749999651</v>
      </c>
      <c r="I48" s="46">
        <f t="shared" si="9"/>
        <v>26</v>
      </c>
      <c r="AA48" s="172">
        <f t="shared" si="1"/>
        <v>2022</v>
      </c>
      <c r="AB48" s="173" t="str">
        <f t="shared" si="2"/>
        <v>August</v>
      </c>
      <c r="AC48" s="174">
        <f t="shared" si="3"/>
        <v>8</v>
      </c>
      <c r="AD48" s="175">
        <f t="shared" si="4"/>
        <v>2022</v>
      </c>
      <c r="AE48" s="176">
        <f t="shared" si="5"/>
        <v>8</v>
      </c>
      <c r="AF48" s="177">
        <f t="shared" si="6"/>
        <v>44793</v>
      </c>
      <c r="AG48" s="178">
        <f t="shared" si="7"/>
        <v>44819</v>
      </c>
      <c r="AH48" s="179">
        <f t="shared" si="8"/>
        <v>-104.61343749999651</v>
      </c>
    </row>
    <row r="49" spans="2:34" s="46" customFormat="1" ht="15">
      <c r="B49" s="165">
        <v>44978.823553240698</v>
      </c>
      <c r="C49" s="166">
        <v>3750</v>
      </c>
      <c r="D49" s="157">
        <v>44774</v>
      </c>
      <c r="E49" s="167">
        <v>1</v>
      </c>
      <c r="F49" s="168" t="s">
        <v>1617</v>
      </c>
      <c r="G49" s="169">
        <v>44819</v>
      </c>
      <c r="H49" s="170">
        <f t="shared" si="0"/>
        <v>159.82355324069795</v>
      </c>
      <c r="I49" s="46">
        <f t="shared" si="9"/>
        <v>27</v>
      </c>
      <c r="AA49" s="172">
        <f t="shared" si="1"/>
        <v>2022</v>
      </c>
      <c r="AB49" s="173" t="str">
        <f t="shared" si="2"/>
        <v>August</v>
      </c>
      <c r="AC49" s="174">
        <f t="shared" si="3"/>
        <v>8</v>
      </c>
      <c r="AD49" s="175">
        <f t="shared" si="4"/>
        <v>2022</v>
      </c>
      <c r="AE49" s="176">
        <f t="shared" si="5"/>
        <v>8</v>
      </c>
      <c r="AF49" s="177">
        <f t="shared" si="6"/>
        <v>44793</v>
      </c>
      <c r="AG49" s="178">
        <f t="shared" si="7"/>
        <v>44819</v>
      </c>
      <c r="AH49" s="179">
        <f t="shared" si="8"/>
        <v>-159.82355324069795</v>
      </c>
    </row>
    <row r="50" spans="2:34" s="46" customFormat="1" ht="15">
      <c r="B50" s="165">
        <v>44783.448402777802</v>
      </c>
      <c r="C50" s="166">
        <v>774219</v>
      </c>
      <c r="D50" s="157">
        <v>44743</v>
      </c>
      <c r="E50" s="167">
        <v>133</v>
      </c>
      <c r="F50" s="168" t="s">
        <v>1618</v>
      </c>
      <c r="G50" s="169">
        <v>44788</v>
      </c>
      <c r="H50" s="170">
        <f t="shared" si="0"/>
        <v>0</v>
      </c>
      <c r="I50" s="46">
        <f t="shared" si="9"/>
        <v>28</v>
      </c>
      <c r="AA50" s="172">
        <f t="shared" si="1"/>
        <v>2022</v>
      </c>
      <c r="AB50" s="173" t="str">
        <f t="shared" si="2"/>
        <v>July</v>
      </c>
      <c r="AC50" s="174">
        <f t="shared" si="3"/>
        <v>7</v>
      </c>
      <c r="AD50" s="175">
        <f t="shared" si="4"/>
        <v>2022</v>
      </c>
      <c r="AE50" s="176">
        <f t="shared" si="5"/>
        <v>7</v>
      </c>
      <c r="AF50" s="177">
        <f t="shared" si="6"/>
        <v>44762</v>
      </c>
      <c r="AG50" s="178">
        <f t="shared" si="7"/>
        <v>44788</v>
      </c>
      <c r="AH50" s="179">
        <f t="shared" si="8"/>
        <v>4.5515972221983247</v>
      </c>
    </row>
    <row r="51" spans="2:34" s="46" customFormat="1" ht="15">
      <c r="B51" s="165">
        <v>44923.585613425901</v>
      </c>
      <c r="C51" s="166">
        <v>7018</v>
      </c>
      <c r="D51" s="157">
        <v>44743</v>
      </c>
      <c r="E51" s="167">
        <v>2</v>
      </c>
      <c r="F51" s="168" t="s">
        <v>1619</v>
      </c>
      <c r="G51" s="169">
        <v>44788</v>
      </c>
      <c r="H51" s="170">
        <f t="shared" si="0"/>
        <v>135.5856134259011</v>
      </c>
      <c r="I51" s="46">
        <f t="shared" si="9"/>
        <v>29</v>
      </c>
      <c r="AA51" s="172">
        <f t="shared" si="1"/>
        <v>2022</v>
      </c>
      <c r="AB51" s="173" t="str">
        <f t="shared" si="2"/>
        <v>July</v>
      </c>
      <c r="AC51" s="174">
        <f t="shared" si="3"/>
        <v>7</v>
      </c>
      <c r="AD51" s="175">
        <f t="shared" si="4"/>
        <v>2022</v>
      </c>
      <c r="AE51" s="176">
        <f t="shared" si="5"/>
        <v>7</v>
      </c>
      <c r="AF51" s="177">
        <f t="shared" si="6"/>
        <v>44762</v>
      </c>
      <c r="AG51" s="178">
        <f t="shared" si="7"/>
        <v>44788</v>
      </c>
      <c r="AH51" s="179">
        <f t="shared" si="8"/>
        <v>-135.5856134259011</v>
      </c>
    </row>
    <row r="52" spans="2:34" s="46" customFormat="1" ht="15">
      <c r="B52" s="165">
        <v>44978.8241203703</v>
      </c>
      <c r="C52" s="166">
        <v>3750</v>
      </c>
      <c r="D52" s="157">
        <v>44743</v>
      </c>
      <c r="E52" s="167">
        <v>1</v>
      </c>
      <c r="F52" s="168" t="s">
        <v>1620</v>
      </c>
      <c r="G52" s="169">
        <v>44788</v>
      </c>
      <c r="H52" s="170">
        <f t="shared" si="0"/>
        <v>190.82412037030008</v>
      </c>
      <c r="I52" s="46">
        <f t="shared" si="9"/>
        <v>30</v>
      </c>
      <c r="AA52" s="172">
        <f t="shared" si="1"/>
        <v>2022</v>
      </c>
      <c r="AB52" s="173" t="str">
        <f t="shared" si="2"/>
        <v>July</v>
      </c>
      <c r="AC52" s="174">
        <f t="shared" si="3"/>
        <v>7</v>
      </c>
      <c r="AD52" s="175">
        <f t="shared" si="4"/>
        <v>2022</v>
      </c>
      <c r="AE52" s="176">
        <f t="shared" si="5"/>
        <v>7</v>
      </c>
      <c r="AF52" s="177">
        <f t="shared" si="6"/>
        <v>44762</v>
      </c>
      <c r="AG52" s="178">
        <f t="shared" si="7"/>
        <v>44788</v>
      </c>
      <c r="AH52" s="179">
        <f t="shared" si="8"/>
        <v>-190.82412037030008</v>
      </c>
    </row>
    <row r="53" spans="2:34" s="46" customFormat="1" ht="15">
      <c r="B53" s="165">
        <v>44756.637581018498</v>
      </c>
      <c r="C53" s="166">
        <v>784612</v>
      </c>
      <c r="D53" s="157">
        <v>44713</v>
      </c>
      <c r="E53" s="167">
        <v>138</v>
      </c>
      <c r="F53" s="168" t="s">
        <v>1621</v>
      </c>
      <c r="G53" s="169">
        <v>44757</v>
      </c>
      <c r="H53" s="170">
        <f t="shared" si="0"/>
        <v>0</v>
      </c>
      <c r="AA53" s="172">
        <f t="shared" si="1"/>
        <v>2022</v>
      </c>
      <c r="AB53" s="173" t="str">
        <f t="shared" si="2"/>
        <v>June</v>
      </c>
      <c r="AC53" s="174">
        <f t="shared" si="3"/>
        <v>6</v>
      </c>
      <c r="AD53" s="175">
        <f t="shared" si="4"/>
        <v>2022</v>
      </c>
      <c r="AE53" s="176">
        <f t="shared" si="5"/>
        <v>6</v>
      </c>
      <c r="AF53" s="177">
        <f t="shared" si="6"/>
        <v>44732</v>
      </c>
      <c r="AG53" s="178">
        <f t="shared" si="7"/>
        <v>44757</v>
      </c>
      <c r="AH53" s="179">
        <f t="shared" si="8"/>
        <v>0.3624189815018326</v>
      </c>
    </row>
    <row r="54" spans="2:34" s="46" customFormat="1" ht="15">
      <c r="B54" s="165">
        <v>44904.568159722199</v>
      </c>
      <c r="C54" s="166">
        <v>126</v>
      </c>
      <c r="D54" s="157">
        <v>44713</v>
      </c>
      <c r="E54" s="167">
        <v>1</v>
      </c>
      <c r="F54" s="168" t="s">
        <v>1622</v>
      </c>
      <c r="G54" s="169">
        <v>44757</v>
      </c>
      <c r="H54" s="170">
        <f t="shared" si="0"/>
        <v>147.5681597221992</v>
      </c>
      <c r="AA54" s="172">
        <f t="shared" si="1"/>
        <v>2022</v>
      </c>
      <c r="AB54" s="173" t="str">
        <f t="shared" si="2"/>
        <v>June</v>
      </c>
      <c r="AC54" s="174">
        <f t="shared" si="3"/>
        <v>6</v>
      </c>
      <c r="AD54" s="175">
        <f t="shared" si="4"/>
        <v>2022</v>
      </c>
      <c r="AE54" s="176">
        <f t="shared" si="5"/>
        <v>6</v>
      </c>
      <c r="AF54" s="177">
        <f t="shared" si="6"/>
        <v>44732</v>
      </c>
      <c r="AG54" s="178">
        <f t="shared" si="7"/>
        <v>44757</v>
      </c>
      <c r="AH54" s="179">
        <f t="shared" si="8"/>
        <v>-147.5681597221992</v>
      </c>
    </row>
    <row r="55" spans="2:34" s="46" customFormat="1" ht="15">
      <c r="B55" s="165">
        <v>44923.613009259199</v>
      </c>
      <c r="C55" s="166">
        <v>7500</v>
      </c>
      <c r="D55" s="157">
        <v>44713</v>
      </c>
      <c r="E55" s="167">
        <v>2</v>
      </c>
      <c r="F55" s="168" t="s">
        <v>1623</v>
      </c>
      <c r="G55" s="169">
        <v>44757</v>
      </c>
      <c r="H55" s="170">
        <f t="shared" si="0"/>
        <v>166.61300925919932</v>
      </c>
      <c r="AA55" s="172">
        <f t="shared" si="1"/>
        <v>2022</v>
      </c>
      <c r="AB55" s="173" t="str">
        <f t="shared" si="2"/>
        <v>June</v>
      </c>
      <c r="AC55" s="174">
        <f t="shared" si="3"/>
        <v>6</v>
      </c>
      <c r="AD55" s="175">
        <f t="shared" si="4"/>
        <v>2022</v>
      </c>
      <c r="AE55" s="176">
        <f t="shared" si="5"/>
        <v>6</v>
      </c>
      <c r="AF55" s="177">
        <f t="shared" si="6"/>
        <v>44732</v>
      </c>
      <c r="AG55" s="178">
        <f t="shared" si="7"/>
        <v>44757</v>
      </c>
      <c r="AH55" s="179">
        <f t="shared" si="8"/>
        <v>-166.61300925919932</v>
      </c>
    </row>
    <row r="56" spans="2:34" s="46" customFormat="1" ht="15">
      <c r="B56" s="165">
        <v>44977.681111111102</v>
      </c>
      <c r="C56" s="166">
        <v>3750</v>
      </c>
      <c r="D56" s="157">
        <v>44713</v>
      </c>
      <c r="E56" s="167">
        <v>1</v>
      </c>
      <c r="F56" s="168" t="s">
        <v>1624</v>
      </c>
      <c r="G56" s="169">
        <v>44757</v>
      </c>
      <c r="H56" s="170">
        <f t="shared" si="0"/>
        <v>220.68111111110193</v>
      </c>
      <c r="AA56" s="172">
        <f t="shared" si="1"/>
        <v>2022</v>
      </c>
      <c r="AB56" s="173" t="str">
        <f t="shared" si="2"/>
        <v>June</v>
      </c>
      <c r="AC56" s="174">
        <f t="shared" si="3"/>
        <v>6</v>
      </c>
      <c r="AD56" s="175">
        <f t="shared" si="4"/>
        <v>2022</v>
      </c>
      <c r="AE56" s="176">
        <f t="shared" si="5"/>
        <v>6</v>
      </c>
      <c r="AF56" s="177">
        <f t="shared" si="6"/>
        <v>44732</v>
      </c>
      <c r="AG56" s="178">
        <f t="shared" si="7"/>
        <v>44757</v>
      </c>
      <c r="AH56" s="179">
        <f t="shared" si="8"/>
        <v>-220.68111111110193</v>
      </c>
    </row>
    <row r="57" spans="2:34" s="46" customFormat="1" ht="15">
      <c r="B57" s="165">
        <v>44728.456944444399</v>
      </c>
      <c r="C57" s="166">
        <v>798117</v>
      </c>
      <c r="D57" s="157">
        <v>44682</v>
      </c>
      <c r="E57" s="167">
        <v>139</v>
      </c>
      <c r="F57" s="168" t="s">
        <v>1625</v>
      </c>
      <c r="G57" s="169">
        <v>44727</v>
      </c>
      <c r="H57" s="170">
        <f t="shared" si="0"/>
        <v>1.4569444443986868</v>
      </c>
      <c r="AA57" s="172">
        <f t="shared" si="1"/>
        <v>2022</v>
      </c>
      <c r="AB57" s="173" t="str">
        <f t="shared" si="2"/>
        <v>May</v>
      </c>
      <c r="AC57" s="174">
        <f t="shared" si="3"/>
        <v>5</v>
      </c>
      <c r="AD57" s="175">
        <f t="shared" si="4"/>
        <v>2022</v>
      </c>
      <c r="AE57" s="176">
        <f t="shared" si="5"/>
        <v>5</v>
      </c>
      <c r="AF57" s="177">
        <f t="shared" si="6"/>
        <v>44701</v>
      </c>
      <c r="AG57" s="178">
        <f t="shared" si="7"/>
        <v>44727</v>
      </c>
      <c r="AH57" s="179">
        <f t="shared" si="8"/>
        <v>-1.4569444443986868</v>
      </c>
    </row>
    <row r="58" spans="2:34" s="46" customFormat="1" ht="15">
      <c r="B58" s="165">
        <v>44923.613310185101</v>
      </c>
      <c r="C58" s="166">
        <v>7500</v>
      </c>
      <c r="D58" s="157">
        <v>44682</v>
      </c>
      <c r="E58" s="167">
        <v>2</v>
      </c>
      <c r="F58" s="168" t="s">
        <v>1626</v>
      </c>
      <c r="G58" s="169">
        <v>44727</v>
      </c>
      <c r="H58" s="170">
        <f t="shared" si="0"/>
        <v>196.613310185101</v>
      </c>
      <c r="AA58" s="172">
        <f t="shared" si="1"/>
        <v>2022</v>
      </c>
      <c r="AB58" s="173" t="str">
        <f t="shared" si="2"/>
        <v>May</v>
      </c>
      <c r="AC58" s="174">
        <f t="shared" si="3"/>
        <v>5</v>
      </c>
      <c r="AD58" s="175">
        <f t="shared" si="4"/>
        <v>2022</v>
      </c>
      <c r="AE58" s="176">
        <f t="shared" si="5"/>
        <v>5</v>
      </c>
      <c r="AF58" s="177">
        <f t="shared" si="6"/>
        <v>44701</v>
      </c>
      <c r="AG58" s="178">
        <f t="shared" si="7"/>
        <v>44727</v>
      </c>
      <c r="AH58" s="179">
        <f t="shared" si="8"/>
        <v>-196.613310185101</v>
      </c>
    </row>
    <row r="59" spans="2:34" s="46" customFormat="1" ht="15">
      <c r="B59" s="165">
        <v>44977.615856481403</v>
      </c>
      <c r="C59" s="166">
        <v>3750</v>
      </c>
      <c r="D59" s="157">
        <v>44682</v>
      </c>
      <c r="E59" s="167">
        <v>1</v>
      </c>
      <c r="F59" s="168" t="s">
        <v>1627</v>
      </c>
      <c r="G59" s="169">
        <v>44727</v>
      </c>
      <c r="H59" s="170">
        <f t="shared" si="0"/>
        <v>250.61585648140317</v>
      </c>
      <c r="AA59" s="172">
        <f t="shared" si="1"/>
        <v>2022</v>
      </c>
      <c r="AB59" s="173" t="str">
        <f t="shared" si="2"/>
        <v>May</v>
      </c>
      <c r="AC59" s="174">
        <f t="shared" si="3"/>
        <v>5</v>
      </c>
      <c r="AD59" s="175">
        <f t="shared" si="4"/>
        <v>2022</v>
      </c>
      <c r="AE59" s="176">
        <f t="shared" si="5"/>
        <v>5</v>
      </c>
      <c r="AF59" s="177">
        <f t="shared" si="6"/>
        <v>44701</v>
      </c>
      <c r="AG59" s="178">
        <f t="shared" si="7"/>
        <v>44727</v>
      </c>
      <c r="AH59" s="179">
        <f t="shared" si="8"/>
        <v>-250.61585648140317</v>
      </c>
    </row>
    <row r="60" spans="2:34" s="46" customFormat="1" ht="15">
      <c r="B60" s="165">
        <v>44694.895104166702</v>
      </c>
      <c r="C60" s="166">
        <v>790792</v>
      </c>
      <c r="D60" s="157">
        <v>44652</v>
      </c>
      <c r="E60" s="167">
        <v>137</v>
      </c>
      <c r="F60" s="168" t="s">
        <v>1628</v>
      </c>
      <c r="G60" s="169">
        <v>44696</v>
      </c>
      <c r="H60" s="170">
        <f t="shared" si="0"/>
        <v>0</v>
      </c>
      <c r="AA60" s="172">
        <f t="shared" si="1"/>
        <v>2022</v>
      </c>
      <c r="AB60" s="173" t="str">
        <f t="shared" si="2"/>
        <v>April</v>
      </c>
      <c r="AC60" s="174">
        <f t="shared" si="3"/>
        <v>4</v>
      </c>
      <c r="AD60" s="175">
        <f t="shared" si="4"/>
        <v>2022</v>
      </c>
      <c r="AE60" s="176">
        <f t="shared" si="5"/>
        <v>4</v>
      </c>
      <c r="AF60" s="177">
        <f t="shared" si="6"/>
        <v>44671</v>
      </c>
      <c r="AG60" s="178">
        <f t="shared" si="7"/>
        <v>44696</v>
      </c>
      <c r="AH60" s="179">
        <f t="shared" si="8"/>
        <v>1.1048958332976326</v>
      </c>
    </row>
    <row r="61" spans="2:34" s="46" customFormat="1" ht="15">
      <c r="B61" s="165">
        <v>44748.6480324074</v>
      </c>
      <c r="C61" s="166">
        <v>6750</v>
      </c>
      <c r="D61" s="157">
        <v>44652</v>
      </c>
      <c r="E61" s="167">
        <v>2</v>
      </c>
      <c r="F61" s="168" t="s">
        <v>1629</v>
      </c>
      <c r="G61" s="169">
        <v>44696</v>
      </c>
      <c r="H61" s="170">
        <f t="shared" si="0"/>
        <v>52.648032407400024</v>
      </c>
      <c r="AA61" s="172">
        <f t="shared" si="1"/>
        <v>2022</v>
      </c>
      <c r="AB61" s="173" t="str">
        <f t="shared" si="2"/>
        <v>April</v>
      </c>
      <c r="AC61" s="174">
        <f t="shared" si="3"/>
        <v>4</v>
      </c>
      <c r="AD61" s="175">
        <f t="shared" si="4"/>
        <v>2022</v>
      </c>
      <c r="AE61" s="176">
        <f t="shared" si="5"/>
        <v>4</v>
      </c>
      <c r="AF61" s="177">
        <f t="shared" si="6"/>
        <v>44671</v>
      </c>
      <c r="AG61" s="178">
        <f t="shared" si="7"/>
        <v>44696</v>
      </c>
      <c r="AH61" s="179">
        <f t="shared" si="8"/>
        <v>-52.648032407400024</v>
      </c>
    </row>
    <row r="62" spans="2:34" s="46" customFormat="1" ht="15">
      <c r="B62" s="165">
        <v>44748.722881944399</v>
      </c>
      <c r="C62" s="166">
        <v>18375</v>
      </c>
      <c r="D62" s="157">
        <v>44652</v>
      </c>
      <c r="E62" s="167">
        <v>5</v>
      </c>
      <c r="F62" s="168" t="s">
        <v>1630</v>
      </c>
      <c r="G62" s="169">
        <v>44696</v>
      </c>
      <c r="H62" s="170">
        <f t="shared" si="0"/>
        <v>52.722881944398978</v>
      </c>
      <c r="AA62" s="172">
        <f t="shared" si="1"/>
        <v>2022</v>
      </c>
      <c r="AB62" s="173" t="str">
        <f t="shared" si="2"/>
        <v>April</v>
      </c>
      <c r="AC62" s="174">
        <f t="shared" si="3"/>
        <v>4</v>
      </c>
      <c r="AD62" s="175">
        <f t="shared" si="4"/>
        <v>2022</v>
      </c>
      <c r="AE62" s="176">
        <f t="shared" si="5"/>
        <v>4</v>
      </c>
      <c r="AF62" s="177">
        <f t="shared" si="6"/>
        <v>44671</v>
      </c>
      <c r="AG62" s="178">
        <f t="shared" si="7"/>
        <v>44696</v>
      </c>
      <c r="AH62" s="179">
        <f t="shared" si="8"/>
        <v>-52.722881944398978</v>
      </c>
    </row>
    <row r="63" spans="2:34" s="46" customFormat="1" ht="15">
      <c r="B63" s="165">
        <v>44923.580023148097</v>
      </c>
      <c r="C63" s="166">
        <v>7500</v>
      </c>
      <c r="D63" s="157">
        <v>44652</v>
      </c>
      <c r="E63" s="167">
        <v>2</v>
      </c>
      <c r="F63" s="168" t="s">
        <v>1631</v>
      </c>
      <c r="G63" s="169">
        <v>44696</v>
      </c>
      <c r="H63" s="170">
        <f t="shared" si="0"/>
        <v>227.5800231480971</v>
      </c>
      <c r="AA63" s="172">
        <f t="shared" si="1"/>
        <v>2022</v>
      </c>
      <c r="AB63" s="173" t="str">
        <f t="shared" si="2"/>
        <v>April</v>
      </c>
      <c r="AC63" s="174">
        <f t="shared" si="3"/>
        <v>4</v>
      </c>
      <c r="AD63" s="175">
        <f t="shared" si="4"/>
        <v>2022</v>
      </c>
      <c r="AE63" s="176">
        <f t="shared" si="5"/>
        <v>4</v>
      </c>
      <c r="AF63" s="177">
        <f t="shared" si="6"/>
        <v>44671</v>
      </c>
      <c r="AG63" s="178">
        <f t="shared" si="7"/>
        <v>44696</v>
      </c>
      <c r="AH63" s="179">
        <f t="shared" si="8"/>
        <v>-227.5800231480971</v>
      </c>
    </row>
    <row r="64" spans="2:34" s="46" customFormat="1" ht="15">
      <c r="B64" s="165">
        <v>44977.495833333298</v>
      </c>
      <c r="C64" s="166">
        <v>3750</v>
      </c>
      <c r="D64" s="157">
        <v>44652</v>
      </c>
      <c r="E64" s="167">
        <v>1</v>
      </c>
      <c r="F64" s="168" t="s">
        <v>1632</v>
      </c>
      <c r="G64" s="169">
        <v>44696</v>
      </c>
      <c r="H64" s="170">
        <f t="shared" si="0"/>
        <v>281.49583333329792</v>
      </c>
      <c r="AA64" s="172">
        <f t="shared" si="1"/>
        <v>2022</v>
      </c>
      <c r="AB64" s="173" t="str">
        <f t="shared" si="2"/>
        <v>April</v>
      </c>
      <c r="AC64" s="174">
        <f t="shared" si="3"/>
        <v>4</v>
      </c>
      <c r="AD64" s="175">
        <f t="shared" si="4"/>
        <v>2022</v>
      </c>
      <c r="AE64" s="176">
        <f t="shared" si="5"/>
        <v>4</v>
      </c>
      <c r="AF64" s="177">
        <f t="shared" si="6"/>
        <v>44671</v>
      </c>
      <c r="AG64" s="178">
        <f t="shared" si="7"/>
        <v>44696</v>
      </c>
      <c r="AH64" s="179">
        <f t="shared" si="8"/>
        <v>-281.49583333329792</v>
      </c>
    </row>
    <row r="65" spans="2:34" s="46" customFormat="1" ht="15">
      <c r="B65" s="165">
        <v>44666.672708333303</v>
      </c>
      <c r="C65" s="166">
        <v>776202</v>
      </c>
      <c r="D65" s="157">
        <v>44621</v>
      </c>
      <c r="E65" s="167">
        <v>136</v>
      </c>
      <c r="F65" s="168" t="s">
        <v>1633</v>
      </c>
      <c r="G65" s="169">
        <v>44666</v>
      </c>
      <c r="H65" s="170">
        <f t="shared" si="0"/>
        <v>0.67270833330258029</v>
      </c>
      <c r="AA65" s="172">
        <f t="shared" si="1"/>
        <v>2022</v>
      </c>
      <c r="AB65" s="173" t="str">
        <f t="shared" si="2"/>
        <v>March</v>
      </c>
      <c r="AC65" s="174">
        <f t="shared" si="3"/>
        <v>3</v>
      </c>
      <c r="AD65" s="175">
        <f t="shared" si="4"/>
        <v>2022</v>
      </c>
      <c r="AE65" s="176">
        <f t="shared" si="5"/>
        <v>3</v>
      </c>
      <c r="AF65" s="177">
        <f t="shared" si="6"/>
        <v>44640</v>
      </c>
      <c r="AG65" s="178">
        <f t="shared" si="7"/>
        <v>44666</v>
      </c>
      <c r="AH65" s="179">
        <f t="shared" si="8"/>
        <v>-0.67270833330258029</v>
      </c>
    </row>
    <row r="66" spans="2:34" s="46" customFormat="1" ht="15">
      <c r="B66" s="165">
        <v>44658.760312500002</v>
      </c>
      <c r="C66" s="166">
        <v>799774</v>
      </c>
      <c r="D66" s="157">
        <v>44593</v>
      </c>
      <c r="E66" s="167">
        <v>140</v>
      </c>
      <c r="F66" s="168" t="s">
        <v>1634</v>
      </c>
      <c r="G66" s="169">
        <v>44635</v>
      </c>
      <c r="H66" s="170">
        <f t="shared" si="0"/>
        <v>23.760312500002328</v>
      </c>
      <c r="AA66" s="172">
        <f t="shared" si="1"/>
        <v>2022</v>
      </c>
      <c r="AB66" s="173" t="str">
        <f t="shared" si="2"/>
        <v>February</v>
      </c>
      <c r="AC66" s="174">
        <f t="shared" si="3"/>
        <v>2</v>
      </c>
      <c r="AD66" s="175">
        <f t="shared" si="4"/>
        <v>2022</v>
      </c>
      <c r="AE66" s="176">
        <f t="shared" si="5"/>
        <v>2</v>
      </c>
      <c r="AF66" s="177">
        <f t="shared" si="6"/>
        <v>44612</v>
      </c>
      <c r="AG66" s="178">
        <f t="shared" si="7"/>
        <v>44635</v>
      </c>
      <c r="AH66" s="179">
        <f t="shared" si="8"/>
        <v>-23.760312500002328</v>
      </c>
    </row>
    <row r="67" spans="2:34" s="46" customFormat="1" ht="15">
      <c r="B67" s="165">
        <v>44666.683553240699</v>
      </c>
      <c r="C67" s="166">
        <v>2008</v>
      </c>
      <c r="D67" s="157">
        <v>44593</v>
      </c>
      <c r="E67" s="167">
        <v>1</v>
      </c>
      <c r="F67" s="168" t="s">
        <v>1635</v>
      </c>
      <c r="G67" s="169">
        <v>44635</v>
      </c>
      <c r="H67" s="170">
        <f t="shared" si="0"/>
        <v>31.683553240698529</v>
      </c>
      <c r="AA67" s="172">
        <f t="shared" si="1"/>
        <v>2022</v>
      </c>
      <c r="AB67" s="173" t="str">
        <f t="shared" si="2"/>
        <v>February</v>
      </c>
      <c r="AC67" s="174">
        <f t="shared" si="3"/>
        <v>2</v>
      </c>
      <c r="AD67" s="175">
        <f t="shared" si="4"/>
        <v>2022</v>
      </c>
      <c r="AE67" s="176">
        <f t="shared" si="5"/>
        <v>2</v>
      </c>
      <c r="AF67" s="177">
        <f t="shared" si="6"/>
        <v>44612</v>
      </c>
      <c r="AG67" s="178">
        <f t="shared" si="7"/>
        <v>44635</v>
      </c>
      <c r="AH67" s="179">
        <f t="shared" si="8"/>
        <v>-31.683553240698529</v>
      </c>
    </row>
    <row r="68" spans="2:34" s="46" customFormat="1" ht="15">
      <c r="B68" s="165">
        <v>44607.785219907397</v>
      </c>
      <c r="C68" s="166">
        <v>752236</v>
      </c>
      <c r="D68" s="157">
        <v>44562</v>
      </c>
      <c r="E68" s="167">
        <v>136</v>
      </c>
      <c r="F68" s="168" t="s">
        <v>1636</v>
      </c>
      <c r="G68" s="169">
        <v>44607</v>
      </c>
      <c r="H68" s="170">
        <f t="shared" si="0"/>
        <v>0.78521990739682224</v>
      </c>
      <c r="AA68" s="172">
        <f t="shared" si="1"/>
        <v>2022</v>
      </c>
      <c r="AB68" s="173" t="str">
        <f t="shared" si="2"/>
        <v>January</v>
      </c>
      <c r="AC68" s="174">
        <f t="shared" si="3"/>
        <v>1</v>
      </c>
      <c r="AD68" s="175">
        <f t="shared" si="4"/>
        <v>2022</v>
      </c>
      <c r="AE68" s="176">
        <f t="shared" si="5"/>
        <v>1</v>
      </c>
      <c r="AF68" s="177">
        <f t="shared" si="6"/>
        <v>44581</v>
      </c>
      <c r="AG68" s="178">
        <f t="shared" si="7"/>
        <v>44607</v>
      </c>
      <c r="AH68" s="179">
        <f t="shared" si="8"/>
        <v>-0.78521990739682224</v>
      </c>
    </row>
    <row r="69" spans="2:34" s="46" customFormat="1" ht="15">
      <c r="B69" s="165">
        <v>44669.8230555556</v>
      </c>
      <c r="C69" s="166">
        <v>21546</v>
      </c>
      <c r="D69" s="157">
        <v>44562</v>
      </c>
      <c r="E69" s="167">
        <v>13</v>
      </c>
      <c r="F69" s="168" t="s">
        <v>1637</v>
      </c>
      <c r="G69" s="169">
        <v>44607</v>
      </c>
      <c r="H69" s="170">
        <f t="shared" si="0"/>
        <v>62.823055555600149</v>
      </c>
      <c r="AA69" s="172">
        <f t="shared" si="1"/>
        <v>2022</v>
      </c>
      <c r="AB69" s="173" t="str">
        <f t="shared" si="2"/>
        <v>January</v>
      </c>
      <c r="AC69" s="174">
        <f t="shared" si="3"/>
        <v>1</v>
      </c>
      <c r="AD69" s="175">
        <f t="shared" si="4"/>
        <v>2022</v>
      </c>
      <c r="AE69" s="176">
        <f t="shared" si="5"/>
        <v>1</v>
      </c>
      <c r="AF69" s="177">
        <f t="shared" si="6"/>
        <v>44581</v>
      </c>
      <c r="AG69" s="178">
        <f t="shared" si="7"/>
        <v>44607</v>
      </c>
      <c r="AH69" s="179">
        <f t="shared" si="8"/>
        <v>-62.823055555600149</v>
      </c>
    </row>
    <row r="70" spans="2:34" s="46" customFormat="1" ht="15">
      <c r="B70" s="165">
        <v>44669.779351851903</v>
      </c>
      <c r="C70" s="166">
        <v>31226</v>
      </c>
      <c r="D70" s="157">
        <v>44562</v>
      </c>
      <c r="E70" s="167">
        <v>9</v>
      </c>
      <c r="F70" s="168" t="s">
        <v>1638</v>
      </c>
      <c r="G70" s="169">
        <v>44607</v>
      </c>
      <c r="H70" s="170">
        <f t="shared" si="0"/>
        <v>62.779351851902902</v>
      </c>
      <c r="AA70" s="172">
        <f t="shared" si="1"/>
        <v>2022</v>
      </c>
      <c r="AB70" s="173" t="str">
        <f t="shared" si="2"/>
        <v>January</v>
      </c>
      <c r="AC70" s="174">
        <f t="shared" si="3"/>
        <v>1</v>
      </c>
      <c r="AD70" s="175">
        <f t="shared" si="4"/>
        <v>2022</v>
      </c>
      <c r="AE70" s="176">
        <f t="shared" si="5"/>
        <v>1</v>
      </c>
      <c r="AF70" s="177">
        <f t="shared" si="6"/>
        <v>44581</v>
      </c>
      <c r="AG70" s="178">
        <f t="shared" si="7"/>
        <v>44607</v>
      </c>
      <c r="AH70" s="179">
        <f t="shared" si="8"/>
        <v>-62.779351851902902</v>
      </c>
    </row>
    <row r="71" spans="2:34" s="46" customFormat="1" ht="15">
      <c r="B71" s="165">
        <v>44576.765439814801</v>
      </c>
      <c r="C71" s="166">
        <v>747782</v>
      </c>
      <c r="D71" s="157">
        <v>44531</v>
      </c>
      <c r="E71" s="167">
        <v>135</v>
      </c>
      <c r="F71" s="168" t="s">
        <v>1639</v>
      </c>
      <c r="G71" s="169">
        <v>44576</v>
      </c>
      <c r="H71" s="170">
        <f t="shared" si="0"/>
        <v>0.76543981480062939</v>
      </c>
      <c r="AA71" s="172">
        <f t="shared" si="1"/>
        <v>2021</v>
      </c>
      <c r="AB71" s="173" t="str">
        <f t="shared" si="2"/>
        <v>December</v>
      </c>
      <c r="AC71" s="174">
        <f t="shared" si="3"/>
        <v>12</v>
      </c>
      <c r="AD71" s="175">
        <f t="shared" si="4"/>
        <v>2021</v>
      </c>
      <c r="AE71" s="176">
        <f t="shared" si="5"/>
        <v>12</v>
      </c>
      <c r="AF71" s="177">
        <f t="shared" si="6"/>
        <v>44550</v>
      </c>
      <c r="AG71" s="178">
        <f t="shared" si="7"/>
        <v>44576</v>
      </c>
      <c r="AH71" s="179">
        <f t="shared" si="8"/>
        <v>-0.76543981480062939</v>
      </c>
    </row>
    <row r="72" spans="2:34" s="46" customFormat="1" ht="15">
      <c r="B72" s="165">
        <v>44545.636724536998</v>
      </c>
      <c r="C72" s="166">
        <v>747530</v>
      </c>
      <c r="D72" s="157">
        <v>44501</v>
      </c>
      <c r="E72" s="167">
        <v>138</v>
      </c>
      <c r="F72" s="168" t="s">
        <v>1640</v>
      </c>
      <c r="G72" s="169">
        <v>44545</v>
      </c>
      <c r="H72" s="170">
        <f t="shared" si="0"/>
        <v>0.63672453699837206</v>
      </c>
      <c r="AA72" s="172">
        <f t="shared" si="1"/>
        <v>2021</v>
      </c>
      <c r="AB72" s="173" t="str">
        <f t="shared" si="2"/>
        <v>November</v>
      </c>
      <c r="AC72" s="174">
        <f t="shared" si="3"/>
        <v>11</v>
      </c>
      <c r="AD72" s="175">
        <f t="shared" si="4"/>
        <v>2021</v>
      </c>
      <c r="AE72" s="176">
        <f t="shared" si="5"/>
        <v>11</v>
      </c>
      <c r="AF72" s="177">
        <f t="shared" si="6"/>
        <v>44520</v>
      </c>
      <c r="AG72" s="178">
        <f t="shared" si="7"/>
        <v>44545</v>
      </c>
      <c r="AH72" s="179">
        <f t="shared" si="8"/>
        <v>-0.63672453699837206</v>
      </c>
    </row>
    <row r="73" spans="2:34" s="46" customFormat="1" ht="15">
      <c r="B73" s="165">
        <v>44515.761006944398</v>
      </c>
      <c r="C73" s="166">
        <v>767348</v>
      </c>
      <c r="D73" s="157">
        <v>44470</v>
      </c>
      <c r="E73" s="167">
        <v>137</v>
      </c>
      <c r="F73" s="168" t="s">
        <v>1641</v>
      </c>
      <c r="G73" s="169">
        <v>44515</v>
      </c>
      <c r="H73" s="170">
        <f t="shared" si="0"/>
        <v>0.76100694439810468</v>
      </c>
      <c r="AA73" s="172">
        <f t="shared" si="1"/>
        <v>2021</v>
      </c>
      <c r="AB73" s="173" t="str">
        <f t="shared" si="2"/>
        <v>October</v>
      </c>
      <c r="AC73" s="174">
        <f t="shared" si="3"/>
        <v>10</v>
      </c>
      <c r="AD73" s="175">
        <f t="shared" si="4"/>
        <v>2021</v>
      </c>
      <c r="AE73" s="176">
        <f t="shared" si="5"/>
        <v>10</v>
      </c>
      <c r="AF73" s="177">
        <f t="shared" si="6"/>
        <v>44489</v>
      </c>
      <c r="AG73" s="178">
        <f t="shared" si="7"/>
        <v>44515</v>
      </c>
      <c r="AH73" s="179">
        <f t="shared" si="8"/>
        <v>-0.76100694439810468</v>
      </c>
    </row>
    <row r="74" spans="2:34" s="46" customFormat="1" ht="15">
      <c r="B74" s="165">
        <v>44501.542430555601</v>
      </c>
      <c r="C74" s="166">
        <v>764139</v>
      </c>
      <c r="D74" s="157">
        <v>44440</v>
      </c>
      <c r="E74" s="167">
        <v>135</v>
      </c>
      <c r="F74" s="168" t="s">
        <v>1642</v>
      </c>
      <c r="G74" s="169">
        <v>44484</v>
      </c>
      <c r="H74" s="170">
        <f t="shared" si="0"/>
        <v>17.542430555600731</v>
      </c>
      <c r="AA74" s="172">
        <f t="shared" si="1"/>
        <v>2021</v>
      </c>
      <c r="AB74" s="173" t="str">
        <f t="shared" si="2"/>
        <v>September</v>
      </c>
      <c r="AC74" s="174">
        <f t="shared" si="3"/>
        <v>9</v>
      </c>
      <c r="AD74" s="175">
        <f t="shared" si="4"/>
        <v>2021</v>
      </c>
      <c r="AE74" s="176">
        <f t="shared" si="5"/>
        <v>9</v>
      </c>
      <c r="AF74" s="177">
        <f t="shared" si="6"/>
        <v>44459</v>
      </c>
      <c r="AG74" s="178">
        <f t="shared" si="7"/>
        <v>44484</v>
      </c>
      <c r="AH74" s="179">
        <f t="shared" si="8"/>
        <v>-17.542430555600731</v>
      </c>
    </row>
    <row r="75" spans="2:34" s="46" customFormat="1" ht="15">
      <c r="B75" s="165">
        <v>44459.744942129597</v>
      </c>
      <c r="C75" s="166">
        <v>747784</v>
      </c>
      <c r="D75" s="157">
        <v>44409</v>
      </c>
      <c r="E75" s="167">
        <v>135</v>
      </c>
      <c r="F75" s="168" t="s">
        <v>1643</v>
      </c>
      <c r="G75" s="169">
        <v>44454</v>
      </c>
      <c r="H75" s="170">
        <f t="shared" si="0"/>
        <v>5.7449421295968932</v>
      </c>
      <c r="AA75" s="172">
        <f t="shared" si="1"/>
        <v>2021</v>
      </c>
      <c r="AB75" s="173" t="str">
        <f t="shared" si="2"/>
        <v>August</v>
      </c>
      <c r="AC75" s="174">
        <f t="shared" si="3"/>
        <v>8</v>
      </c>
      <c r="AD75" s="175">
        <f t="shared" si="4"/>
        <v>2021</v>
      </c>
      <c r="AE75" s="176">
        <f t="shared" si="5"/>
        <v>8</v>
      </c>
      <c r="AF75" s="177">
        <f t="shared" si="6"/>
        <v>44428</v>
      </c>
      <c r="AG75" s="178">
        <f t="shared" si="7"/>
        <v>44454</v>
      </c>
      <c r="AH75" s="179">
        <f t="shared" si="8"/>
        <v>-5.7449421295968932</v>
      </c>
    </row>
    <row r="76" spans="2:34" s="46" customFormat="1" ht="15">
      <c r="B76" s="165">
        <v>44439.808831018498</v>
      </c>
      <c r="C76" s="166">
        <v>758624</v>
      </c>
      <c r="D76" s="157">
        <v>44378</v>
      </c>
      <c r="E76" s="167">
        <v>141</v>
      </c>
      <c r="F76" s="168" t="s">
        <v>1644</v>
      </c>
      <c r="G76" s="169">
        <v>44423</v>
      </c>
      <c r="H76" s="170">
        <f t="shared" si="0"/>
        <v>16.808831018497585</v>
      </c>
      <c r="AA76" s="172">
        <f t="shared" si="1"/>
        <v>2021</v>
      </c>
      <c r="AB76" s="173" t="str">
        <f t="shared" si="2"/>
        <v>July</v>
      </c>
      <c r="AC76" s="174">
        <f t="shared" si="3"/>
        <v>7</v>
      </c>
      <c r="AD76" s="175">
        <f t="shared" si="4"/>
        <v>2021</v>
      </c>
      <c r="AE76" s="176">
        <f t="shared" si="5"/>
        <v>7</v>
      </c>
      <c r="AF76" s="177">
        <f t="shared" si="6"/>
        <v>44397</v>
      </c>
      <c r="AG76" s="178">
        <f t="shared" si="7"/>
        <v>44423</v>
      </c>
      <c r="AH76" s="179">
        <f t="shared" si="8"/>
        <v>-16.808831018497585</v>
      </c>
    </row>
    <row r="77" spans="2:34" s="46" customFormat="1" ht="15">
      <c r="B77" s="165">
        <v>44411.787812499999</v>
      </c>
      <c r="C77" s="166">
        <v>750782</v>
      </c>
      <c r="D77" s="157">
        <v>44348</v>
      </c>
      <c r="E77" s="167">
        <v>140</v>
      </c>
      <c r="F77" s="168" t="s">
        <v>1645</v>
      </c>
      <c r="G77" s="169">
        <v>44392</v>
      </c>
      <c r="H77" s="170">
        <f t="shared" si="0"/>
        <v>19.787812499998836</v>
      </c>
      <c r="AA77" s="172">
        <f t="shared" si="1"/>
        <v>2021</v>
      </c>
      <c r="AB77" s="173" t="str">
        <f t="shared" si="2"/>
        <v>June</v>
      </c>
      <c r="AC77" s="174">
        <f t="shared" si="3"/>
        <v>6</v>
      </c>
      <c r="AD77" s="175">
        <f t="shared" si="4"/>
        <v>2021</v>
      </c>
      <c r="AE77" s="176">
        <f t="shared" si="5"/>
        <v>6</v>
      </c>
      <c r="AF77" s="177">
        <f t="shared" si="6"/>
        <v>44367</v>
      </c>
      <c r="AG77" s="178">
        <f t="shared" si="7"/>
        <v>44392</v>
      </c>
      <c r="AH77" s="179">
        <f t="shared" si="8"/>
        <v>-19.787812499998836</v>
      </c>
    </row>
    <row r="78" spans="2:34" s="46" customFormat="1" ht="15">
      <c r="B78" s="165">
        <v>44386.147152777798</v>
      </c>
      <c r="C78" s="166">
        <v>726976</v>
      </c>
      <c r="D78" s="157">
        <v>44317</v>
      </c>
      <c r="E78" s="167">
        <v>144</v>
      </c>
      <c r="F78" s="168" t="s">
        <v>1646</v>
      </c>
      <c r="G78" s="169">
        <v>44362</v>
      </c>
      <c r="H78" s="170">
        <f t="shared" si="0"/>
        <v>24.147152777797601</v>
      </c>
      <c r="AA78" s="172">
        <f t="shared" si="1"/>
        <v>2021</v>
      </c>
      <c r="AB78" s="173" t="str">
        <f t="shared" si="2"/>
        <v>May</v>
      </c>
      <c r="AC78" s="174">
        <f t="shared" si="3"/>
        <v>5</v>
      </c>
      <c r="AD78" s="175">
        <f t="shared" si="4"/>
        <v>2021</v>
      </c>
      <c r="AE78" s="176">
        <f t="shared" si="5"/>
        <v>5</v>
      </c>
      <c r="AF78" s="177">
        <f t="shared" si="6"/>
        <v>44336</v>
      </c>
      <c r="AG78" s="178">
        <f t="shared" si="7"/>
        <v>44362</v>
      </c>
      <c r="AH78" s="179">
        <f t="shared" si="8"/>
        <v>-24.147152777797601</v>
      </c>
    </row>
    <row r="79" spans="2:34" s="46" customFormat="1" ht="15">
      <c r="B79" s="165">
        <v>44352.768067129597</v>
      </c>
      <c r="C79" s="166">
        <v>752462</v>
      </c>
      <c r="D79" s="157">
        <v>44287</v>
      </c>
      <c r="E79" s="167">
        <v>143</v>
      </c>
      <c r="F79" s="168" t="s">
        <v>1647</v>
      </c>
      <c r="G79" s="169">
        <v>44331</v>
      </c>
      <c r="H79" s="170">
        <f t="shared" si="0"/>
        <v>21.768067129596602</v>
      </c>
      <c r="AA79" s="172">
        <f t="shared" si="1"/>
        <v>2021</v>
      </c>
      <c r="AB79" s="173" t="str">
        <f t="shared" si="2"/>
        <v>April</v>
      </c>
      <c r="AC79" s="174">
        <f t="shared" si="3"/>
        <v>4</v>
      </c>
      <c r="AD79" s="175">
        <f t="shared" si="4"/>
        <v>2021</v>
      </c>
      <c r="AE79" s="176">
        <f t="shared" si="5"/>
        <v>4</v>
      </c>
      <c r="AF79" s="177">
        <f t="shared" si="6"/>
        <v>44306</v>
      </c>
      <c r="AG79" s="178">
        <f t="shared" si="7"/>
        <v>44331</v>
      </c>
      <c r="AH79" s="179">
        <f t="shared" si="8"/>
        <v>-21.768067129596602</v>
      </c>
    </row>
    <row r="80" spans="2:34" s="46" customFormat="1" ht="15">
      <c r="B80" s="165">
        <v>44302.292210648098</v>
      </c>
      <c r="C80" s="166">
        <v>747825</v>
      </c>
      <c r="D80" s="157">
        <v>44256</v>
      </c>
      <c r="E80" s="167">
        <v>138</v>
      </c>
      <c r="F80" s="168" t="s">
        <v>1648</v>
      </c>
      <c r="G80" s="169">
        <v>44301</v>
      </c>
      <c r="H80" s="170">
        <f t="shared" si="0"/>
        <v>1.292210648098262</v>
      </c>
      <c r="AA80" s="172">
        <f t="shared" si="1"/>
        <v>2021</v>
      </c>
      <c r="AB80" s="173" t="str">
        <f t="shared" si="2"/>
        <v>March</v>
      </c>
      <c r="AC80" s="174">
        <f t="shared" si="3"/>
        <v>3</v>
      </c>
      <c r="AD80" s="175">
        <f t="shared" si="4"/>
        <v>2021</v>
      </c>
      <c r="AE80" s="176">
        <f t="shared" si="5"/>
        <v>3</v>
      </c>
      <c r="AF80" s="177">
        <f t="shared" si="6"/>
        <v>44275</v>
      </c>
      <c r="AG80" s="178">
        <f t="shared" si="7"/>
        <v>44301</v>
      </c>
      <c r="AH80" s="179">
        <f t="shared" si="8"/>
        <v>-1.292210648098262</v>
      </c>
    </row>
    <row r="81" spans="2:34" s="46" customFormat="1" ht="15">
      <c r="B81" s="165">
        <v>44272.4828935185</v>
      </c>
      <c r="C81" s="166">
        <v>749254</v>
      </c>
      <c r="D81" s="157">
        <v>44228</v>
      </c>
      <c r="E81" s="167">
        <v>138</v>
      </c>
      <c r="F81" s="168" t="s">
        <v>1649</v>
      </c>
      <c r="G81" s="169">
        <v>44270</v>
      </c>
      <c r="H81" s="170">
        <f t="shared" si="0"/>
        <v>2.4828935184996226</v>
      </c>
      <c r="AA81" s="172">
        <f t="shared" si="1"/>
        <v>2021</v>
      </c>
      <c r="AB81" s="173" t="str">
        <f t="shared" si="2"/>
        <v>February</v>
      </c>
      <c r="AC81" s="174">
        <f t="shared" si="3"/>
        <v>2</v>
      </c>
      <c r="AD81" s="175">
        <f t="shared" si="4"/>
        <v>2021</v>
      </c>
      <c r="AE81" s="176">
        <f t="shared" si="5"/>
        <v>2</v>
      </c>
      <c r="AF81" s="177">
        <f t="shared" si="6"/>
        <v>44247</v>
      </c>
      <c r="AG81" s="178">
        <f t="shared" si="7"/>
        <v>44270</v>
      </c>
      <c r="AH81" s="179">
        <f t="shared" si="8"/>
        <v>-2.4828935184996226</v>
      </c>
    </row>
    <row r="82" spans="2:34" s="46" customFormat="1" ht="15">
      <c r="B82" s="165">
        <v>44457.732199074002</v>
      </c>
      <c r="C82" s="166">
        <v>156</v>
      </c>
      <c r="D82" s="157">
        <v>44228</v>
      </c>
      <c r="E82" s="167">
        <v>1</v>
      </c>
      <c r="F82" s="168" t="s">
        <v>1650</v>
      </c>
      <c r="G82" s="169">
        <v>44270</v>
      </c>
      <c r="H82" s="170">
        <f t="shared" si="0"/>
        <v>187.73219907400198</v>
      </c>
      <c r="AA82" s="172">
        <f t="shared" si="1"/>
        <v>2021</v>
      </c>
      <c r="AB82" s="173" t="str">
        <f t="shared" si="2"/>
        <v>February</v>
      </c>
      <c r="AC82" s="174">
        <f t="shared" si="3"/>
        <v>2</v>
      </c>
      <c r="AD82" s="175">
        <f t="shared" si="4"/>
        <v>2021</v>
      </c>
      <c r="AE82" s="176">
        <f t="shared" si="5"/>
        <v>2</v>
      </c>
      <c r="AF82" s="177">
        <f t="shared" si="6"/>
        <v>44247</v>
      </c>
      <c r="AG82" s="178">
        <f t="shared" si="7"/>
        <v>44270</v>
      </c>
      <c r="AH82" s="179">
        <f t="shared" si="8"/>
        <v>-187.73219907400198</v>
      </c>
    </row>
    <row r="83" spans="2:34" s="46" customFormat="1" ht="15">
      <c r="B83" s="165">
        <v>44243.548622685099</v>
      </c>
      <c r="C83" s="166">
        <v>538709</v>
      </c>
      <c r="D83" s="157">
        <v>44197</v>
      </c>
      <c r="E83" s="167">
        <v>136</v>
      </c>
      <c r="F83" s="168" t="s">
        <v>1651</v>
      </c>
      <c r="G83" s="169">
        <v>44242</v>
      </c>
      <c r="H83" s="170">
        <f t="shared" si="0"/>
        <v>1.5486226850989624</v>
      </c>
      <c r="AA83" s="172">
        <f t="shared" si="1"/>
        <v>2021</v>
      </c>
      <c r="AB83" s="173" t="str">
        <f t="shared" si="2"/>
        <v>January</v>
      </c>
      <c r="AC83" s="174">
        <f t="shared" si="3"/>
        <v>1</v>
      </c>
      <c r="AD83" s="175">
        <f t="shared" si="4"/>
        <v>2021</v>
      </c>
      <c r="AE83" s="176">
        <f t="shared" si="5"/>
        <v>1</v>
      </c>
      <c r="AF83" s="177">
        <f t="shared" si="6"/>
        <v>44216</v>
      </c>
      <c r="AG83" s="178">
        <f t="shared" si="7"/>
        <v>44242</v>
      </c>
      <c r="AH83" s="179">
        <f t="shared" si="8"/>
        <v>-1.5486226850989624</v>
      </c>
    </row>
    <row r="84" spans="2:34" s="46" customFormat="1" ht="15">
      <c r="B84" s="165">
        <v>44275.711018518501</v>
      </c>
      <c r="C84" s="166">
        <v>198305</v>
      </c>
      <c r="D84" s="157">
        <v>44197</v>
      </c>
      <c r="E84" s="167">
        <v>48</v>
      </c>
      <c r="F84" s="168" t="s">
        <v>1652</v>
      </c>
      <c r="G84" s="169">
        <v>44242</v>
      </c>
      <c r="H84" s="170">
        <f t="shared" si="0"/>
        <v>33.711018518501078</v>
      </c>
      <c r="AA84" s="172">
        <f t="shared" si="1"/>
        <v>2021</v>
      </c>
      <c r="AB84" s="173" t="str">
        <f t="shared" si="2"/>
        <v>January</v>
      </c>
      <c r="AC84" s="174">
        <f t="shared" si="3"/>
        <v>1</v>
      </c>
      <c r="AD84" s="175">
        <f t="shared" si="4"/>
        <v>2021</v>
      </c>
      <c r="AE84" s="176">
        <f t="shared" si="5"/>
        <v>1</v>
      </c>
      <c r="AF84" s="177">
        <f t="shared" si="6"/>
        <v>44216</v>
      </c>
      <c r="AG84" s="178">
        <f t="shared" si="7"/>
        <v>44242</v>
      </c>
      <c r="AH84" s="179">
        <f t="shared" si="8"/>
        <v>-33.711018518501078</v>
      </c>
    </row>
    <row r="85" spans="2:34" s="46" customFormat="1" ht="15">
      <c r="B85" s="165">
        <v>44457.730138888903</v>
      </c>
      <c r="C85" s="166">
        <v>142</v>
      </c>
      <c r="D85" s="157">
        <v>44197</v>
      </c>
      <c r="E85" s="167">
        <v>1</v>
      </c>
      <c r="F85" s="168" t="s">
        <v>1653</v>
      </c>
      <c r="G85" s="169">
        <v>44242</v>
      </c>
      <c r="H85" s="170">
        <f t="shared" si="0"/>
        <v>215.73013888890273</v>
      </c>
      <c r="AA85" s="172">
        <f t="shared" si="1"/>
        <v>2021</v>
      </c>
      <c r="AB85" s="173" t="str">
        <f t="shared" si="2"/>
        <v>January</v>
      </c>
      <c r="AC85" s="174">
        <f t="shared" si="3"/>
        <v>1</v>
      </c>
      <c r="AD85" s="175">
        <f t="shared" si="4"/>
        <v>2021</v>
      </c>
      <c r="AE85" s="176">
        <f t="shared" si="5"/>
        <v>1</v>
      </c>
      <c r="AF85" s="177">
        <f t="shared" si="6"/>
        <v>44216</v>
      </c>
      <c r="AG85" s="178">
        <f t="shared" si="7"/>
        <v>44242</v>
      </c>
      <c r="AH85" s="179">
        <f t="shared" si="8"/>
        <v>-215.73013888890273</v>
      </c>
    </row>
    <row r="86" spans="2:34" s="46" customFormat="1" ht="15">
      <c r="B86" s="165">
        <v>44212.544513888897</v>
      </c>
      <c r="C86" s="166">
        <v>533843</v>
      </c>
      <c r="D86" s="157">
        <v>44166</v>
      </c>
      <c r="E86" s="167">
        <v>136</v>
      </c>
      <c r="F86" s="168" t="s">
        <v>1654</v>
      </c>
      <c r="G86" s="169">
        <v>44211</v>
      </c>
      <c r="H86" s="170">
        <f t="shared" si="0"/>
        <v>1.5445138888971996</v>
      </c>
      <c r="AA86" s="172">
        <f t="shared" si="1"/>
        <v>2020</v>
      </c>
      <c r="AB86" s="173" t="str">
        <f t="shared" si="2"/>
        <v>December</v>
      </c>
      <c r="AC86" s="174">
        <f t="shared" si="3"/>
        <v>12</v>
      </c>
      <c r="AD86" s="175">
        <f t="shared" si="4"/>
        <v>2020</v>
      </c>
      <c r="AE86" s="176">
        <f t="shared" si="5"/>
        <v>12</v>
      </c>
      <c r="AF86" s="177">
        <f t="shared" si="6"/>
        <v>44185</v>
      </c>
      <c r="AG86" s="178">
        <f t="shared" si="7"/>
        <v>44211</v>
      </c>
      <c r="AH86" s="179">
        <f t="shared" si="8"/>
        <v>-1.5445138888971996</v>
      </c>
    </row>
    <row r="87" spans="2:34" s="46" customFormat="1" ht="15">
      <c r="B87" s="165">
        <v>44413.712569444397</v>
      </c>
      <c r="C87" s="166">
        <v>26</v>
      </c>
      <c r="D87" s="157">
        <v>44166</v>
      </c>
      <c r="E87" s="167">
        <v>1</v>
      </c>
      <c r="F87" s="168" t="s">
        <v>1655</v>
      </c>
      <c r="G87" s="169">
        <v>44211</v>
      </c>
      <c r="H87" s="170">
        <f t="shared" si="0"/>
        <v>202.71256944439665</v>
      </c>
      <c r="AA87" s="172">
        <f t="shared" si="1"/>
        <v>2020</v>
      </c>
      <c r="AB87" s="173" t="str">
        <f t="shared" si="2"/>
        <v>December</v>
      </c>
      <c r="AC87" s="174">
        <f t="shared" si="3"/>
        <v>12</v>
      </c>
      <c r="AD87" s="175">
        <f t="shared" si="4"/>
        <v>2020</v>
      </c>
      <c r="AE87" s="176">
        <f t="shared" si="5"/>
        <v>12</v>
      </c>
      <c r="AF87" s="177">
        <f t="shared" si="6"/>
        <v>44185</v>
      </c>
      <c r="AG87" s="178">
        <f t="shared" si="7"/>
        <v>44211</v>
      </c>
      <c r="AH87" s="179">
        <f t="shared" si="8"/>
        <v>-202.71256944439665</v>
      </c>
    </row>
    <row r="88" spans="2:34" s="46" customFormat="1" ht="15">
      <c r="B88" s="165">
        <v>44180.692627314798</v>
      </c>
      <c r="C88" s="166">
        <v>529143</v>
      </c>
      <c r="D88" s="157">
        <v>44136</v>
      </c>
      <c r="E88" s="167">
        <v>136</v>
      </c>
      <c r="F88" s="168" t="s">
        <v>1656</v>
      </c>
      <c r="G88" s="169">
        <v>44180</v>
      </c>
      <c r="H88" s="170">
        <f t="shared" si="0"/>
        <v>0.69262731479830109</v>
      </c>
      <c r="AA88" s="172">
        <f t="shared" si="1"/>
        <v>2020</v>
      </c>
      <c r="AB88" s="173" t="str">
        <f t="shared" si="2"/>
        <v>November</v>
      </c>
      <c r="AC88" s="174">
        <f t="shared" si="3"/>
        <v>11</v>
      </c>
      <c r="AD88" s="175">
        <f t="shared" si="4"/>
        <v>2020</v>
      </c>
      <c r="AE88" s="176">
        <f t="shared" si="5"/>
        <v>11</v>
      </c>
      <c r="AF88" s="177">
        <f t="shared" si="6"/>
        <v>44155</v>
      </c>
      <c r="AG88" s="178">
        <f t="shared" si="7"/>
        <v>44180</v>
      </c>
      <c r="AH88" s="179">
        <f t="shared" si="8"/>
        <v>-0.69262731479830109</v>
      </c>
    </row>
    <row r="89" spans="2:34" s="46" customFormat="1" ht="15">
      <c r="B89" s="165">
        <v>44413.6809027778</v>
      </c>
      <c r="C89" s="166">
        <v>26</v>
      </c>
      <c r="D89" s="157">
        <v>44136</v>
      </c>
      <c r="E89" s="167">
        <v>1</v>
      </c>
      <c r="F89" s="168" t="s">
        <v>1657</v>
      </c>
      <c r="G89" s="169">
        <v>44180</v>
      </c>
      <c r="H89" s="170">
        <f t="shared" si="0"/>
        <v>233.68090277779993</v>
      </c>
      <c r="AA89" s="172">
        <f t="shared" si="1"/>
        <v>2020</v>
      </c>
      <c r="AB89" s="173" t="str">
        <f t="shared" si="2"/>
        <v>November</v>
      </c>
      <c r="AC89" s="174">
        <f t="shared" si="3"/>
        <v>11</v>
      </c>
      <c r="AD89" s="175">
        <f t="shared" si="4"/>
        <v>2020</v>
      </c>
      <c r="AE89" s="176">
        <f t="shared" si="5"/>
        <v>11</v>
      </c>
      <c r="AF89" s="177">
        <f t="shared" si="6"/>
        <v>44155</v>
      </c>
      <c r="AG89" s="178">
        <f t="shared" si="7"/>
        <v>44180</v>
      </c>
      <c r="AH89" s="179">
        <f t="shared" si="8"/>
        <v>-233.68090277779993</v>
      </c>
    </row>
    <row r="90" spans="2:34" s="46" customFormat="1" ht="15">
      <c r="B90" s="165">
        <v>44149.160162036998</v>
      </c>
      <c r="C90" s="166">
        <v>517535</v>
      </c>
      <c r="D90" s="157">
        <v>44105</v>
      </c>
      <c r="E90" s="167">
        <v>127</v>
      </c>
      <c r="F90" s="168" t="s">
        <v>1658</v>
      </c>
      <c r="G90" s="169">
        <v>44150</v>
      </c>
      <c r="H90" s="170">
        <f t="shared" si="0"/>
        <v>0</v>
      </c>
      <c r="AA90" s="172">
        <f t="shared" si="1"/>
        <v>2020</v>
      </c>
      <c r="AB90" s="173" t="str">
        <f t="shared" si="2"/>
        <v>October</v>
      </c>
      <c r="AC90" s="174">
        <f t="shared" si="3"/>
        <v>10</v>
      </c>
      <c r="AD90" s="175">
        <f t="shared" si="4"/>
        <v>2020</v>
      </c>
      <c r="AE90" s="176">
        <f t="shared" si="5"/>
        <v>10</v>
      </c>
      <c r="AF90" s="177">
        <f t="shared" si="6"/>
        <v>44124</v>
      </c>
      <c r="AG90" s="178">
        <f t="shared" si="7"/>
        <v>44150</v>
      </c>
      <c r="AH90" s="179">
        <f t="shared" si="8"/>
        <v>0.83983796300162794</v>
      </c>
    </row>
    <row r="91" spans="2:34" s="46" customFormat="1" ht="15">
      <c r="B91" s="165">
        <v>44412.695092592599</v>
      </c>
      <c r="C91" s="166">
        <v>26</v>
      </c>
      <c r="D91" s="157">
        <v>44105</v>
      </c>
      <c r="E91" s="167">
        <v>1</v>
      </c>
      <c r="F91" s="168" t="s">
        <v>1659</v>
      </c>
      <c r="G91" s="169">
        <v>44150</v>
      </c>
      <c r="H91" s="170">
        <f t="shared" si="0"/>
        <v>262.69509259259939</v>
      </c>
      <c r="AA91" s="172">
        <f t="shared" si="1"/>
        <v>2020</v>
      </c>
      <c r="AB91" s="173" t="str">
        <f t="shared" si="2"/>
        <v>October</v>
      </c>
      <c r="AC91" s="174">
        <f t="shared" si="3"/>
        <v>10</v>
      </c>
      <c r="AD91" s="175">
        <f t="shared" si="4"/>
        <v>2020</v>
      </c>
      <c r="AE91" s="176">
        <f t="shared" si="5"/>
        <v>10</v>
      </c>
      <c r="AF91" s="177">
        <f t="shared" si="6"/>
        <v>44124</v>
      </c>
      <c r="AG91" s="178">
        <f t="shared" si="7"/>
        <v>44150</v>
      </c>
      <c r="AH91" s="179">
        <f t="shared" si="8"/>
        <v>-262.69509259259939</v>
      </c>
    </row>
    <row r="92" spans="2:34" s="46" customFormat="1" ht="15">
      <c r="B92" s="165">
        <v>44119.646736111099</v>
      </c>
      <c r="C92" s="166">
        <v>494795</v>
      </c>
      <c r="D92" s="157">
        <v>44075</v>
      </c>
      <c r="E92" s="167">
        <v>121</v>
      </c>
      <c r="F92" s="168" t="s">
        <v>1660</v>
      </c>
      <c r="G92" s="169">
        <v>44119</v>
      </c>
      <c r="H92" s="170">
        <f t="shared" si="0"/>
        <v>0.64673611109901685</v>
      </c>
      <c r="AA92" s="172">
        <f t="shared" si="1"/>
        <v>2020</v>
      </c>
      <c r="AB92" s="173" t="str">
        <f t="shared" si="2"/>
        <v>September</v>
      </c>
      <c r="AC92" s="174">
        <f t="shared" si="3"/>
        <v>9</v>
      </c>
      <c r="AD92" s="175">
        <f t="shared" si="4"/>
        <v>2020</v>
      </c>
      <c r="AE92" s="176">
        <f t="shared" si="5"/>
        <v>9</v>
      </c>
      <c r="AF92" s="177">
        <f t="shared" si="6"/>
        <v>44094</v>
      </c>
      <c r="AG92" s="178">
        <f t="shared" si="7"/>
        <v>44119</v>
      </c>
      <c r="AH92" s="179">
        <f t="shared" si="8"/>
        <v>-0.64673611109901685</v>
      </c>
    </row>
    <row r="93" spans="2:34" s="46" customFormat="1" ht="15">
      <c r="B93" s="165">
        <v>44090.835428240702</v>
      </c>
      <c r="C93" s="166">
        <v>578314</v>
      </c>
      <c r="D93" s="157">
        <v>44044</v>
      </c>
      <c r="E93" s="167">
        <v>120</v>
      </c>
      <c r="F93" s="168" t="s">
        <v>1661</v>
      </c>
      <c r="G93" s="169">
        <v>44089</v>
      </c>
      <c r="H93" s="170">
        <f t="shared" si="0"/>
        <v>1.8354282407017308</v>
      </c>
      <c r="AA93" s="172">
        <f t="shared" si="1"/>
        <v>2020</v>
      </c>
      <c r="AB93" s="173" t="str">
        <f t="shared" si="2"/>
        <v>August</v>
      </c>
      <c r="AC93" s="174">
        <f t="shared" si="3"/>
        <v>8</v>
      </c>
      <c r="AD93" s="175">
        <f t="shared" si="4"/>
        <v>2020</v>
      </c>
      <c r="AE93" s="176">
        <f t="shared" si="5"/>
        <v>8</v>
      </c>
      <c r="AF93" s="177">
        <f t="shared" si="6"/>
        <v>44063</v>
      </c>
      <c r="AG93" s="178">
        <f t="shared" si="7"/>
        <v>44089</v>
      </c>
      <c r="AH93" s="179">
        <f t="shared" si="8"/>
        <v>-1.8354282407017308</v>
      </c>
    </row>
    <row r="94" spans="2:34" s="46" customFormat="1" ht="15">
      <c r="B94" s="165">
        <v>44067.937569444402</v>
      </c>
      <c r="C94" s="166">
        <v>399549</v>
      </c>
      <c r="D94" s="157">
        <v>44013</v>
      </c>
      <c r="E94" s="167">
        <v>116</v>
      </c>
      <c r="F94" s="168" t="s">
        <v>1662</v>
      </c>
      <c r="G94" s="169">
        <v>44058</v>
      </c>
      <c r="H94" s="170">
        <f t="shared" si="0"/>
        <v>9.9375694444024703</v>
      </c>
      <c r="AA94" s="172">
        <f t="shared" si="1"/>
        <v>2020</v>
      </c>
      <c r="AB94" s="173" t="str">
        <f t="shared" si="2"/>
        <v>July</v>
      </c>
      <c r="AC94" s="174">
        <f t="shared" si="3"/>
        <v>7</v>
      </c>
      <c r="AD94" s="175">
        <f t="shared" si="4"/>
        <v>2020</v>
      </c>
      <c r="AE94" s="176">
        <f t="shared" si="5"/>
        <v>7</v>
      </c>
      <c r="AF94" s="177">
        <f t="shared" si="6"/>
        <v>44032</v>
      </c>
      <c r="AG94" s="178">
        <f t="shared" si="7"/>
        <v>44058</v>
      </c>
      <c r="AH94" s="179">
        <f t="shared" si="8"/>
        <v>-9.9375694444024703</v>
      </c>
    </row>
    <row r="95" spans="2:34" s="46" customFormat="1" ht="15">
      <c r="B95" s="165">
        <v>44027.790775463</v>
      </c>
      <c r="C95" s="166">
        <v>368595</v>
      </c>
      <c r="D95" s="157">
        <v>43983</v>
      </c>
      <c r="E95" s="167">
        <v>112</v>
      </c>
      <c r="F95" s="168" t="s">
        <v>1663</v>
      </c>
      <c r="G95" s="169">
        <v>44027</v>
      </c>
      <c r="H95" s="170">
        <f t="shared" si="0"/>
        <v>0.79077546299959067</v>
      </c>
      <c r="AA95" s="172">
        <f t="shared" si="1"/>
        <v>2020</v>
      </c>
      <c r="AB95" s="173" t="str">
        <f t="shared" si="2"/>
        <v>June</v>
      </c>
      <c r="AC95" s="174">
        <f t="shared" si="3"/>
        <v>6</v>
      </c>
      <c r="AD95" s="175">
        <f t="shared" si="4"/>
        <v>2020</v>
      </c>
      <c r="AE95" s="176">
        <f t="shared" si="5"/>
        <v>6</v>
      </c>
      <c r="AF95" s="177">
        <f t="shared" si="6"/>
        <v>44002</v>
      </c>
      <c r="AG95" s="178">
        <f t="shared" si="7"/>
        <v>44027</v>
      </c>
      <c r="AH95" s="179">
        <f t="shared" si="8"/>
        <v>-0.79077546299959067</v>
      </c>
    </row>
    <row r="96" spans="2:34" s="46" customFormat="1" ht="15">
      <c r="B96" s="165">
        <v>43997.748263888898</v>
      </c>
      <c r="C96" s="166">
        <v>345890</v>
      </c>
      <c r="D96" s="157">
        <v>43952</v>
      </c>
      <c r="E96" s="167">
        <v>114</v>
      </c>
      <c r="F96" s="168" t="s">
        <v>1664</v>
      </c>
      <c r="G96" s="169">
        <v>43997</v>
      </c>
      <c r="H96" s="170">
        <f t="shared" si="0"/>
        <v>0.74826388889778173</v>
      </c>
      <c r="AA96" s="172">
        <f t="shared" si="1"/>
        <v>2020</v>
      </c>
      <c r="AB96" s="173" t="str">
        <f t="shared" si="2"/>
        <v>May</v>
      </c>
      <c r="AC96" s="174">
        <f t="shared" si="3"/>
        <v>5</v>
      </c>
      <c r="AD96" s="175">
        <f t="shared" si="4"/>
        <v>2020</v>
      </c>
      <c r="AE96" s="176">
        <f t="shared" si="5"/>
        <v>5</v>
      </c>
      <c r="AF96" s="177">
        <f t="shared" si="6"/>
        <v>43971</v>
      </c>
      <c r="AG96" s="178">
        <f t="shared" si="7"/>
        <v>43997</v>
      </c>
      <c r="AH96" s="179">
        <f t="shared" si="8"/>
        <v>-0.74826388889778173</v>
      </c>
    </row>
    <row r="97" spans="2:34" s="46" customFormat="1" ht="15">
      <c r="B97" s="165">
        <v>43966.474791666697</v>
      </c>
      <c r="C97" s="166">
        <v>439870</v>
      </c>
      <c r="D97" s="157">
        <v>43922</v>
      </c>
      <c r="E97" s="167">
        <v>114</v>
      </c>
      <c r="F97" s="168" t="s">
        <v>1665</v>
      </c>
      <c r="G97" s="169">
        <v>43966</v>
      </c>
      <c r="H97" s="170">
        <f t="shared" si="0"/>
        <v>0.4747916666965466</v>
      </c>
      <c r="AA97" s="172">
        <f t="shared" si="1"/>
        <v>2020</v>
      </c>
      <c r="AB97" s="173" t="str">
        <f t="shared" si="2"/>
        <v>April</v>
      </c>
      <c r="AC97" s="174">
        <f t="shared" si="3"/>
        <v>4</v>
      </c>
      <c r="AD97" s="175">
        <f t="shared" si="4"/>
        <v>2020</v>
      </c>
      <c r="AE97" s="176">
        <f t="shared" si="5"/>
        <v>4</v>
      </c>
      <c r="AF97" s="177">
        <f t="shared" si="6"/>
        <v>43941</v>
      </c>
      <c r="AG97" s="178">
        <f t="shared" si="7"/>
        <v>43966</v>
      </c>
      <c r="AH97" s="179">
        <f t="shared" si="8"/>
        <v>-0.4747916666965466</v>
      </c>
    </row>
    <row r="98" spans="2:34" s="46" customFormat="1" ht="15">
      <c r="B98" s="165">
        <v>43934.660914351902</v>
      </c>
      <c r="C98" s="166">
        <v>461114</v>
      </c>
      <c r="D98" s="157">
        <v>43891</v>
      </c>
      <c r="E98" s="167">
        <v>115</v>
      </c>
      <c r="F98" s="168" t="s">
        <v>1666</v>
      </c>
      <c r="G98" s="169">
        <v>43936</v>
      </c>
      <c r="H98" s="170">
        <f t="shared" si="0"/>
        <v>0</v>
      </c>
      <c r="AA98" s="172">
        <f t="shared" si="1"/>
        <v>2020</v>
      </c>
      <c r="AB98" s="173" t="str">
        <f t="shared" si="2"/>
        <v>March</v>
      </c>
      <c r="AC98" s="174">
        <f t="shared" si="3"/>
        <v>3</v>
      </c>
      <c r="AD98" s="175">
        <f t="shared" si="4"/>
        <v>2020</v>
      </c>
      <c r="AE98" s="176">
        <f t="shared" si="5"/>
        <v>3</v>
      </c>
      <c r="AF98" s="177">
        <f t="shared" si="6"/>
        <v>43910</v>
      </c>
      <c r="AG98" s="178">
        <f t="shared" si="7"/>
        <v>43936</v>
      </c>
      <c r="AH98" s="179">
        <f t="shared" si="8"/>
        <v>1.339085648098262</v>
      </c>
    </row>
    <row r="99" spans="2:34" s="46" customFormat="1" ht="15">
      <c r="B99" s="165">
        <v>43903.886134259199</v>
      </c>
      <c r="C99" s="166">
        <v>462043</v>
      </c>
      <c r="D99" s="157">
        <v>43862</v>
      </c>
      <c r="E99" s="167">
        <v>114</v>
      </c>
      <c r="F99" s="168" t="s">
        <v>1667</v>
      </c>
      <c r="G99" s="169">
        <v>43905</v>
      </c>
      <c r="H99" s="170">
        <f t="shared" si="0"/>
        <v>0</v>
      </c>
      <c r="AA99" s="172">
        <f t="shared" si="1"/>
        <v>2020</v>
      </c>
      <c r="AB99" s="173" t="str">
        <f t="shared" si="2"/>
        <v>February</v>
      </c>
      <c r="AC99" s="174">
        <f t="shared" si="3"/>
        <v>2</v>
      </c>
      <c r="AD99" s="175">
        <f t="shared" si="4"/>
        <v>2020</v>
      </c>
      <c r="AE99" s="176">
        <f t="shared" si="5"/>
        <v>2</v>
      </c>
      <c r="AF99" s="177">
        <f t="shared" si="6"/>
        <v>43881</v>
      </c>
      <c r="AG99" s="178">
        <f t="shared" si="7"/>
        <v>43905</v>
      </c>
      <c r="AH99" s="179">
        <f t="shared" si="8"/>
        <v>1.1138657408009749</v>
      </c>
    </row>
    <row r="100" spans="2:34" s="46" customFormat="1" ht="15">
      <c r="B100" s="165">
        <v>43876.670266203699</v>
      </c>
      <c r="C100" s="166">
        <v>454201</v>
      </c>
      <c r="D100" s="157">
        <v>43831</v>
      </c>
      <c r="E100" s="167">
        <v>111</v>
      </c>
      <c r="F100" s="168" t="s">
        <v>1668</v>
      </c>
      <c r="G100" s="169">
        <v>43876</v>
      </c>
      <c r="H100" s="170">
        <f t="shared" si="0"/>
        <v>0.67026620369870216</v>
      </c>
      <c r="AA100" s="172">
        <f t="shared" si="1"/>
        <v>2020</v>
      </c>
      <c r="AB100" s="173" t="str">
        <f t="shared" si="2"/>
        <v>January</v>
      </c>
      <c r="AC100" s="174">
        <f t="shared" si="3"/>
        <v>1</v>
      </c>
      <c r="AD100" s="175">
        <f t="shared" si="4"/>
        <v>2020</v>
      </c>
      <c r="AE100" s="176">
        <f t="shared" si="5"/>
        <v>1</v>
      </c>
      <c r="AF100" s="177">
        <f t="shared" si="6"/>
        <v>43850</v>
      </c>
      <c r="AG100" s="178">
        <f t="shared" si="7"/>
        <v>43876</v>
      </c>
      <c r="AH100" s="179">
        <f t="shared" si="8"/>
        <v>-0.67026620369870216</v>
      </c>
    </row>
    <row r="101" spans="2:34" s="46" customFormat="1" ht="15">
      <c r="B101" s="165">
        <v>43844.780231481403</v>
      </c>
      <c r="C101" s="166">
        <v>461570</v>
      </c>
      <c r="D101" s="157">
        <v>43800</v>
      </c>
      <c r="E101" s="167">
        <v>111</v>
      </c>
      <c r="F101" s="168" t="s">
        <v>1669</v>
      </c>
      <c r="G101" s="169">
        <v>43845</v>
      </c>
      <c r="H101" s="170">
        <f t="shared" si="0"/>
        <v>0</v>
      </c>
      <c r="AA101" s="172">
        <f t="shared" si="1"/>
        <v>2019</v>
      </c>
      <c r="AB101" s="173" t="str">
        <f t="shared" si="2"/>
        <v>December</v>
      </c>
      <c r="AC101" s="174">
        <f t="shared" si="3"/>
        <v>12</v>
      </c>
      <c r="AD101" s="175">
        <f t="shared" si="4"/>
        <v>2019</v>
      </c>
      <c r="AE101" s="176">
        <f t="shared" si="5"/>
        <v>12</v>
      </c>
      <c r="AF101" s="177">
        <f t="shared" si="6"/>
        <v>43819</v>
      </c>
      <c r="AG101" s="178">
        <f t="shared" si="7"/>
        <v>43845</v>
      </c>
      <c r="AH101" s="179">
        <f t="shared" si="8"/>
        <v>0.21976851859653834</v>
      </c>
    </row>
    <row r="102" spans="2:34" s="46" customFormat="1" ht="15">
      <c r="B102" s="165">
        <v>43823.684953703698</v>
      </c>
      <c r="C102" s="166">
        <v>462781</v>
      </c>
      <c r="D102" s="157">
        <v>43770</v>
      </c>
      <c r="E102" s="167">
        <v>112</v>
      </c>
      <c r="F102" s="168" t="s">
        <v>1670</v>
      </c>
      <c r="G102" s="169">
        <v>43814</v>
      </c>
      <c r="H102" s="170">
        <f t="shared" si="0"/>
        <v>9.684953703697829</v>
      </c>
      <c r="AA102" s="172">
        <f t="shared" si="1"/>
        <v>2019</v>
      </c>
      <c r="AB102" s="173" t="str">
        <f t="shared" si="2"/>
        <v>November</v>
      </c>
      <c r="AC102" s="174">
        <f t="shared" si="3"/>
        <v>11</v>
      </c>
      <c r="AD102" s="175">
        <f t="shared" si="4"/>
        <v>2019</v>
      </c>
      <c r="AE102" s="176">
        <f t="shared" si="5"/>
        <v>11</v>
      </c>
      <c r="AF102" s="177">
        <f t="shared" si="6"/>
        <v>43789</v>
      </c>
      <c r="AG102" s="178">
        <f t="shared" si="7"/>
        <v>43814</v>
      </c>
      <c r="AH102" s="179">
        <f t="shared" si="8"/>
        <v>-9.684953703697829</v>
      </c>
    </row>
    <row r="103" spans="2:34" s="46" customFormat="1" ht="15">
      <c r="B103" s="165">
        <v>43784.567789351902</v>
      </c>
      <c r="C103" s="166">
        <v>454698</v>
      </c>
      <c r="D103" s="157">
        <v>43739</v>
      </c>
      <c r="E103" s="167">
        <v>111</v>
      </c>
      <c r="F103" s="168" t="s">
        <v>1671</v>
      </c>
      <c r="G103" s="169">
        <v>43784</v>
      </c>
      <c r="H103" s="170">
        <f t="shared" si="0"/>
        <v>0.56778935190232005</v>
      </c>
      <c r="AA103" s="172">
        <f t="shared" si="1"/>
        <v>2019</v>
      </c>
      <c r="AB103" s="173" t="str">
        <f t="shared" si="2"/>
        <v>October</v>
      </c>
      <c r="AC103" s="174">
        <f t="shared" si="3"/>
        <v>10</v>
      </c>
      <c r="AD103" s="175">
        <f t="shared" si="4"/>
        <v>2019</v>
      </c>
      <c r="AE103" s="176">
        <f t="shared" si="5"/>
        <v>10</v>
      </c>
      <c r="AF103" s="177">
        <f t="shared" si="6"/>
        <v>43758</v>
      </c>
      <c r="AG103" s="178">
        <f t="shared" si="7"/>
        <v>43784</v>
      </c>
      <c r="AH103" s="179">
        <f t="shared" si="8"/>
        <v>-0.56778935190232005</v>
      </c>
    </row>
    <row r="104" spans="2:34" s="46" customFormat="1" ht="15">
      <c r="B104" s="165">
        <v>43755.191006944398</v>
      </c>
      <c r="C104" s="166">
        <v>452000</v>
      </c>
      <c r="D104" s="157">
        <v>43709</v>
      </c>
      <c r="E104" s="167">
        <v>111</v>
      </c>
      <c r="F104" s="168" t="s">
        <v>1672</v>
      </c>
      <c r="G104" s="169">
        <v>43753</v>
      </c>
      <c r="H104" s="170">
        <f t="shared" si="0"/>
        <v>2.1910069443983957</v>
      </c>
      <c r="AA104" s="172">
        <f t="shared" si="1"/>
        <v>2019</v>
      </c>
      <c r="AB104" s="173" t="str">
        <f t="shared" si="2"/>
        <v>September</v>
      </c>
      <c r="AC104" s="174">
        <f t="shared" si="3"/>
        <v>9</v>
      </c>
      <c r="AD104" s="175">
        <f t="shared" si="4"/>
        <v>2019</v>
      </c>
      <c r="AE104" s="176">
        <f t="shared" si="5"/>
        <v>9</v>
      </c>
      <c r="AF104" s="177">
        <f t="shared" si="6"/>
        <v>43728</v>
      </c>
      <c r="AG104" s="178">
        <f t="shared" si="7"/>
        <v>43753</v>
      </c>
      <c r="AH104" s="179">
        <f t="shared" si="8"/>
        <v>-2.1910069443983957</v>
      </c>
    </row>
    <row r="105" spans="2:34" s="46" customFormat="1" ht="15">
      <c r="B105" s="165">
        <v>43741.542800925898</v>
      </c>
      <c r="C105" s="166">
        <v>442730</v>
      </c>
      <c r="D105" s="157">
        <v>43678</v>
      </c>
      <c r="E105" s="167">
        <v>105</v>
      </c>
      <c r="F105" s="168" t="s">
        <v>1673</v>
      </c>
      <c r="G105" s="169">
        <v>43723</v>
      </c>
      <c r="H105" s="170">
        <f t="shared" si="0"/>
        <v>18.542800925897609</v>
      </c>
      <c r="AA105" s="172">
        <f t="shared" si="1"/>
        <v>2019</v>
      </c>
      <c r="AB105" s="173" t="str">
        <f t="shared" si="2"/>
        <v>August</v>
      </c>
      <c r="AC105" s="174">
        <f t="shared" si="3"/>
        <v>8</v>
      </c>
      <c r="AD105" s="175">
        <f t="shared" si="4"/>
        <v>2019</v>
      </c>
      <c r="AE105" s="176">
        <f t="shared" si="5"/>
        <v>8</v>
      </c>
      <c r="AF105" s="177">
        <f t="shared" si="6"/>
        <v>43697</v>
      </c>
      <c r="AG105" s="178">
        <f t="shared" si="7"/>
        <v>43723</v>
      </c>
      <c r="AH105" s="179">
        <f t="shared" si="8"/>
        <v>-18.542800925897609</v>
      </c>
    </row>
    <row r="106" spans="2:34" s="46" customFormat="1" ht="15">
      <c r="B106" s="165">
        <v>43711.5304861111</v>
      </c>
      <c r="C106" s="166">
        <v>446330</v>
      </c>
      <c r="D106" s="157">
        <v>43647</v>
      </c>
      <c r="E106" s="167">
        <v>107</v>
      </c>
      <c r="F106" s="168" t="s">
        <v>1674</v>
      </c>
      <c r="G106" s="169">
        <v>43692</v>
      </c>
      <c r="H106" s="170">
        <f t="shared" si="0"/>
        <v>19.53048611109989</v>
      </c>
      <c r="AA106" s="172">
        <f t="shared" si="1"/>
        <v>2019</v>
      </c>
      <c r="AB106" s="173" t="str">
        <f t="shared" si="2"/>
        <v>July</v>
      </c>
      <c r="AC106" s="174">
        <f t="shared" si="3"/>
        <v>7</v>
      </c>
      <c r="AD106" s="175">
        <f t="shared" si="4"/>
        <v>2019</v>
      </c>
      <c r="AE106" s="176">
        <f t="shared" si="5"/>
        <v>7</v>
      </c>
      <c r="AF106" s="177">
        <f t="shared" si="6"/>
        <v>43666</v>
      </c>
      <c r="AG106" s="178">
        <f t="shared" si="7"/>
        <v>43692</v>
      </c>
      <c r="AH106" s="179">
        <f t="shared" si="8"/>
        <v>-19.53048611109989</v>
      </c>
    </row>
    <row r="107" spans="2:34" s="46" customFormat="1" ht="15">
      <c r="B107" s="165">
        <v>43661.7727199074</v>
      </c>
      <c r="C107" s="166">
        <v>428962</v>
      </c>
      <c r="D107" s="157">
        <v>43617</v>
      </c>
      <c r="E107" s="167">
        <v>105</v>
      </c>
      <c r="F107" s="168" t="s">
        <v>1675</v>
      </c>
      <c r="G107" s="169">
        <v>43661</v>
      </c>
      <c r="H107" s="170">
        <f t="shared" si="0"/>
        <v>0.77271990739973262</v>
      </c>
      <c r="AA107" s="172">
        <f t="shared" si="1"/>
        <v>2019</v>
      </c>
      <c r="AB107" s="173" t="str">
        <f t="shared" si="2"/>
        <v>June</v>
      </c>
      <c r="AC107" s="174">
        <f t="shared" si="3"/>
        <v>6</v>
      </c>
      <c r="AD107" s="175">
        <f t="shared" si="4"/>
        <v>2019</v>
      </c>
      <c r="AE107" s="176">
        <f t="shared" si="5"/>
        <v>6</v>
      </c>
      <c r="AF107" s="177">
        <f t="shared" si="6"/>
        <v>43636</v>
      </c>
      <c r="AG107" s="178">
        <f t="shared" si="7"/>
        <v>43661</v>
      </c>
      <c r="AH107" s="179">
        <f t="shared" si="8"/>
        <v>-0.77271990739973262</v>
      </c>
    </row>
    <row r="108" spans="2:34" s="46" customFormat="1" ht="15">
      <c r="B108" s="165">
        <v>43647.6662962962</v>
      </c>
      <c r="C108" s="166">
        <v>423540</v>
      </c>
      <c r="D108" s="157">
        <v>43586</v>
      </c>
      <c r="E108" s="167">
        <v>101</v>
      </c>
      <c r="F108" s="168" t="s">
        <v>1676</v>
      </c>
      <c r="G108" s="169">
        <v>43631</v>
      </c>
      <c r="H108" s="170">
        <f t="shared" si="0"/>
        <v>16.666296296200017</v>
      </c>
      <c r="AA108" s="172">
        <f t="shared" si="1"/>
        <v>2019</v>
      </c>
      <c r="AB108" s="173" t="str">
        <f t="shared" si="2"/>
        <v>May</v>
      </c>
      <c r="AC108" s="174">
        <f t="shared" si="3"/>
        <v>5</v>
      </c>
      <c r="AD108" s="175">
        <f t="shared" si="4"/>
        <v>2019</v>
      </c>
      <c r="AE108" s="176">
        <f t="shared" si="5"/>
        <v>5</v>
      </c>
      <c r="AF108" s="177">
        <f t="shared" si="6"/>
        <v>43605</v>
      </c>
      <c r="AG108" s="178">
        <f t="shared" si="7"/>
        <v>43631</v>
      </c>
      <c r="AH108" s="179">
        <f t="shared" si="8"/>
        <v>-16.666296296200017</v>
      </c>
    </row>
    <row r="109" spans="2:34" s="46" customFormat="1" ht="15">
      <c r="B109" s="165">
        <v>43601.621851851902</v>
      </c>
      <c r="C109" s="166">
        <v>422228</v>
      </c>
      <c r="D109" s="157">
        <v>43556</v>
      </c>
      <c r="E109" s="167">
        <v>102</v>
      </c>
      <c r="F109" s="168" t="s">
        <v>1677</v>
      </c>
      <c r="G109" s="169">
        <v>43600</v>
      </c>
      <c r="H109" s="170">
        <f t="shared" si="0"/>
        <v>1.621851851901738</v>
      </c>
      <c r="AA109" s="172">
        <f t="shared" si="1"/>
        <v>2019</v>
      </c>
      <c r="AB109" s="173" t="str">
        <f t="shared" si="2"/>
        <v>April</v>
      </c>
      <c r="AC109" s="174">
        <f t="shared" si="3"/>
        <v>4</v>
      </c>
      <c r="AD109" s="175">
        <f t="shared" si="4"/>
        <v>2019</v>
      </c>
      <c r="AE109" s="176">
        <f t="shared" si="5"/>
        <v>4</v>
      </c>
      <c r="AF109" s="177">
        <f t="shared" si="6"/>
        <v>43575</v>
      </c>
      <c r="AG109" s="178">
        <f t="shared" si="7"/>
        <v>43600</v>
      </c>
      <c r="AH109" s="179">
        <f t="shared" si="8"/>
        <v>-1.621851851901738</v>
      </c>
    </row>
    <row r="110" spans="2:34" s="46" customFormat="1" ht="15">
      <c r="B110" s="165">
        <v>43587.481157407397</v>
      </c>
      <c r="C110" s="166">
        <v>422110</v>
      </c>
      <c r="D110" s="157">
        <v>43525</v>
      </c>
      <c r="E110" s="167">
        <v>102</v>
      </c>
      <c r="F110" s="168" t="s">
        <v>1678</v>
      </c>
      <c r="G110" s="169">
        <v>43570</v>
      </c>
      <c r="H110" s="170">
        <f t="shared" si="0"/>
        <v>17.481157407397404</v>
      </c>
      <c r="AA110" s="172">
        <f t="shared" si="1"/>
        <v>2019</v>
      </c>
      <c r="AB110" s="173" t="str">
        <f t="shared" si="2"/>
        <v>March</v>
      </c>
      <c r="AC110" s="174">
        <f t="shared" si="3"/>
        <v>3</v>
      </c>
      <c r="AD110" s="175">
        <f t="shared" si="4"/>
        <v>2019</v>
      </c>
      <c r="AE110" s="176">
        <f t="shared" si="5"/>
        <v>3</v>
      </c>
      <c r="AF110" s="177">
        <f t="shared" si="6"/>
        <v>43544</v>
      </c>
      <c r="AG110" s="178">
        <f t="shared" si="7"/>
        <v>43570</v>
      </c>
      <c r="AH110" s="179">
        <f t="shared" si="8"/>
        <v>-17.481157407397404</v>
      </c>
    </row>
    <row r="111" spans="2:34" s="46" customFormat="1" ht="15">
      <c r="B111" s="165">
        <v>43538.6737962962</v>
      </c>
      <c r="C111" s="166">
        <v>459325</v>
      </c>
      <c r="D111" s="157">
        <v>43497</v>
      </c>
      <c r="E111" s="167">
        <v>98</v>
      </c>
      <c r="F111" s="168" t="s">
        <v>1679</v>
      </c>
      <c r="G111" s="169">
        <v>43539</v>
      </c>
      <c r="H111" s="170">
        <f t="shared" si="0"/>
        <v>0</v>
      </c>
      <c r="AA111" s="172">
        <f t="shared" si="1"/>
        <v>2019</v>
      </c>
      <c r="AB111" s="173" t="str">
        <f t="shared" si="2"/>
        <v>February</v>
      </c>
      <c r="AC111" s="174">
        <f t="shared" si="3"/>
        <v>2</v>
      </c>
      <c r="AD111" s="175">
        <f t="shared" si="4"/>
        <v>2019</v>
      </c>
      <c r="AE111" s="176">
        <f t="shared" si="5"/>
        <v>2</v>
      </c>
      <c r="AF111" s="177">
        <f t="shared" si="6"/>
        <v>43516</v>
      </c>
      <c r="AG111" s="178">
        <f t="shared" si="7"/>
        <v>43539</v>
      </c>
      <c r="AH111" s="179">
        <f t="shared" si="8"/>
        <v>0.32620370380027452</v>
      </c>
    </row>
    <row r="112" spans="2:34" s="46" customFormat="1" ht="15">
      <c r="B112" s="165">
        <v>43511.519074074</v>
      </c>
      <c r="C112" s="166">
        <v>410570</v>
      </c>
      <c r="D112" s="157">
        <v>43466</v>
      </c>
      <c r="E112" s="167">
        <v>97</v>
      </c>
      <c r="F112" s="168" t="s">
        <v>1680</v>
      </c>
      <c r="G112" s="169">
        <v>43511</v>
      </c>
      <c r="H112" s="170">
        <f t="shared" si="0"/>
        <v>0.51907407399994554</v>
      </c>
      <c r="AA112" s="172">
        <f t="shared" si="1"/>
        <v>2019</v>
      </c>
      <c r="AB112" s="173" t="str">
        <f t="shared" si="2"/>
        <v>January</v>
      </c>
      <c r="AC112" s="174">
        <f t="shared" si="3"/>
        <v>1</v>
      </c>
      <c r="AD112" s="175">
        <f t="shared" si="4"/>
        <v>2019</v>
      </c>
      <c r="AE112" s="176">
        <f t="shared" si="5"/>
        <v>1</v>
      </c>
      <c r="AF112" s="177">
        <f t="shared" si="6"/>
        <v>43485</v>
      </c>
      <c r="AG112" s="178">
        <f t="shared" si="7"/>
        <v>43511</v>
      </c>
      <c r="AH112" s="179">
        <f t="shared" si="8"/>
        <v>-0.51907407399994554</v>
      </c>
    </row>
    <row r="113" spans="2:34" s="46" customFormat="1" ht="15">
      <c r="B113" s="165">
        <v>43479.701990740701</v>
      </c>
      <c r="C113" s="166">
        <v>379144</v>
      </c>
      <c r="D113" s="157">
        <v>43435</v>
      </c>
      <c r="E113" s="167">
        <v>98</v>
      </c>
      <c r="F113" s="168" t="s">
        <v>1681</v>
      </c>
      <c r="G113" s="169">
        <v>43480</v>
      </c>
      <c r="H113" s="170">
        <f t="shared" si="0"/>
        <v>0</v>
      </c>
      <c r="AA113" s="172">
        <f t="shared" si="1"/>
        <v>2018</v>
      </c>
      <c r="AB113" s="173" t="str">
        <f t="shared" si="2"/>
        <v>December</v>
      </c>
      <c r="AC113" s="174">
        <f t="shared" si="3"/>
        <v>12</v>
      </c>
      <c r="AD113" s="175">
        <f t="shared" si="4"/>
        <v>2018</v>
      </c>
      <c r="AE113" s="176">
        <f t="shared" si="5"/>
        <v>12</v>
      </c>
      <c r="AF113" s="177">
        <f t="shared" si="6"/>
        <v>43454</v>
      </c>
      <c r="AG113" s="178">
        <f t="shared" si="7"/>
        <v>43480</v>
      </c>
      <c r="AH113" s="179">
        <f t="shared" si="8"/>
        <v>0.29800925929885125</v>
      </c>
    </row>
    <row r="114" spans="2:34" s="46" customFormat="1" ht="15">
      <c r="B114" s="165">
        <v>43460.764583333301</v>
      </c>
      <c r="C114" s="166">
        <v>368408</v>
      </c>
      <c r="D114" s="157">
        <v>43405</v>
      </c>
      <c r="E114" s="167">
        <v>92</v>
      </c>
      <c r="F114" s="168" t="s">
        <v>1682</v>
      </c>
      <c r="G114" s="169">
        <v>43449</v>
      </c>
      <c r="H114" s="170">
        <f t="shared" si="0"/>
        <v>11.764583333300834</v>
      </c>
      <c r="AA114" s="172">
        <f t="shared" si="1"/>
        <v>2018</v>
      </c>
      <c r="AB114" s="173" t="str">
        <f t="shared" si="2"/>
        <v>November</v>
      </c>
      <c r="AC114" s="174">
        <f t="shared" si="3"/>
        <v>11</v>
      </c>
      <c r="AD114" s="175">
        <f t="shared" si="4"/>
        <v>2018</v>
      </c>
      <c r="AE114" s="176">
        <f t="shared" si="5"/>
        <v>11</v>
      </c>
      <c r="AF114" s="177">
        <f t="shared" si="6"/>
        <v>43424</v>
      </c>
      <c r="AG114" s="178">
        <f t="shared" si="7"/>
        <v>43449</v>
      </c>
      <c r="AH114" s="179">
        <f t="shared" si="8"/>
        <v>-11.764583333300834</v>
      </c>
    </row>
    <row r="115" spans="2:34" ht="15">
      <c r="B115" s="165">
        <v>43460.765405092599</v>
      </c>
      <c r="C115" s="166">
        <v>374948</v>
      </c>
      <c r="D115" s="157">
        <v>43374</v>
      </c>
      <c r="E115" s="167">
        <v>94</v>
      </c>
      <c r="F115" s="168" t="s">
        <v>1683</v>
      </c>
      <c r="G115" s="169">
        <v>43419</v>
      </c>
      <c r="H115" s="170">
        <f t="shared" si="0"/>
        <v>41.765405092599394</v>
      </c>
    </row>
    <row r="116" spans="2:34" ht="15">
      <c r="B116" s="165">
        <v>43460.619456018503</v>
      </c>
      <c r="C116" s="166">
        <v>384412</v>
      </c>
      <c r="D116" s="157">
        <v>43344</v>
      </c>
      <c r="E116" s="167">
        <v>96</v>
      </c>
      <c r="F116" s="168" t="s">
        <v>1684</v>
      </c>
      <c r="G116" s="169">
        <v>43388</v>
      </c>
      <c r="H116" s="170">
        <f t="shared" si="0"/>
        <v>72.619456018503115</v>
      </c>
    </row>
    <row r="117" spans="2:34" ht="15">
      <c r="B117" s="165">
        <v>43405.8146180556</v>
      </c>
      <c r="C117" s="166">
        <v>369762</v>
      </c>
      <c r="D117" s="157">
        <v>43313</v>
      </c>
      <c r="E117" s="167">
        <v>93</v>
      </c>
      <c r="F117" s="168" t="s">
        <v>1685</v>
      </c>
      <c r="G117" s="169">
        <v>43358</v>
      </c>
      <c r="H117" s="170">
        <f t="shared" si="0"/>
        <v>47.814618055599567</v>
      </c>
    </row>
    <row r="118" spans="2:34" ht="15">
      <c r="B118" s="165">
        <v>43340.517002314802</v>
      </c>
      <c r="C118" s="166">
        <v>321524</v>
      </c>
      <c r="D118" s="157">
        <v>43282</v>
      </c>
      <c r="E118" s="167">
        <v>89</v>
      </c>
      <c r="F118" s="168" t="s">
        <v>1686</v>
      </c>
      <c r="G118" s="169">
        <v>43327</v>
      </c>
      <c r="H118" s="170">
        <f t="shared" si="0"/>
        <v>13.517002314802085</v>
      </c>
    </row>
    <row r="119" spans="2:34" ht="15">
      <c r="B119" s="165">
        <v>43294.583275463003</v>
      </c>
      <c r="C119" s="166">
        <v>312416</v>
      </c>
      <c r="D119" s="157">
        <v>43252</v>
      </c>
      <c r="E119" s="167">
        <v>83</v>
      </c>
      <c r="F119" s="168" t="s">
        <v>1687</v>
      </c>
      <c r="G119" s="169">
        <v>43296</v>
      </c>
      <c r="H119" s="170">
        <f t="shared" si="0"/>
        <v>0</v>
      </c>
    </row>
    <row r="120" spans="2:34" ht="15">
      <c r="B120" s="165">
        <v>43265.759664351899</v>
      </c>
      <c r="C120" s="166">
        <v>307248</v>
      </c>
      <c r="D120" s="157">
        <v>43221</v>
      </c>
      <c r="E120" s="167">
        <v>81</v>
      </c>
      <c r="F120" s="168" t="s">
        <v>1688</v>
      </c>
      <c r="G120" s="169">
        <v>43266</v>
      </c>
      <c r="H120" s="170">
        <f t="shared" si="0"/>
        <v>0</v>
      </c>
    </row>
    <row r="121" spans="2:34" ht="15">
      <c r="B121" s="165">
        <v>43235.805625000001</v>
      </c>
      <c r="C121" s="166">
        <v>308662</v>
      </c>
      <c r="D121" s="157">
        <v>43191</v>
      </c>
      <c r="E121" s="167">
        <v>82</v>
      </c>
      <c r="F121" s="168" t="s">
        <v>1689</v>
      </c>
      <c r="G121" s="169">
        <v>43235</v>
      </c>
      <c r="H121" s="170">
        <f t="shared" si="0"/>
        <v>0.80562500000087311</v>
      </c>
    </row>
    <row r="122" spans="2:34" ht="15">
      <c r="B122" s="165">
        <v>43204.6742476851</v>
      </c>
      <c r="C122" s="166">
        <v>291538</v>
      </c>
      <c r="D122" s="157">
        <v>43160</v>
      </c>
      <c r="E122" s="167">
        <v>72</v>
      </c>
      <c r="F122" s="168" t="s">
        <v>1690</v>
      </c>
      <c r="G122" s="169">
        <v>43205</v>
      </c>
      <c r="H122" s="170">
        <f t="shared" si="0"/>
        <v>0</v>
      </c>
    </row>
    <row r="123" spans="2:34" ht="15">
      <c r="B123" s="165">
        <v>43174.783506944397</v>
      </c>
      <c r="C123" s="166">
        <v>283265</v>
      </c>
      <c r="D123" s="157">
        <v>43132</v>
      </c>
      <c r="E123" s="167">
        <v>71</v>
      </c>
      <c r="F123" s="168" t="s">
        <v>1691</v>
      </c>
      <c r="G123" s="169">
        <v>43174</v>
      </c>
      <c r="H123" s="170">
        <f t="shared" si="0"/>
        <v>0.78350694439723156</v>
      </c>
    </row>
    <row r="124" spans="2:34" ht="15">
      <c r="B124" s="165">
        <v>43146.665509259197</v>
      </c>
      <c r="C124" s="166">
        <v>288532</v>
      </c>
      <c r="D124" s="157">
        <v>43101</v>
      </c>
      <c r="E124" s="167">
        <v>73</v>
      </c>
      <c r="F124" s="168" t="s">
        <v>1692</v>
      </c>
      <c r="G124" s="169">
        <v>43146</v>
      </c>
      <c r="H124" s="170">
        <f t="shared" si="0"/>
        <v>0.66550925919727888</v>
      </c>
    </row>
    <row r="125" spans="2:34" ht="15">
      <c r="B125" s="165">
        <v>43115.563888888901</v>
      </c>
      <c r="C125" s="166">
        <v>279528</v>
      </c>
      <c r="D125" s="157">
        <v>43070</v>
      </c>
      <c r="E125" s="167">
        <v>71</v>
      </c>
      <c r="F125" s="168" t="s">
        <v>1693</v>
      </c>
      <c r="G125" s="169">
        <v>43115</v>
      </c>
      <c r="H125" s="170">
        <f t="shared" si="0"/>
        <v>0.56388888890069211</v>
      </c>
    </row>
    <row r="126" spans="2:34" ht="15">
      <c r="B126" s="165">
        <v>43084.661458333299</v>
      </c>
      <c r="C126" s="166">
        <v>284849</v>
      </c>
      <c r="D126" s="157">
        <v>43040</v>
      </c>
      <c r="E126" s="167">
        <v>72</v>
      </c>
      <c r="F126" s="168" t="s">
        <v>1694</v>
      </c>
      <c r="G126" s="169">
        <v>43084</v>
      </c>
      <c r="H126" s="170">
        <f t="shared" si="0"/>
        <v>0.66145833329937886</v>
      </c>
    </row>
    <row r="127" spans="2:34" ht="15">
      <c r="B127" s="165">
        <v>43053.822280092601</v>
      </c>
      <c r="C127" s="166">
        <v>282516</v>
      </c>
      <c r="D127" s="157">
        <v>43009</v>
      </c>
      <c r="E127" s="167">
        <v>73</v>
      </c>
      <c r="F127" s="168" t="s">
        <v>1695</v>
      </c>
      <c r="G127" s="169">
        <v>43054</v>
      </c>
      <c r="H127" s="170">
        <f t="shared" si="0"/>
        <v>0</v>
      </c>
    </row>
    <row r="128" spans="2:34" ht="15">
      <c r="B128" s="165">
        <v>43020.755752314799</v>
      </c>
      <c r="C128" s="166">
        <v>286840</v>
      </c>
      <c r="D128" s="157">
        <v>42979</v>
      </c>
      <c r="E128" s="167">
        <v>74</v>
      </c>
      <c r="F128" s="168" t="s">
        <v>1696</v>
      </c>
      <c r="G128" s="169">
        <v>43023</v>
      </c>
      <c r="H128" s="170">
        <f t="shared" si="0"/>
        <v>0</v>
      </c>
    </row>
    <row r="129" spans="2:8" ht="15">
      <c r="B129" s="165">
        <v>42997.669814814799</v>
      </c>
      <c r="C129" s="166">
        <v>286524</v>
      </c>
      <c r="D129" s="157">
        <v>42948</v>
      </c>
      <c r="E129" s="167">
        <v>74</v>
      </c>
      <c r="F129" s="168" t="s">
        <v>1697</v>
      </c>
      <c r="G129" s="169">
        <v>42993</v>
      </c>
      <c r="H129" s="170">
        <f t="shared" si="0"/>
        <v>4.6698148147988832</v>
      </c>
    </row>
    <row r="130" spans="2:8" ht="15">
      <c r="B130" s="165">
        <v>42961.775162037004</v>
      </c>
      <c r="C130" s="166">
        <v>277138</v>
      </c>
      <c r="D130" s="157">
        <v>42917</v>
      </c>
      <c r="E130" s="167">
        <v>71</v>
      </c>
      <c r="F130" s="168" t="s">
        <v>1698</v>
      </c>
      <c r="G130" s="169">
        <v>42962</v>
      </c>
      <c r="H130" s="170">
        <f t="shared" si="0"/>
        <v>0</v>
      </c>
    </row>
    <row r="131" spans="2:8" ht="15">
      <c r="B131" s="165">
        <v>42930.764872685097</v>
      </c>
      <c r="C131" s="166">
        <v>276263</v>
      </c>
      <c r="D131" s="157">
        <v>42887</v>
      </c>
      <c r="E131" s="167">
        <v>73</v>
      </c>
      <c r="F131" s="168" t="s">
        <v>1699</v>
      </c>
      <c r="G131" s="169">
        <v>42931</v>
      </c>
      <c r="H131" s="170">
        <f t="shared" si="0"/>
        <v>0</v>
      </c>
    </row>
    <row r="132" spans="2:8" ht="15">
      <c r="B132" s="165">
        <v>42917.643657407403</v>
      </c>
      <c r="C132" s="166">
        <v>273750</v>
      </c>
      <c r="D132" s="157">
        <v>42856</v>
      </c>
      <c r="E132" s="167">
        <v>75</v>
      </c>
      <c r="F132" s="168" t="s">
        <v>1700</v>
      </c>
      <c r="G132" s="169">
        <v>42901</v>
      </c>
      <c r="H132" s="170">
        <f t="shared" si="0"/>
        <v>16.643657407403225</v>
      </c>
    </row>
    <row r="133" spans="2:8" ht="15">
      <c r="B133" s="165">
        <v>42870.886284722197</v>
      </c>
      <c r="C133" s="166">
        <v>272876</v>
      </c>
      <c r="D133" s="157">
        <v>42826</v>
      </c>
      <c r="E133" s="167">
        <v>73</v>
      </c>
      <c r="F133" s="168" t="s">
        <v>1701</v>
      </c>
      <c r="G133" s="169">
        <v>42870</v>
      </c>
      <c r="H133" s="170">
        <f t="shared" si="0"/>
        <v>0.88628472219716059</v>
      </c>
    </row>
    <row r="134" spans="2:8" ht="15">
      <c r="B134" s="165">
        <v>42851.729884259199</v>
      </c>
      <c r="C134" s="166">
        <v>269254</v>
      </c>
      <c r="D134" s="157">
        <v>42795</v>
      </c>
      <c r="E134" s="167">
        <v>65</v>
      </c>
      <c r="F134" s="168" t="s">
        <v>1702</v>
      </c>
      <c r="G134" s="169">
        <v>42840</v>
      </c>
      <c r="H134" s="170">
        <f t="shared" si="0"/>
        <v>11.729884259199025</v>
      </c>
    </row>
    <row r="135" spans="2:8" ht="15">
      <c r="B135" s="165">
        <v>42809.787858796299</v>
      </c>
      <c r="C135" s="166">
        <v>244141</v>
      </c>
      <c r="D135" s="157">
        <v>42767</v>
      </c>
      <c r="E135" s="167">
        <v>63</v>
      </c>
      <c r="F135" s="168" t="s">
        <v>1703</v>
      </c>
      <c r="G135" s="169">
        <v>42809</v>
      </c>
      <c r="H135" s="170">
        <f t="shared" si="0"/>
        <v>0.7878587962986785</v>
      </c>
    </row>
    <row r="136" spans="2:8" ht="15">
      <c r="B136" s="165">
        <v>42780.799317129597</v>
      </c>
      <c r="C136" s="166">
        <v>228038</v>
      </c>
      <c r="D136" s="157">
        <v>42736</v>
      </c>
      <c r="E136" s="167">
        <v>55</v>
      </c>
      <c r="F136" s="168" t="s">
        <v>1704</v>
      </c>
      <c r="G136" s="169">
        <v>42781</v>
      </c>
      <c r="H136" s="170">
        <f t="shared" si="0"/>
        <v>0</v>
      </c>
    </row>
    <row r="137" spans="2:8" ht="15">
      <c r="B137" s="165">
        <v>42772.807870370299</v>
      </c>
      <c r="C137" s="166">
        <v>199742</v>
      </c>
      <c r="D137" s="157">
        <v>42705</v>
      </c>
      <c r="E137" s="167">
        <v>47</v>
      </c>
      <c r="F137" s="168" t="s">
        <v>1705</v>
      </c>
      <c r="G137" s="169">
        <v>42750</v>
      </c>
      <c r="H137" s="170">
        <f t="shared" si="0"/>
        <v>22.807870370299497</v>
      </c>
    </row>
    <row r="138" spans="2:8" ht="15">
      <c r="B138" s="165">
        <v>42772.805277777799</v>
      </c>
      <c r="C138" s="166">
        <v>186519</v>
      </c>
      <c r="D138" s="157">
        <v>42675</v>
      </c>
      <c r="E138" s="167">
        <v>40</v>
      </c>
      <c r="F138" s="168" t="s">
        <v>1706</v>
      </c>
      <c r="G138" s="169">
        <v>42719</v>
      </c>
      <c r="H138" s="170">
        <f t="shared" si="0"/>
        <v>53.805277777799347</v>
      </c>
    </row>
    <row r="139" spans="2:8" ht="15">
      <c r="B139" s="165">
        <v>42853.748888888898</v>
      </c>
      <c r="C139" s="166">
        <v>14291</v>
      </c>
      <c r="D139" s="157">
        <v>42430</v>
      </c>
      <c r="E139" s="167">
        <v>4</v>
      </c>
      <c r="F139" s="168" t="s">
        <v>1707</v>
      </c>
      <c r="G139" s="169">
        <v>42475</v>
      </c>
      <c r="H139" s="170">
        <f t="shared" si="0"/>
        <v>378.74888888889836</v>
      </c>
    </row>
  </sheetData>
  <mergeCells count="2">
    <mergeCell ref="B2:C2"/>
    <mergeCell ref="B21:H21"/>
  </mergeCells>
  <conditionalFormatting sqref="B23:B114">
    <cfRule type="expression" dxfId="69" priority="1">
      <formula>$B23&gt;TODAY()</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19</vt:i4>
      </vt:variant>
      <vt:variant>
        <vt:lpstr>Named Ranges</vt:lpstr>
      </vt:variant>
      <vt:variant>
        <vt:i4>1</vt:i4>
      </vt:variant>
    </vt:vector>
  </HeadingPairs>
  <TitlesOfParts>
    <vt:vector size="20" baseType="lpstr">
      <vt:lpstr>EWS</vt:lpstr>
      <vt:lpstr>Financial Score</vt:lpstr>
      <vt:lpstr>Statutory Score</vt:lpstr>
      <vt:lpstr>Legal Score</vt:lpstr>
      <vt:lpstr>Bureau Score</vt:lpstr>
      <vt:lpstr>NC-RTR</vt:lpstr>
      <vt:lpstr>ROC</vt:lpstr>
      <vt:lpstr>GST</vt:lpstr>
      <vt:lpstr>EPFO</vt:lpstr>
      <vt:lpstr>Crime-Check Entity</vt:lpstr>
      <vt:lpstr>Crime-Check Promoter</vt:lpstr>
      <vt:lpstr>Consolidated Financials</vt:lpstr>
      <vt:lpstr>Analysis</vt:lpstr>
      <vt:lpstr>Financial 1</vt:lpstr>
      <vt:lpstr>Financial 2</vt:lpstr>
      <vt:lpstr>Financial 3</vt:lpstr>
      <vt:lpstr>Financial Statement</vt:lpstr>
      <vt:lpstr>Cash Flow</vt:lpstr>
      <vt:lpstr>Old - Banking Analysis</vt:lpstr>
      <vt:lpstr>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namaste credit</cp:lastModifiedBy>
  <dcterms:created xsi:type="dcterms:W3CDTF">2023-11-08T05:50:19Z</dcterms:created>
  <dcterms:modified xsi:type="dcterms:W3CDTF">2023-11-09T07:43:03Z</dcterms:modified>
</cp:coreProperties>
</file>