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W:\My Documents\Macros\Formats\Financials\FedFina\"/>
    </mc:Choice>
  </mc:AlternateContent>
  <xr:revisionPtr revIDLastSave="0" documentId="13_ncr:1_{3049E859-B07B-439F-AC09-676DC51FD46D}" xr6:coauthVersionLast="47" xr6:coauthVersionMax="47" xr10:uidLastSave="{00000000-0000-0000-0000-000000000000}"/>
  <bookViews>
    <workbookView xWindow="-120" yWindow="-120" windowWidth="20730" windowHeight="11160" tabRatio="917" activeTab="8" xr2:uid="{00000000-000D-0000-FFFF-FFFF00000000}"/>
  </bookViews>
  <sheets>
    <sheet name="Policy Parameters" sheetId="14" r:id="rId1"/>
    <sheet name="MSME" sheetId="17" r:id="rId2"/>
    <sheet name="Financial Spread- 1" sheetId="1" r:id="rId3"/>
    <sheet name="Financial Spread -2" sheetId="7" state="hidden" r:id="rId4"/>
    <sheet name="Consolidated Financial Spread" sheetId="8" state="hidden" r:id="rId5"/>
    <sheet name="SENP Eligibility " sheetId="9" r:id="rId6"/>
    <sheet name="SEP Eligibility " sheetId="13" r:id="rId7"/>
    <sheet name="GST " sheetId="6" r:id="rId8"/>
    <sheet name="Loan details" sheetId="19" r:id="rId9"/>
    <sheet name="Loandetails1" sheetId="2" r:id="rId10"/>
    <sheet name="Banking Analysis" sheetId="15" r:id="rId11"/>
    <sheet name="NC-RTR" sheetId="18" state="hidden" r:id="rId12"/>
  </sheets>
  <externalReferences>
    <externalReference r:id="rId13"/>
  </externalReferences>
  <definedNames>
    <definedName name="_xlnm._FilterDatabase" localSheetId="8" hidden="1">'Loan details'!$A$1:$AE$1</definedName>
    <definedName name="Amount">'[1]ROC-Check'!$I$32:$I$33</definedName>
    <definedName name="AuthCap">'[1]ROC-Check'!$E$10</definedName>
    <definedName name="CIN">'[1]ROC-Check'!$E$3</definedName>
    <definedName name="CINStatus">'[1]ROC-Check'!$E$22</definedName>
    <definedName name="_xlnm.Criteria">'[1]ROC-Check'!$H$32:$H$33</definedName>
    <definedName name="GSTIN">'[1]GST-Check'!$E$3</definedName>
    <definedName name="GSTINStatus">'[1]GST-Check'!$E$10</definedName>
    <definedName name="PaidUp">'[1]ROC-Check'!$E$11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8" i="19" l="1"/>
  <c r="J102" i="19"/>
  <c r="H102" i="19"/>
  <c r="P101" i="19"/>
  <c r="M101" i="19"/>
  <c r="O101" i="19" s="1"/>
  <c r="P100" i="19"/>
  <c r="M100" i="19"/>
  <c r="O100" i="19" s="1"/>
  <c r="P99" i="19"/>
  <c r="O99" i="19"/>
  <c r="M99" i="19"/>
  <c r="P98" i="19"/>
  <c r="M98" i="19"/>
  <c r="O98" i="19" s="1"/>
  <c r="P97" i="19"/>
  <c r="M97" i="19"/>
  <c r="O97" i="19" s="1"/>
  <c r="P96" i="19"/>
  <c r="M96" i="19"/>
  <c r="O96" i="19" s="1"/>
  <c r="P95" i="19"/>
  <c r="O95" i="19"/>
  <c r="M95" i="19"/>
  <c r="P94" i="19"/>
  <c r="M94" i="19"/>
  <c r="O94" i="19" s="1"/>
  <c r="P93" i="19"/>
  <c r="M93" i="19"/>
  <c r="O93" i="19" s="1"/>
  <c r="P92" i="19"/>
  <c r="M92" i="19"/>
  <c r="O92" i="19" s="1"/>
  <c r="P91" i="19"/>
  <c r="O91" i="19"/>
  <c r="M91" i="19"/>
  <c r="P90" i="19"/>
  <c r="M90" i="19"/>
  <c r="O90" i="19" s="1"/>
  <c r="P89" i="19"/>
  <c r="M89" i="19"/>
  <c r="O89" i="19" s="1"/>
  <c r="P88" i="19"/>
  <c r="M88" i="19"/>
  <c r="O88" i="19" s="1"/>
  <c r="P87" i="19"/>
  <c r="O87" i="19"/>
  <c r="M87" i="19"/>
  <c r="P86" i="19"/>
  <c r="M86" i="19"/>
  <c r="O86" i="19" s="1"/>
  <c r="P85" i="19"/>
  <c r="M85" i="19"/>
  <c r="O85" i="19" s="1"/>
  <c r="P84" i="19"/>
  <c r="M84" i="19"/>
  <c r="O84" i="19" s="1"/>
  <c r="P83" i="19"/>
  <c r="O83" i="19"/>
  <c r="M83" i="19"/>
  <c r="P82" i="19"/>
  <c r="M82" i="19"/>
  <c r="O82" i="19" s="1"/>
  <c r="P81" i="19"/>
  <c r="M81" i="19"/>
  <c r="O81" i="19" s="1"/>
  <c r="P80" i="19"/>
  <c r="M80" i="19"/>
  <c r="O80" i="19" s="1"/>
  <c r="P79" i="19"/>
  <c r="O79" i="19"/>
  <c r="M79" i="19"/>
  <c r="P78" i="19"/>
  <c r="M78" i="19"/>
  <c r="O78" i="19" s="1"/>
  <c r="P77" i="19"/>
  <c r="M77" i="19"/>
  <c r="O77" i="19" s="1"/>
  <c r="P76" i="19"/>
  <c r="M76" i="19"/>
  <c r="O76" i="19" s="1"/>
  <c r="P75" i="19"/>
  <c r="O75" i="19"/>
  <c r="M75" i="19"/>
  <c r="P74" i="19"/>
  <c r="M74" i="19"/>
  <c r="O74" i="19" s="1"/>
  <c r="P73" i="19"/>
  <c r="M73" i="19"/>
  <c r="O73" i="19" s="1"/>
  <c r="P72" i="19"/>
  <c r="M72" i="19"/>
  <c r="O72" i="19" s="1"/>
  <c r="P71" i="19"/>
  <c r="O71" i="19"/>
  <c r="M71" i="19"/>
  <c r="P70" i="19"/>
  <c r="M70" i="19"/>
  <c r="O70" i="19" s="1"/>
  <c r="P69" i="19"/>
  <c r="M69" i="19"/>
  <c r="O69" i="19" s="1"/>
  <c r="P68" i="19"/>
  <c r="M68" i="19"/>
  <c r="O68" i="19" s="1"/>
  <c r="P67" i="19"/>
  <c r="O67" i="19"/>
  <c r="M67" i="19"/>
  <c r="P66" i="19"/>
  <c r="M66" i="19"/>
  <c r="O66" i="19" s="1"/>
  <c r="P65" i="19"/>
  <c r="M65" i="19"/>
  <c r="O65" i="19" s="1"/>
  <c r="P64" i="19"/>
  <c r="M64" i="19"/>
  <c r="O64" i="19" s="1"/>
  <c r="P63" i="19"/>
  <c r="O63" i="19"/>
  <c r="M63" i="19"/>
  <c r="P62" i="19"/>
  <c r="M62" i="19"/>
  <c r="O62" i="19" s="1"/>
  <c r="P61" i="19"/>
  <c r="M61" i="19"/>
  <c r="O61" i="19" s="1"/>
  <c r="P60" i="19"/>
  <c r="M60" i="19"/>
  <c r="O60" i="19" s="1"/>
  <c r="P59" i="19"/>
  <c r="O59" i="19"/>
  <c r="M59" i="19"/>
  <c r="P58" i="19"/>
  <c r="M58" i="19"/>
  <c r="O58" i="19" s="1"/>
  <c r="P57" i="19"/>
  <c r="M57" i="19"/>
  <c r="O57" i="19" s="1"/>
  <c r="P56" i="19"/>
  <c r="M56" i="19"/>
  <c r="O56" i="19" s="1"/>
  <c r="P55" i="19"/>
  <c r="O55" i="19"/>
  <c r="M55" i="19"/>
  <c r="P54" i="19"/>
  <c r="M54" i="19"/>
  <c r="O54" i="19" s="1"/>
  <c r="P53" i="19"/>
  <c r="M53" i="19"/>
  <c r="O53" i="19" s="1"/>
  <c r="P52" i="19"/>
  <c r="M52" i="19"/>
  <c r="O52" i="19" s="1"/>
  <c r="P51" i="19"/>
  <c r="O51" i="19"/>
  <c r="M51" i="19"/>
  <c r="P50" i="19"/>
  <c r="M50" i="19"/>
  <c r="O50" i="19" s="1"/>
  <c r="P49" i="19"/>
  <c r="M49" i="19"/>
  <c r="O49" i="19" s="1"/>
  <c r="P48" i="19"/>
  <c r="M48" i="19"/>
  <c r="O48" i="19" s="1"/>
  <c r="P47" i="19"/>
  <c r="O47" i="19"/>
  <c r="M47" i="19"/>
  <c r="P46" i="19"/>
  <c r="M46" i="19"/>
  <c r="O46" i="19" s="1"/>
  <c r="P45" i="19"/>
  <c r="M45" i="19"/>
  <c r="O45" i="19" s="1"/>
  <c r="P44" i="19"/>
  <c r="M44" i="19"/>
  <c r="O44" i="19" s="1"/>
  <c r="P43" i="19"/>
  <c r="O43" i="19"/>
  <c r="M43" i="19"/>
  <c r="P42" i="19"/>
  <c r="M42" i="19"/>
  <c r="O42" i="19" s="1"/>
  <c r="P41" i="19"/>
  <c r="M41" i="19"/>
  <c r="O41" i="19" s="1"/>
  <c r="P40" i="19"/>
  <c r="M40" i="19"/>
  <c r="O40" i="19" s="1"/>
  <c r="P39" i="19"/>
  <c r="O39" i="19"/>
  <c r="M39" i="19"/>
  <c r="P38" i="19"/>
  <c r="M38" i="19"/>
  <c r="O38" i="19" s="1"/>
  <c r="P37" i="19"/>
  <c r="M37" i="19"/>
  <c r="O37" i="19" s="1"/>
  <c r="P36" i="19"/>
  <c r="M36" i="19"/>
  <c r="O36" i="19" s="1"/>
  <c r="P35" i="19"/>
  <c r="O35" i="19"/>
  <c r="M35" i="19"/>
  <c r="P34" i="19"/>
  <c r="M34" i="19"/>
  <c r="O34" i="19" s="1"/>
  <c r="P33" i="19"/>
  <c r="M33" i="19"/>
  <c r="O33" i="19" s="1"/>
  <c r="P32" i="19"/>
  <c r="M32" i="19"/>
  <c r="O32" i="19" s="1"/>
  <c r="P31" i="19"/>
  <c r="O31" i="19"/>
  <c r="M31" i="19"/>
  <c r="P30" i="19"/>
  <c r="M30" i="19"/>
  <c r="O30" i="19" s="1"/>
  <c r="P29" i="19"/>
  <c r="M29" i="19"/>
  <c r="O29" i="19" s="1"/>
  <c r="P28" i="19"/>
  <c r="M28" i="19"/>
  <c r="O28" i="19" s="1"/>
  <c r="P27" i="19"/>
  <c r="O27" i="19"/>
  <c r="M27" i="19"/>
  <c r="P26" i="19"/>
  <c r="M26" i="19"/>
  <c r="O26" i="19" s="1"/>
  <c r="P25" i="19"/>
  <c r="M25" i="19"/>
  <c r="O25" i="19" s="1"/>
  <c r="P24" i="19"/>
  <c r="M24" i="19"/>
  <c r="O24" i="19" s="1"/>
  <c r="P23" i="19"/>
  <c r="O23" i="19"/>
  <c r="M23" i="19"/>
  <c r="P22" i="19"/>
  <c r="M22" i="19"/>
  <c r="O22" i="19" s="1"/>
  <c r="P21" i="19"/>
  <c r="M21" i="19"/>
  <c r="O21" i="19" s="1"/>
  <c r="P20" i="19"/>
  <c r="M20" i="19"/>
  <c r="O20" i="19" s="1"/>
  <c r="P19" i="19"/>
  <c r="O19" i="19"/>
  <c r="M19" i="19"/>
  <c r="P18" i="19"/>
  <c r="M18" i="19"/>
  <c r="O18" i="19" s="1"/>
  <c r="P17" i="19"/>
  <c r="M17" i="19"/>
  <c r="O17" i="19" s="1"/>
  <c r="P16" i="19"/>
  <c r="M16" i="19"/>
  <c r="O16" i="19" s="1"/>
  <c r="P15" i="19"/>
  <c r="O15" i="19"/>
  <c r="M15" i="19"/>
  <c r="P14" i="19"/>
  <c r="M14" i="19"/>
  <c r="O14" i="19" s="1"/>
  <c r="P13" i="19"/>
  <c r="M13" i="19"/>
  <c r="O13" i="19" s="1"/>
  <c r="P12" i="19"/>
  <c r="M12" i="19"/>
  <c r="O12" i="19" s="1"/>
  <c r="P11" i="19"/>
  <c r="O11" i="19"/>
  <c r="M11" i="19"/>
  <c r="P10" i="19"/>
  <c r="M10" i="19"/>
  <c r="O10" i="19" s="1"/>
  <c r="P9" i="19"/>
  <c r="M9" i="19"/>
  <c r="O9" i="19" s="1"/>
  <c r="P8" i="19"/>
  <c r="M8" i="19"/>
  <c r="O8" i="19" s="1"/>
  <c r="P7" i="19"/>
  <c r="O7" i="19"/>
  <c r="M7" i="19"/>
  <c r="P6" i="19"/>
  <c r="M6" i="19"/>
  <c r="O6" i="19" s="1"/>
  <c r="P5" i="19"/>
  <c r="M5" i="19"/>
  <c r="O5" i="19" s="1"/>
  <c r="P4" i="19"/>
  <c r="M4" i="19"/>
  <c r="O4" i="19" s="1"/>
  <c r="P3" i="19"/>
  <c r="O3" i="19"/>
  <c r="M3" i="19"/>
  <c r="P2" i="19"/>
  <c r="M2" i="19"/>
  <c r="O2" i="19" s="1"/>
  <c r="O102" i="19" s="1"/>
  <c r="S1" i="19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BC30" i="18" l="1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N30" i="18"/>
  <c r="L30" i="18"/>
  <c r="I30" i="18"/>
  <c r="G30" i="18"/>
  <c r="F30" i="18"/>
  <c r="E30" i="18"/>
  <c r="D30" i="18"/>
  <c r="R29" i="18"/>
  <c r="Q29" i="18"/>
  <c r="O29" i="18"/>
  <c r="K29" i="18"/>
  <c r="M29" i="18" s="1"/>
  <c r="R28" i="18"/>
  <c r="Q28" i="18"/>
  <c r="O28" i="18"/>
  <c r="O30" i="18" s="1"/>
  <c r="K28" i="18"/>
  <c r="M28" i="18" s="1"/>
  <c r="R27" i="18"/>
  <c r="Q27" i="18"/>
  <c r="O27" i="18"/>
  <c r="K27" i="18"/>
  <c r="M27" i="18" s="1"/>
  <c r="R26" i="18"/>
  <c r="R30" i="18" s="1"/>
  <c r="Q26" i="18"/>
  <c r="Q30" i="18" s="1"/>
  <c r="O26" i="18"/>
  <c r="K26" i="18"/>
  <c r="M26" i="18" s="1"/>
  <c r="V24" i="18"/>
  <c r="Y24" i="18" s="1"/>
  <c r="AB24" i="18" s="1"/>
  <c r="AE24" i="18" s="1"/>
  <c r="AH24" i="18" s="1"/>
  <c r="AK24" i="18" s="1"/>
  <c r="AN24" i="18" s="1"/>
  <c r="AQ24" i="18" s="1"/>
  <c r="AT24" i="18" s="1"/>
  <c r="AW24" i="18" s="1"/>
  <c r="AZ24" i="18" s="1"/>
  <c r="W13" i="18"/>
  <c r="S13" i="18"/>
  <c r="O13" i="18"/>
  <c r="K13" i="18"/>
  <c r="H13" i="18"/>
  <c r="G13" i="18"/>
  <c r="F13" i="18"/>
  <c r="E13" i="18"/>
  <c r="M30" i="18" l="1"/>
  <c r="C15" i="15" l="1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O15" i="15"/>
  <c r="N15" i="15"/>
  <c r="M15" i="15"/>
  <c r="L15" i="15"/>
  <c r="K15" i="15"/>
  <c r="J15" i="15"/>
  <c r="O14" i="15"/>
  <c r="N14" i="15"/>
  <c r="M14" i="15"/>
  <c r="L14" i="15"/>
  <c r="K14" i="15"/>
  <c r="J14" i="15"/>
  <c r="O13" i="15"/>
  <c r="N13" i="15"/>
  <c r="M13" i="15"/>
  <c r="L13" i="15"/>
  <c r="K13" i="15"/>
  <c r="J13" i="15"/>
  <c r="O12" i="15"/>
  <c r="N12" i="15"/>
  <c r="M12" i="15"/>
  <c r="L12" i="15"/>
  <c r="K12" i="15"/>
  <c r="J12" i="15"/>
  <c r="O11" i="15"/>
  <c r="N11" i="15"/>
  <c r="M11" i="15"/>
  <c r="L11" i="15"/>
  <c r="K11" i="15"/>
  <c r="J11" i="15"/>
  <c r="O10" i="15"/>
  <c r="N10" i="15"/>
  <c r="M10" i="15"/>
  <c r="L10" i="15"/>
  <c r="K10" i="15"/>
  <c r="J10" i="15"/>
  <c r="O9" i="15"/>
  <c r="N9" i="15"/>
  <c r="M9" i="15"/>
  <c r="L9" i="15"/>
  <c r="K9" i="15"/>
  <c r="J9" i="15"/>
  <c r="O8" i="15"/>
  <c r="N8" i="15"/>
  <c r="M8" i="15"/>
  <c r="L8" i="15"/>
  <c r="K8" i="15"/>
  <c r="J8" i="15"/>
  <c r="O7" i="15"/>
  <c r="N7" i="15"/>
  <c r="M7" i="15"/>
  <c r="L7" i="15"/>
  <c r="K7" i="15"/>
  <c r="J7" i="15"/>
  <c r="O6" i="15"/>
  <c r="N6" i="15"/>
  <c r="M6" i="15"/>
  <c r="L6" i="15"/>
  <c r="K6" i="15"/>
  <c r="J6" i="15"/>
  <c r="O5" i="15"/>
  <c r="N5" i="15"/>
  <c r="M5" i="15"/>
  <c r="L5" i="15"/>
  <c r="K5" i="15"/>
  <c r="J5" i="15"/>
  <c r="O4" i="15"/>
  <c r="N4" i="15"/>
  <c r="M4" i="15"/>
  <c r="L4" i="15"/>
  <c r="K4" i="15"/>
  <c r="J4" i="15"/>
  <c r="H233" i="15" l="1"/>
  <c r="H210" i="15"/>
  <c r="H187" i="15"/>
  <c r="H164" i="15"/>
  <c r="H141" i="15"/>
  <c r="H118" i="15"/>
  <c r="H95" i="15"/>
  <c r="H72" i="15"/>
  <c r="H49" i="15"/>
  <c r="H26" i="15"/>
  <c r="H73" i="15"/>
  <c r="H50" i="15"/>
  <c r="H27" i="15"/>
  <c r="P250" i="15"/>
  <c r="H250" i="15"/>
  <c r="G250" i="15"/>
  <c r="F250" i="15"/>
  <c r="C250" i="15"/>
  <c r="B250" i="15"/>
  <c r="O249" i="15"/>
  <c r="N249" i="15"/>
  <c r="M249" i="15"/>
  <c r="L249" i="15"/>
  <c r="K249" i="15"/>
  <c r="J249" i="15"/>
  <c r="H249" i="15"/>
  <c r="G249" i="15"/>
  <c r="F249" i="15"/>
  <c r="C249" i="15"/>
  <c r="B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A237" i="15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P227" i="15"/>
  <c r="H227" i="15"/>
  <c r="G227" i="15"/>
  <c r="F227" i="15"/>
  <c r="C227" i="15"/>
  <c r="B227" i="15"/>
  <c r="O226" i="15"/>
  <c r="N226" i="15"/>
  <c r="M226" i="15"/>
  <c r="L226" i="15"/>
  <c r="K226" i="15"/>
  <c r="J226" i="15"/>
  <c r="H226" i="15"/>
  <c r="G226" i="15"/>
  <c r="F226" i="15"/>
  <c r="C226" i="15"/>
  <c r="B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A214" i="15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P204" i="15"/>
  <c r="H204" i="15"/>
  <c r="G204" i="15"/>
  <c r="F204" i="15"/>
  <c r="C204" i="15"/>
  <c r="B204" i="15"/>
  <c r="O203" i="15"/>
  <c r="N203" i="15"/>
  <c r="M203" i="15"/>
  <c r="L203" i="15"/>
  <c r="K203" i="15"/>
  <c r="J203" i="15"/>
  <c r="H203" i="15"/>
  <c r="G203" i="15"/>
  <c r="F203" i="15"/>
  <c r="C203" i="15"/>
  <c r="B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A191" i="15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P181" i="15"/>
  <c r="H181" i="15"/>
  <c r="G181" i="15"/>
  <c r="F181" i="15"/>
  <c r="C181" i="15"/>
  <c r="B181" i="15"/>
  <c r="O180" i="15"/>
  <c r="N180" i="15"/>
  <c r="M180" i="15"/>
  <c r="L180" i="15"/>
  <c r="K180" i="15"/>
  <c r="J180" i="15"/>
  <c r="H180" i="15"/>
  <c r="G180" i="15"/>
  <c r="F180" i="15"/>
  <c r="C180" i="15"/>
  <c r="B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A168" i="15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P158" i="15"/>
  <c r="H158" i="15"/>
  <c r="G158" i="15"/>
  <c r="F158" i="15"/>
  <c r="C158" i="15"/>
  <c r="B158" i="15"/>
  <c r="O157" i="15"/>
  <c r="N157" i="15"/>
  <c r="M157" i="15"/>
  <c r="L157" i="15"/>
  <c r="K157" i="15"/>
  <c r="J157" i="15"/>
  <c r="H157" i="15"/>
  <c r="G157" i="15"/>
  <c r="F157" i="15"/>
  <c r="C157" i="15"/>
  <c r="B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A145" i="15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P135" i="15"/>
  <c r="H135" i="15"/>
  <c r="G135" i="15"/>
  <c r="F135" i="15"/>
  <c r="C135" i="15"/>
  <c r="B135" i="15"/>
  <c r="O134" i="15"/>
  <c r="N134" i="15"/>
  <c r="M134" i="15"/>
  <c r="L134" i="15"/>
  <c r="K134" i="15"/>
  <c r="J134" i="15"/>
  <c r="H134" i="15"/>
  <c r="G134" i="15"/>
  <c r="F134" i="15"/>
  <c r="C134" i="15"/>
  <c r="B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A122" i="15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P112" i="15"/>
  <c r="H112" i="15"/>
  <c r="G112" i="15"/>
  <c r="F112" i="15"/>
  <c r="C112" i="15"/>
  <c r="B112" i="15"/>
  <c r="O111" i="15"/>
  <c r="N111" i="15"/>
  <c r="M111" i="15"/>
  <c r="L111" i="15"/>
  <c r="K111" i="15"/>
  <c r="J111" i="15"/>
  <c r="H111" i="15"/>
  <c r="G111" i="15"/>
  <c r="F111" i="15"/>
  <c r="C111" i="15"/>
  <c r="B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A99" i="15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P89" i="15"/>
  <c r="H89" i="15"/>
  <c r="G89" i="15"/>
  <c r="F89" i="15"/>
  <c r="C89" i="15"/>
  <c r="B89" i="15"/>
  <c r="O88" i="15"/>
  <c r="N88" i="15"/>
  <c r="M88" i="15"/>
  <c r="L88" i="15"/>
  <c r="K88" i="15"/>
  <c r="J88" i="15"/>
  <c r="H88" i="15"/>
  <c r="G88" i="15"/>
  <c r="F88" i="15"/>
  <c r="C88" i="15"/>
  <c r="B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A76" i="15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53" i="15"/>
  <c r="P66" i="15"/>
  <c r="H66" i="15"/>
  <c r="G66" i="15"/>
  <c r="F66" i="15"/>
  <c r="C66" i="15"/>
  <c r="B66" i="15"/>
  <c r="O65" i="15"/>
  <c r="N65" i="15"/>
  <c r="M65" i="15"/>
  <c r="L65" i="15"/>
  <c r="K65" i="15"/>
  <c r="J65" i="15"/>
  <c r="H65" i="15"/>
  <c r="G65" i="15"/>
  <c r="F65" i="15"/>
  <c r="C65" i="15"/>
  <c r="B65" i="15"/>
  <c r="P64" i="15"/>
  <c r="P63" i="15"/>
  <c r="P62" i="15"/>
  <c r="P61" i="15"/>
  <c r="P60" i="15"/>
  <c r="P59" i="15"/>
  <c r="P58" i="15"/>
  <c r="P57" i="15"/>
  <c r="P56" i="15"/>
  <c r="P55" i="15"/>
  <c r="P54" i="15"/>
  <c r="A54" i="15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P53" i="15"/>
  <c r="H43" i="15"/>
  <c r="G43" i="15"/>
  <c r="F43" i="15"/>
  <c r="C43" i="15"/>
  <c r="B43" i="15"/>
  <c r="P43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R243" i="15"/>
  <c r="R237" i="15"/>
  <c r="R220" i="15"/>
  <c r="R214" i="15"/>
  <c r="R197" i="15"/>
  <c r="R191" i="15"/>
  <c r="R174" i="15"/>
  <c r="R168" i="15"/>
  <c r="R151" i="15"/>
  <c r="R145" i="15"/>
  <c r="P134" i="15" l="1"/>
  <c r="P226" i="15"/>
  <c r="P65" i="15"/>
  <c r="P111" i="15"/>
  <c r="P42" i="15"/>
  <c r="P88" i="15"/>
  <c r="P180" i="15"/>
  <c r="P203" i="15"/>
  <c r="P157" i="15"/>
  <c r="P249" i="15"/>
  <c r="O8" i="2"/>
  <c r="E125" i="15"/>
  <c r="D61" i="15"/>
  <c r="D199" i="15"/>
  <c r="E86" i="15"/>
  <c r="E63" i="15"/>
  <c r="D82" i="15"/>
  <c r="E225" i="15"/>
  <c r="E216" i="15"/>
  <c r="E146" i="15"/>
  <c r="D178" i="15"/>
  <c r="D122" i="15"/>
  <c r="E109" i="15"/>
  <c r="D63" i="15"/>
  <c r="E196" i="15"/>
  <c r="E193" i="15"/>
  <c r="E59" i="15"/>
  <c r="D238" i="15"/>
  <c r="D64" i="15"/>
  <c r="D195" i="15"/>
  <c r="E194" i="15"/>
  <c r="D194" i="15"/>
  <c r="D222" i="15"/>
  <c r="D123" i="15"/>
  <c r="D219" i="15"/>
  <c r="D53" i="15"/>
  <c r="E105" i="15"/>
  <c r="E172" i="15"/>
  <c r="E171" i="15"/>
  <c r="E87" i="15"/>
  <c r="D198" i="15"/>
  <c r="D132" i="15"/>
  <c r="E245" i="15"/>
  <c r="D214" i="15"/>
  <c r="E179" i="15"/>
  <c r="E246" i="15"/>
  <c r="E85" i="15"/>
  <c r="E217" i="15"/>
  <c r="E152" i="15"/>
  <c r="E77" i="15"/>
  <c r="D84" i="15"/>
  <c r="E178" i="15"/>
  <c r="D101" i="15"/>
  <c r="E106" i="15"/>
  <c r="E198" i="15"/>
  <c r="D172" i="15"/>
  <c r="E104" i="15"/>
  <c r="D202" i="15"/>
  <c r="E176" i="15"/>
  <c r="D145" i="15"/>
  <c r="D129" i="15"/>
  <c r="E224" i="15"/>
  <c r="E241" i="15"/>
  <c r="D197" i="15"/>
  <c r="E56" i="15"/>
  <c r="D191" i="15"/>
  <c r="D86" i="15"/>
  <c r="E223" i="15"/>
  <c r="D107" i="15"/>
  <c r="D179" i="15"/>
  <c r="D218" i="15"/>
  <c r="E191" i="15"/>
  <c r="E237" i="15"/>
  <c r="E126" i="15"/>
  <c r="E177" i="15"/>
  <c r="D76" i="15"/>
  <c r="D55" i="15"/>
  <c r="E123" i="15"/>
  <c r="E76" i="15"/>
  <c r="E197" i="15"/>
  <c r="D60" i="15"/>
  <c r="E131" i="15"/>
  <c r="E127" i="15"/>
  <c r="E154" i="15"/>
  <c r="D156" i="15"/>
  <c r="D153" i="15"/>
  <c r="D133" i="15"/>
  <c r="D244" i="15"/>
  <c r="D215" i="15"/>
  <c r="D126" i="15"/>
  <c r="D106" i="15"/>
  <c r="E102" i="15"/>
  <c r="D109" i="15"/>
  <c r="D176" i="15"/>
  <c r="E240" i="15"/>
  <c r="D200" i="15"/>
  <c r="D103" i="15"/>
  <c r="E219" i="15"/>
  <c r="D58" i="15"/>
  <c r="E151" i="15"/>
  <c r="E107" i="15"/>
  <c r="D171" i="15"/>
  <c r="E147" i="15"/>
  <c r="D146" i="15"/>
  <c r="D216" i="15"/>
  <c r="D124" i="15"/>
  <c r="D130" i="15"/>
  <c r="D127" i="15"/>
  <c r="E247" i="15"/>
  <c r="E150" i="15"/>
  <c r="D105" i="15"/>
  <c r="E199" i="15"/>
  <c r="E79" i="15"/>
  <c r="D246" i="15"/>
  <c r="E221" i="15"/>
  <c r="E169" i="15"/>
  <c r="D149" i="15"/>
  <c r="E64" i="15"/>
  <c r="D99" i="15"/>
  <c r="D102" i="15"/>
  <c r="D247" i="15"/>
  <c r="D100" i="15"/>
  <c r="D87" i="15"/>
  <c r="D177" i="15"/>
  <c r="E84" i="15"/>
  <c r="E55" i="15"/>
  <c r="D175" i="15"/>
  <c r="E222" i="15"/>
  <c r="E244" i="15"/>
  <c r="D155" i="15"/>
  <c r="D239" i="15"/>
  <c r="D85" i="15"/>
  <c r="D242" i="15"/>
  <c r="E242" i="15"/>
  <c r="D151" i="15"/>
  <c r="E192" i="15"/>
  <c r="E218" i="15"/>
  <c r="D81" i="15"/>
  <c r="E108" i="15"/>
  <c r="E168" i="15"/>
  <c r="D169" i="15"/>
  <c r="D62" i="15"/>
  <c r="D170" i="15"/>
  <c r="E80" i="15"/>
  <c r="D152" i="15"/>
  <c r="D131" i="15"/>
  <c r="E215" i="15"/>
  <c r="E129" i="15"/>
  <c r="D104" i="15"/>
  <c r="D54" i="15"/>
  <c r="E61" i="15"/>
  <c r="D56" i="15"/>
  <c r="E153" i="15"/>
  <c r="E149" i="15"/>
  <c r="D245" i="15"/>
  <c r="D225" i="15"/>
  <c r="D154" i="15"/>
  <c r="D148" i="15"/>
  <c r="D224" i="15"/>
  <c r="D168" i="15"/>
  <c r="D59" i="15"/>
  <c r="E58" i="15"/>
  <c r="D243" i="15"/>
  <c r="D80" i="15"/>
  <c r="E81" i="15"/>
  <c r="E62" i="15"/>
  <c r="D110" i="15"/>
  <c r="D217" i="15"/>
  <c r="E248" i="15"/>
  <c r="D220" i="15"/>
  <c r="E174" i="15"/>
  <c r="E130" i="15"/>
  <c r="E128" i="15"/>
  <c r="E60" i="15"/>
  <c r="E239" i="15"/>
  <c r="E145" i="15"/>
  <c r="D83" i="15"/>
  <c r="D196" i="15"/>
  <c r="D173" i="15"/>
  <c r="E101" i="15"/>
  <c r="D193" i="15"/>
  <c r="E156" i="15"/>
  <c r="D192" i="15"/>
  <c r="D240" i="15"/>
  <c r="E122" i="15"/>
  <c r="D174" i="15"/>
  <c r="E201" i="15"/>
  <c r="D241" i="15"/>
  <c r="E132" i="15"/>
  <c r="D57" i="15"/>
  <c r="D77" i="15"/>
  <c r="D150" i="15"/>
  <c r="E214" i="15"/>
  <c r="D108" i="15"/>
  <c r="E220" i="15"/>
  <c r="E133" i="15"/>
  <c r="E124" i="15"/>
  <c r="E155" i="15"/>
  <c r="E100" i="15"/>
  <c r="E200" i="15"/>
  <c r="E103" i="15"/>
  <c r="E83" i="15"/>
  <c r="E202" i="15"/>
  <c r="D223" i="15"/>
  <c r="D78" i="15"/>
  <c r="E170" i="15"/>
  <c r="E195" i="15"/>
  <c r="E148" i="15"/>
  <c r="E57" i="15"/>
  <c r="E175" i="15"/>
  <c r="E82" i="15"/>
  <c r="E54" i="15"/>
  <c r="E173" i="15"/>
  <c r="D79" i="15"/>
  <c r="D237" i="15"/>
  <c r="D221" i="15"/>
  <c r="E238" i="15"/>
  <c r="E99" i="15"/>
  <c r="E243" i="15"/>
  <c r="E53" i="15"/>
  <c r="D128" i="15"/>
  <c r="D147" i="15"/>
  <c r="D125" i="15"/>
  <c r="E78" i="15"/>
  <c r="D201" i="15"/>
  <c r="E110" i="15"/>
  <c r="D248" i="15"/>
  <c r="E89" i="15" l="1"/>
  <c r="E88" i="15"/>
  <c r="E250" i="15"/>
  <c r="E249" i="15"/>
  <c r="E66" i="15"/>
  <c r="E65" i="15"/>
  <c r="D66" i="15"/>
  <c r="D65" i="15"/>
  <c r="D89" i="15"/>
  <c r="D88" i="15"/>
  <c r="D112" i="15"/>
  <c r="D111" i="15"/>
  <c r="E111" i="15"/>
  <c r="E112" i="15"/>
  <c r="E135" i="15"/>
  <c r="E134" i="15"/>
  <c r="D134" i="15"/>
  <c r="D135" i="15"/>
  <c r="E158" i="15"/>
  <c r="E157" i="15"/>
  <c r="D158" i="15"/>
  <c r="D157" i="15"/>
  <c r="E181" i="15"/>
  <c r="E180" i="15"/>
  <c r="D181" i="15"/>
  <c r="D180" i="15"/>
  <c r="E204" i="15"/>
  <c r="E203" i="15"/>
  <c r="D204" i="15"/>
  <c r="D203" i="15"/>
  <c r="E227" i="15"/>
  <c r="E226" i="15"/>
  <c r="D227" i="15"/>
  <c r="D226" i="15"/>
  <c r="D249" i="15"/>
  <c r="D250" i="15"/>
  <c r="R128" i="15"/>
  <c r="R122" i="15"/>
  <c r="R105" i="15"/>
  <c r="R99" i="15"/>
  <c r="R82" i="15"/>
  <c r="R76" i="15"/>
  <c r="R59" i="15"/>
  <c r="R53" i="15"/>
  <c r="R36" i="15"/>
  <c r="R30" i="15"/>
  <c r="R4" i="15" l="1"/>
  <c r="G20" i="15" s="1"/>
  <c r="R10" i="15"/>
  <c r="E20" i="15" s="1"/>
  <c r="O16" i="15"/>
  <c r="N16" i="15"/>
  <c r="M16" i="15"/>
  <c r="K16" i="15"/>
  <c r="J16" i="15" l="1"/>
  <c r="L16" i="15"/>
  <c r="Q76" i="15"/>
  <c r="R15" i="6" l="1"/>
  <c r="M10" i="9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H27" i="7" l="1"/>
  <c r="I27" i="7"/>
  <c r="I27" i="1"/>
  <c r="H27" i="1"/>
  <c r="I28" i="7"/>
  <c r="H28" i="7"/>
  <c r="H28" i="1"/>
  <c r="I28" i="1"/>
  <c r="C14" i="7"/>
  <c r="C19" i="7" s="1"/>
  <c r="C23" i="7" s="1"/>
  <c r="B14" i="7"/>
  <c r="B19" i="7" s="1"/>
  <c r="B23" i="7" s="1"/>
  <c r="C14" i="1"/>
  <c r="C19" i="1" s="1"/>
  <c r="C23" i="1" s="1"/>
  <c r="B14" i="1"/>
  <c r="B19" i="1" s="1"/>
  <c r="B23" i="1" s="1"/>
  <c r="D40" i="15"/>
  <c r="D38" i="15"/>
  <c r="E37" i="15"/>
  <c r="D31" i="15"/>
  <c r="E31" i="15"/>
  <c r="D36" i="15"/>
  <c r="D37" i="15"/>
  <c r="E35" i="15"/>
  <c r="D39" i="15"/>
  <c r="E30" i="15"/>
  <c r="E32" i="15"/>
  <c r="D34" i="15"/>
  <c r="D32" i="15"/>
  <c r="E41" i="15"/>
  <c r="E40" i="15"/>
  <c r="E39" i="15"/>
  <c r="D35" i="15"/>
  <c r="D33" i="15"/>
  <c r="D30" i="15"/>
  <c r="E36" i="15"/>
  <c r="D41" i="15"/>
  <c r="E33" i="15"/>
  <c r="E38" i="15"/>
  <c r="E34" i="15"/>
  <c r="D4" i="15" l="1"/>
  <c r="E15" i="15"/>
  <c r="E14" i="15"/>
  <c r="E13" i="15"/>
  <c r="E12" i="15"/>
  <c r="E11" i="15"/>
  <c r="E10" i="15"/>
  <c r="E9" i="15"/>
  <c r="E8" i="15"/>
  <c r="E7" i="15"/>
  <c r="E6" i="15"/>
  <c r="E5" i="15"/>
  <c r="E4" i="15"/>
  <c r="D15" i="15"/>
  <c r="D14" i="15"/>
  <c r="D13" i="15"/>
  <c r="D12" i="15"/>
  <c r="D11" i="15"/>
  <c r="D10" i="15"/>
  <c r="D9" i="15"/>
  <c r="D8" i="15"/>
  <c r="D7" i="15"/>
  <c r="D6" i="15"/>
  <c r="D5" i="15"/>
  <c r="A4" i="15"/>
  <c r="D17" i="15" l="1"/>
  <c r="E17" i="15"/>
  <c r="B2" i="7"/>
  <c r="B2" i="8" l="1"/>
  <c r="D10" i="1"/>
  <c r="B1" i="13"/>
  <c r="B1" i="9"/>
  <c r="G19" i="9"/>
  <c r="C10" i="9"/>
  <c r="B2" i="1"/>
  <c r="B10" i="9" s="1"/>
  <c r="J12" i="17"/>
  <c r="J11" i="17"/>
  <c r="J10" i="17"/>
  <c r="J9" i="17"/>
  <c r="C11" i="17" l="1"/>
  <c r="C12" i="17" s="1"/>
  <c r="A16" i="14" l="1"/>
  <c r="A17" i="14"/>
  <c r="A13" i="14"/>
  <c r="A7" i="14" l="1"/>
  <c r="B7" i="8" l="1"/>
  <c r="C6" i="8"/>
  <c r="I3" i="13"/>
  <c r="J3" i="13"/>
  <c r="R14" i="9"/>
  <c r="R15" i="9"/>
  <c r="J42" i="15"/>
  <c r="K42" i="15"/>
  <c r="L42" i="15"/>
  <c r="C9" i="8"/>
  <c r="C16" i="8"/>
  <c r="C3" i="6"/>
  <c r="C4" i="6"/>
  <c r="C5" i="6"/>
  <c r="L5" i="6" s="1"/>
  <c r="C6" i="6"/>
  <c r="C7" i="6"/>
  <c r="C8" i="6"/>
  <c r="C9" i="6"/>
  <c r="L9" i="6" s="1"/>
  <c r="C10" i="6"/>
  <c r="C11" i="6"/>
  <c r="C12" i="6"/>
  <c r="C13" i="6"/>
  <c r="L13" i="6" s="1"/>
  <c r="C14" i="6"/>
  <c r="C29" i="8"/>
  <c r="C30" i="8"/>
  <c r="B6" i="8"/>
  <c r="B10" i="13"/>
  <c r="B13" i="13"/>
  <c r="B22" i="13"/>
  <c r="P6" i="15"/>
  <c r="P7" i="15"/>
  <c r="P8" i="15"/>
  <c r="P9" i="15"/>
  <c r="P10" i="15"/>
  <c r="P11" i="15"/>
  <c r="P14" i="15"/>
  <c r="P15" i="15"/>
  <c r="B9" i="8"/>
  <c r="B29" i="8"/>
  <c r="B30" i="8"/>
  <c r="I17" i="9"/>
  <c r="I18" i="9"/>
  <c r="C68" i="8"/>
  <c r="C67" i="8"/>
  <c r="C65" i="8"/>
  <c r="C63" i="8"/>
  <c r="B68" i="8"/>
  <c r="B67" i="8"/>
  <c r="B65" i="8"/>
  <c r="B63" i="8"/>
  <c r="C62" i="8"/>
  <c r="B62" i="8"/>
  <c r="C61" i="8"/>
  <c r="B61" i="8"/>
  <c r="C60" i="8"/>
  <c r="B60" i="8"/>
  <c r="C58" i="8"/>
  <c r="C57" i="8"/>
  <c r="B57" i="8"/>
  <c r="C53" i="8"/>
  <c r="C52" i="8"/>
  <c r="C50" i="8"/>
  <c r="B53" i="8"/>
  <c r="B52" i="8"/>
  <c r="B50" i="8"/>
  <c r="C49" i="8"/>
  <c r="I23" i="8" s="1"/>
  <c r="B49" i="8"/>
  <c r="H23" i="8" s="1"/>
  <c r="C47" i="8"/>
  <c r="B47" i="8"/>
  <c r="C46" i="8"/>
  <c r="C45" i="8"/>
  <c r="B45" i="8"/>
  <c r="C44" i="8"/>
  <c r="B44" i="8"/>
  <c r="C42" i="8"/>
  <c r="B42" i="8"/>
  <c r="C41" i="8"/>
  <c r="B41" i="8"/>
  <c r="C38" i="8"/>
  <c r="B38" i="8"/>
  <c r="C37" i="8"/>
  <c r="B37" i="8"/>
  <c r="C36" i="8"/>
  <c r="B36" i="8"/>
  <c r="B26" i="8"/>
  <c r="C22" i="8"/>
  <c r="B22" i="8"/>
  <c r="C18" i="8"/>
  <c r="C17" i="8"/>
  <c r="B18" i="8"/>
  <c r="B17" i="8"/>
  <c r="B16" i="8"/>
  <c r="C11" i="8"/>
  <c r="B11" i="8"/>
  <c r="C10" i="8"/>
  <c r="B10" i="8"/>
  <c r="C4" i="8"/>
  <c r="B4" i="8"/>
  <c r="B34" i="8"/>
  <c r="C34" i="8" s="1"/>
  <c r="D59" i="8"/>
  <c r="D55" i="8"/>
  <c r="C39" i="7"/>
  <c r="C48" i="7"/>
  <c r="D56" i="7"/>
  <c r="D40" i="7"/>
  <c r="C69" i="7"/>
  <c r="B39" i="7"/>
  <c r="B43" i="7" s="1"/>
  <c r="H19" i="7" s="1"/>
  <c r="B48" i="7"/>
  <c r="H16" i="7"/>
  <c r="B69" i="7"/>
  <c r="D68" i="7"/>
  <c r="D67" i="7"/>
  <c r="D65" i="7"/>
  <c r="D62" i="7"/>
  <c r="D61" i="7"/>
  <c r="D60" i="7"/>
  <c r="D59" i="7"/>
  <c r="D58" i="7"/>
  <c r="D55" i="7"/>
  <c r="D53" i="7"/>
  <c r="D52" i="7"/>
  <c r="D50" i="7"/>
  <c r="D49" i="7"/>
  <c r="D47" i="7"/>
  <c r="D46" i="7"/>
  <c r="D45" i="7"/>
  <c r="D44" i="7"/>
  <c r="D42" i="7"/>
  <c r="D41" i="7"/>
  <c r="D38" i="7"/>
  <c r="D37" i="7"/>
  <c r="D36" i="7"/>
  <c r="B34" i="7"/>
  <c r="C34" i="7" s="1"/>
  <c r="I18" i="7"/>
  <c r="I16" i="7"/>
  <c r="D12" i="7"/>
  <c r="C31" i="7"/>
  <c r="B31" i="7"/>
  <c r="I17" i="7"/>
  <c r="I29" i="7" s="1"/>
  <c r="I24" i="7"/>
  <c r="D26" i="7"/>
  <c r="I23" i="7"/>
  <c r="I26" i="7" s="1"/>
  <c r="H23" i="7"/>
  <c r="H26" i="7" s="1"/>
  <c r="D13" i="7"/>
  <c r="I22" i="7"/>
  <c r="H22" i="7"/>
  <c r="H25" i="7" s="1"/>
  <c r="D22" i="7"/>
  <c r="H21" i="7"/>
  <c r="I21" i="7" s="1"/>
  <c r="D20" i="7"/>
  <c r="D18" i="7"/>
  <c r="D17" i="7"/>
  <c r="D16" i="7"/>
  <c r="H7" i="7"/>
  <c r="H14" i="7"/>
  <c r="D11" i="7"/>
  <c r="D10" i="7"/>
  <c r="D9" i="7"/>
  <c r="D7" i="7"/>
  <c r="H6" i="7"/>
  <c r="I6" i="7" s="1"/>
  <c r="I7" i="1"/>
  <c r="H7" i="1"/>
  <c r="I24" i="1"/>
  <c r="I22" i="1"/>
  <c r="H22" i="1"/>
  <c r="H25" i="1" s="1"/>
  <c r="H23" i="1"/>
  <c r="H26" i="1" s="1"/>
  <c r="I16" i="1"/>
  <c r="C48" i="1"/>
  <c r="I18" i="1" s="1"/>
  <c r="C39" i="1"/>
  <c r="B39" i="1"/>
  <c r="I23" i="1"/>
  <c r="I26" i="1" s="1"/>
  <c r="C13" i="8"/>
  <c r="C12" i="8"/>
  <c r="C24" i="8"/>
  <c r="D12" i="1"/>
  <c r="B20" i="8"/>
  <c r="B13" i="9" s="1"/>
  <c r="D26" i="1"/>
  <c r="D52" i="1"/>
  <c r="D47" i="1"/>
  <c r="D45" i="1"/>
  <c r="D42" i="1"/>
  <c r="D68" i="1"/>
  <c r="C31" i="1"/>
  <c r="B31" i="1"/>
  <c r="B56" i="8"/>
  <c r="H4" i="6"/>
  <c r="M4" i="6" s="1"/>
  <c r="H5" i="6"/>
  <c r="M5" i="6" s="1"/>
  <c r="H6" i="6"/>
  <c r="H7" i="6"/>
  <c r="M7" i="6" s="1"/>
  <c r="H8" i="6"/>
  <c r="M8" i="6" s="1"/>
  <c r="H9" i="6"/>
  <c r="M9" i="6" s="1"/>
  <c r="H10" i="6"/>
  <c r="H11" i="6"/>
  <c r="H12" i="6"/>
  <c r="H13" i="6"/>
  <c r="H14" i="6"/>
  <c r="H3" i="6"/>
  <c r="M3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M13" i="6"/>
  <c r="M6" i="6"/>
  <c r="M10" i="6"/>
  <c r="M11" i="6"/>
  <c r="M12" i="6"/>
  <c r="M14" i="6"/>
  <c r="L3" i="6"/>
  <c r="L4" i="6"/>
  <c r="L6" i="6"/>
  <c r="L7" i="6"/>
  <c r="L8" i="6"/>
  <c r="L10" i="6"/>
  <c r="L11" i="6"/>
  <c r="L12" i="6"/>
  <c r="L14" i="6"/>
  <c r="A10" i="9"/>
  <c r="Q30" i="15"/>
  <c r="D22" i="1"/>
  <c r="P13" i="15"/>
  <c r="H15" i="15"/>
  <c r="H14" i="15"/>
  <c r="H13" i="15"/>
  <c r="H12" i="15"/>
  <c r="H11" i="15"/>
  <c r="H10" i="15"/>
  <c r="H9" i="15"/>
  <c r="H8" i="15"/>
  <c r="H7" i="15"/>
  <c r="H6" i="15"/>
  <c r="H5" i="15"/>
  <c r="H4" i="15"/>
  <c r="G15" i="15"/>
  <c r="G14" i="15"/>
  <c r="G13" i="15"/>
  <c r="G12" i="15"/>
  <c r="G11" i="15"/>
  <c r="G10" i="15"/>
  <c r="G9" i="15"/>
  <c r="G8" i="15"/>
  <c r="G7" i="15"/>
  <c r="G6" i="15"/>
  <c r="G5" i="15"/>
  <c r="G4" i="15"/>
  <c r="F15" i="15"/>
  <c r="F14" i="15"/>
  <c r="F13" i="15"/>
  <c r="F12" i="15"/>
  <c r="F11" i="15"/>
  <c r="F10" i="15"/>
  <c r="F9" i="15"/>
  <c r="F8" i="15"/>
  <c r="F7" i="15"/>
  <c r="F6" i="15"/>
  <c r="F4" i="15"/>
  <c r="F5" i="15"/>
  <c r="P12" i="15"/>
  <c r="P5" i="15"/>
  <c r="A5" i="15"/>
  <c r="E43" i="15"/>
  <c r="D43" i="15"/>
  <c r="O42" i="15"/>
  <c r="N42" i="15"/>
  <c r="M42" i="15"/>
  <c r="H42" i="15"/>
  <c r="G42" i="15"/>
  <c r="F42" i="15"/>
  <c r="E42" i="15"/>
  <c r="D42" i="15"/>
  <c r="C42" i="15"/>
  <c r="B42" i="15"/>
  <c r="A31" i="15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P17" i="15"/>
  <c r="H31" i="6"/>
  <c r="I27" i="6" s="1"/>
  <c r="B34" i="1"/>
  <c r="C34" i="1" s="1"/>
  <c r="I25" i="1"/>
  <c r="M2" i="2"/>
  <c r="O2" i="2" s="1"/>
  <c r="M3" i="2"/>
  <c r="O3" i="2" s="1"/>
  <c r="M4" i="2"/>
  <c r="O4" i="2" s="1"/>
  <c r="M5" i="2"/>
  <c r="O5" i="2" s="1"/>
  <c r="M6" i="2"/>
  <c r="O6" i="2" s="1"/>
  <c r="M7" i="2"/>
  <c r="O7" i="2" s="1"/>
  <c r="M9" i="2"/>
  <c r="O9" i="2" s="1"/>
  <c r="M10" i="2"/>
  <c r="O10" i="2" s="1"/>
  <c r="B3" i="6"/>
  <c r="G35" i="6"/>
  <c r="G51" i="6" s="1"/>
  <c r="B35" i="6"/>
  <c r="B51" i="6"/>
  <c r="B67" i="6"/>
  <c r="B83" i="6" s="1"/>
  <c r="B20" i="6"/>
  <c r="H111" i="6"/>
  <c r="I110" i="6" s="1"/>
  <c r="I104" i="6"/>
  <c r="I103" i="6"/>
  <c r="I99" i="6"/>
  <c r="C111" i="6"/>
  <c r="D106" i="6" s="1"/>
  <c r="D109" i="6"/>
  <c r="D108" i="6"/>
  <c r="D107" i="6"/>
  <c r="D104" i="6"/>
  <c r="D103" i="6"/>
  <c r="D101" i="6"/>
  <c r="D100" i="6"/>
  <c r="D99" i="6"/>
  <c r="H95" i="6"/>
  <c r="I91" i="6" s="1"/>
  <c r="I94" i="6"/>
  <c r="I93" i="6"/>
  <c r="I92" i="6"/>
  <c r="I90" i="6"/>
  <c r="I89" i="6"/>
  <c r="I88" i="6"/>
  <c r="I87" i="6"/>
  <c r="I86" i="6"/>
  <c r="I85" i="6"/>
  <c r="I84" i="6"/>
  <c r="C95" i="6"/>
  <c r="D94" i="6" s="1"/>
  <c r="D87" i="6"/>
  <c r="D86" i="6"/>
  <c r="H79" i="6"/>
  <c r="I76" i="6" s="1"/>
  <c r="I75" i="6"/>
  <c r="I71" i="6"/>
  <c r="I68" i="6"/>
  <c r="I67" i="6"/>
  <c r="C79" i="6"/>
  <c r="D78" i="6" s="1"/>
  <c r="D76" i="6"/>
  <c r="D73" i="6"/>
  <c r="D72" i="6"/>
  <c r="D71" i="6"/>
  <c r="D68" i="6"/>
  <c r="H63" i="6"/>
  <c r="I62" i="6"/>
  <c r="I61" i="6"/>
  <c r="I60" i="6"/>
  <c r="I59" i="6"/>
  <c r="I58" i="6"/>
  <c r="I57" i="6"/>
  <c r="I56" i="6"/>
  <c r="I55" i="6"/>
  <c r="I54" i="6"/>
  <c r="I53" i="6"/>
  <c r="I52" i="6"/>
  <c r="I51" i="6"/>
  <c r="C63" i="6"/>
  <c r="D56" i="6" s="1"/>
  <c r="D62" i="6"/>
  <c r="D61" i="6"/>
  <c r="D59" i="6"/>
  <c r="D58" i="6"/>
  <c r="D57" i="6"/>
  <c r="D55" i="6"/>
  <c r="D54" i="6"/>
  <c r="D53" i="6"/>
  <c r="D51" i="6"/>
  <c r="H47" i="6"/>
  <c r="I40" i="6" s="1"/>
  <c r="I39" i="6"/>
  <c r="I35" i="6"/>
  <c r="C47" i="6"/>
  <c r="D42" i="6" s="1"/>
  <c r="D45" i="6"/>
  <c r="D44" i="6"/>
  <c r="D43" i="6"/>
  <c r="D40" i="6"/>
  <c r="D39" i="6"/>
  <c r="D37" i="6"/>
  <c r="D36" i="6"/>
  <c r="D35" i="6"/>
  <c r="C31" i="6"/>
  <c r="D29" i="6" s="1"/>
  <c r="D27" i="6"/>
  <c r="D26" i="6"/>
  <c r="D24" i="6"/>
  <c r="D22" i="6"/>
  <c r="D20" i="6"/>
  <c r="D19" i="6"/>
  <c r="D67" i="1"/>
  <c r="D65" i="1"/>
  <c r="D62" i="1"/>
  <c r="D61" i="1"/>
  <c r="D60" i="1"/>
  <c r="D59" i="1"/>
  <c r="D55" i="1"/>
  <c r="D53" i="1"/>
  <c r="D50" i="1"/>
  <c r="D49" i="1"/>
  <c r="D44" i="1"/>
  <c r="D41" i="1"/>
  <c r="D38" i="1"/>
  <c r="D37" i="1"/>
  <c r="D36" i="1"/>
  <c r="D18" i="1"/>
  <c r="D17" i="1"/>
  <c r="D16" i="1"/>
  <c r="D11" i="1"/>
  <c r="D9" i="1"/>
  <c r="D6" i="1"/>
  <c r="R1" i="2"/>
  <c r="S1" i="2"/>
  <c r="T1" i="2" s="1"/>
  <c r="U1" i="2" s="1"/>
  <c r="V1" i="2" s="1"/>
  <c r="W1" i="2" s="1"/>
  <c r="X1" i="2" s="1"/>
  <c r="Y1" i="2" s="1"/>
  <c r="Z1" i="2" s="1"/>
  <c r="AA1" i="2" s="1"/>
  <c r="AB1" i="2" s="1"/>
  <c r="U87" i="2"/>
  <c r="J71" i="2"/>
  <c r="H71" i="2"/>
  <c r="M70" i="2"/>
  <c r="O70" i="2" s="1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M63" i="2"/>
  <c r="O63" i="2" s="1"/>
  <c r="M62" i="2"/>
  <c r="O62" i="2" s="1"/>
  <c r="M61" i="2"/>
  <c r="O61" i="2" s="1"/>
  <c r="M60" i="2"/>
  <c r="O60" i="2" s="1"/>
  <c r="M59" i="2"/>
  <c r="O59" i="2" s="1"/>
  <c r="M58" i="2"/>
  <c r="O58" i="2" s="1"/>
  <c r="M57" i="2"/>
  <c r="O57" i="2" s="1"/>
  <c r="M56" i="2"/>
  <c r="O56" i="2" s="1"/>
  <c r="M55" i="2"/>
  <c r="O55" i="2" s="1"/>
  <c r="M54" i="2"/>
  <c r="O54" i="2" s="1"/>
  <c r="M53" i="2"/>
  <c r="O53" i="2" s="1"/>
  <c r="M52" i="2"/>
  <c r="O52" i="2" s="1"/>
  <c r="M51" i="2"/>
  <c r="O51" i="2" s="1"/>
  <c r="M50" i="2"/>
  <c r="O50" i="2" s="1"/>
  <c r="M49" i="2"/>
  <c r="O49" i="2" s="1"/>
  <c r="M48" i="2"/>
  <c r="O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O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O32" i="2" s="1"/>
  <c r="M31" i="2"/>
  <c r="O31" i="2" s="1"/>
  <c r="M30" i="2"/>
  <c r="O30" i="2" s="1"/>
  <c r="M29" i="2"/>
  <c r="O29" i="2" s="1"/>
  <c r="M28" i="2"/>
  <c r="O28" i="2" s="1"/>
  <c r="M27" i="2"/>
  <c r="O27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B68" i="6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I63" i="6"/>
  <c r="B52" i="6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G36" i="6"/>
  <c r="G37" i="6"/>
  <c r="G38" i="6"/>
  <c r="G39" i="6"/>
  <c r="G40" i="6" s="1"/>
  <c r="G41" i="6" s="1"/>
  <c r="G42" i="6" s="1"/>
  <c r="G43" i="6" s="1"/>
  <c r="G44" i="6" s="1"/>
  <c r="G45" i="6" s="1"/>
  <c r="G46" i="6" s="1"/>
  <c r="B36" i="6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G20" i="6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B21" i="6"/>
  <c r="B22" i="6"/>
  <c r="B23" i="6"/>
  <c r="B24" i="6" s="1"/>
  <c r="B25" i="6" s="1"/>
  <c r="B26" i="6" s="1"/>
  <c r="B27" i="6" s="1"/>
  <c r="B28" i="6" s="1"/>
  <c r="B29" i="6" s="1"/>
  <c r="B30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D3" i="9"/>
  <c r="M19" i="9" s="1"/>
  <c r="H6" i="1"/>
  <c r="I6" i="1" s="1"/>
  <c r="H21" i="1"/>
  <c r="I21" i="1" s="1"/>
  <c r="B21" i="13"/>
  <c r="D4" i="13"/>
  <c r="G52" i="6" l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7" i="6"/>
  <c r="B84" i="6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9" i="6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D23" i="6"/>
  <c r="D38" i="6"/>
  <c r="D47" i="6" s="1"/>
  <c r="D46" i="6"/>
  <c r="I41" i="6"/>
  <c r="D52" i="6"/>
  <c r="D60" i="6"/>
  <c r="D74" i="6"/>
  <c r="I69" i="6"/>
  <c r="I77" i="6"/>
  <c r="D88" i="6"/>
  <c r="I83" i="6"/>
  <c r="I95" i="6" s="1"/>
  <c r="D102" i="6"/>
  <c r="D110" i="6"/>
  <c r="I105" i="6"/>
  <c r="I42" i="6"/>
  <c r="D67" i="6"/>
  <c r="D75" i="6"/>
  <c r="I70" i="6"/>
  <c r="I78" i="6"/>
  <c r="D89" i="6"/>
  <c r="I106" i="6"/>
  <c r="I43" i="6"/>
  <c r="D90" i="6"/>
  <c r="I107" i="6"/>
  <c r="D41" i="6"/>
  <c r="I36" i="6"/>
  <c r="I47" i="6" s="1"/>
  <c r="I44" i="6"/>
  <c r="D69" i="6"/>
  <c r="D77" i="6"/>
  <c r="I72" i="6"/>
  <c r="D83" i="6"/>
  <c r="D95" i="6" s="1"/>
  <c r="D91" i="6"/>
  <c r="D105" i="6"/>
  <c r="I100" i="6"/>
  <c r="I108" i="6"/>
  <c r="I37" i="6"/>
  <c r="I45" i="6"/>
  <c r="D70" i="6"/>
  <c r="I73" i="6"/>
  <c r="D84" i="6"/>
  <c r="D92" i="6"/>
  <c r="I101" i="6"/>
  <c r="I109" i="6"/>
  <c r="D48" i="7"/>
  <c r="I38" i="6"/>
  <c r="I46" i="6"/>
  <c r="I74" i="6"/>
  <c r="D85" i="6"/>
  <c r="D93" i="6"/>
  <c r="I102" i="6"/>
  <c r="L15" i="6"/>
  <c r="M17" i="6" s="1"/>
  <c r="A6" i="15"/>
  <c r="Q53" i="15"/>
  <c r="F17" i="15"/>
  <c r="G16" i="15"/>
  <c r="H17" i="15"/>
  <c r="I25" i="6"/>
  <c r="I26" i="6"/>
  <c r="D13" i="6"/>
  <c r="C15" i="6"/>
  <c r="D21" i="6"/>
  <c r="D25" i="6"/>
  <c r="M15" i="6"/>
  <c r="N15" i="6" s="1"/>
  <c r="D30" i="6"/>
  <c r="D28" i="6"/>
  <c r="I26" i="8"/>
  <c r="J11" i="9"/>
  <c r="I11" i="9"/>
  <c r="P4" i="15"/>
  <c r="P16" i="15" s="1"/>
  <c r="G17" i="15"/>
  <c r="H16" i="15"/>
  <c r="F16" i="15"/>
  <c r="I28" i="8"/>
  <c r="I27" i="8"/>
  <c r="B18" i="15"/>
  <c r="B17" i="15"/>
  <c r="B16" i="15"/>
  <c r="E16" i="15"/>
  <c r="D16" i="15"/>
  <c r="O71" i="2"/>
  <c r="F22" i="9" s="1"/>
  <c r="F7" i="13"/>
  <c r="E8" i="13"/>
  <c r="I8" i="1"/>
  <c r="D16" i="13"/>
  <c r="D15" i="13" s="1"/>
  <c r="H18" i="7"/>
  <c r="H34" i="7" s="1"/>
  <c r="F8" i="13"/>
  <c r="I20" i="6"/>
  <c r="I30" i="6"/>
  <c r="I28" i="6"/>
  <c r="I22" i="6"/>
  <c r="I19" i="6"/>
  <c r="I21" i="6"/>
  <c r="I23" i="6"/>
  <c r="I29" i="6"/>
  <c r="I24" i="6"/>
  <c r="H15" i="6"/>
  <c r="I5" i="6" s="1"/>
  <c r="D14" i="7"/>
  <c r="D51" i="7"/>
  <c r="B24" i="8"/>
  <c r="B12" i="9" s="1"/>
  <c r="C15" i="8"/>
  <c r="I25" i="7"/>
  <c r="I31" i="7"/>
  <c r="D21" i="7"/>
  <c r="D64" i="7"/>
  <c r="H17" i="7"/>
  <c r="H30" i="7" s="1"/>
  <c r="D66" i="7"/>
  <c r="D69" i="7"/>
  <c r="B21" i="8"/>
  <c r="B64" i="8"/>
  <c r="D24" i="7"/>
  <c r="D15" i="7"/>
  <c r="C54" i="7"/>
  <c r="C70" i="7" s="1"/>
  <c r="H9" i="7"/>
  <c r="H32" i="7"/>
  <c r="B19" i="15"/>
  <c r="E7" i="13"/>
  <c r="L22" i="6"/>
  <c r="I7" i="8"/>
  <c r="C43" i="7"/>
  <c r="I19" i="7" s="1"/>
  <c r="D6" i="7"/>
  <c r="H24" i="7"/>
  <c r="D39" i="7"/>
  <c r="C56" i="8"/>
  <c r="D56" i="8" s="1"/>
  <c r="B15" i="8"/>
  <c r="C20" i="8"/>
  <c r="C13" i="9" s="1"/>
  <c r="E13" i="9" s="1"/>
  <c r="F13" i="9" s="1"/>
  <c r="B54" i="7"/>
  <c r="B70" i="7" s="1"/>
  <c r="C40" i="8"/>
  <c r="B66" i="8"/>
  <c r="C51" i="8"/>
  <c r="I7" i="7"/>
  <c r="I8" i="7" s="1"/>
  <c r="I30" i="7"/>
  <c r="D9" i="8"/>
  <c r="D44" i="8"/>
  <c r="D52" i="8"/>
  <c r="D16" i="8"/>
  <c r="B31" i="8"/>
  <c r="B14" i="9" s="1"/>
  <c r="C39" i="8"/>
  <c r="D38" i="8"/>
  <c r="O11" i="9"/>
  <c r="D37" i="8"/>
  <c r="D61" i="8"/>
  <c r="D67" i="8"/>
  <c r="D62" i="8"/>
  <c r="D17" i="8"/>
  <c r="D42" i="8"/>
  <c r="D45" i="8"/>
  <c r="D53" i="8"/>
  <c r="D20" i="1"/>
  <c r="C54" i="1"/>
  <c r="D49" i="8"/>
  <c r="D56" i="1"/>
  <c r="D64" i="1"/>
  <c r="D18" i="8"/>
  <c r="D41" i="8"/>
  <c r="C48" i="8"/>
  <c r="I18" i="8" s="1"/>
  <c r="D60" i="8"/>
  <c r="D13" i="1"/>
  <c r="H21" i="8"/>
  <c r="I21" i="8" s="1"/>
  <c r="D65" i="8"/>
  <c r="D21" i="1"/>
  <c r="H6" i="8"/>
  <c r="I6" i="8" s="1"/>
  <c r="H22" i="8"/>
  <c r="H25" i="8" s="1"/>
  <c r="D11" i="8"/>
  <c r="D36" i="8"/>
  <c r="D10" i="8"/>
  <c r="D22" i="8"/>
  <c r="B39" i="8"/>
  <c r="B69" i="1"/>
  <c r="D40" i="1"/>
  <c r="D51" i="1"/>
  <c r="H16" i="1"/>
  <c r="B58" i="8"/>
  <c r="D58" i="8" s="1"/>
  <c r="D58" i="1"/>
  <c r="C64" i="8"/>
  <c r="I17" i="1"/>
  <c r="D50" i="8"/>
  <c r="I24" i="8"/>
  <c r="D15" i="1"/>
  <c r="C43" i="1"/>
  <c r="I19" i="1" s="1"/>
  <c r="I33" i="1" s="1"/>
  <c r="D39" i="1"/>
  <c r="H17" i="1"/>
  <c r="B12" i="8"/>
  <c r="H26" i="8" s="1"/>
  <c r="D47" i="8"/>
  <c r="C31" i="8"/>
  <c r="C14" i="9" s="1"/>
  <c r="C7" i="8"/>
  <c r="C14" i="8" s="1"/>
  <c r="D7" i="1"/>
  <c r="B13" i="8"/>
  <c r="B46" i="8"/>
  <c r="D46" i="8" s="1"/>
  <c r="D46" i="1"/>
  <c r="B48" i="1"/>
  <c r="H24" i="1"/>
  <c r="C26" i="8"/>
  <c r="I22" i="8"/>
  <c r="I25" i="8" s="1"/>
  <c r="D24" i="1"/>
  <c r="C12" i="9"/>
  <c r="E12" i="9" s="1"/>
  <c r="F12" i="9" s="1"/>
  <c r="B12" i="13"/>
  <c r="B43" i="1"/>
  <c r="H19" i="1" s="1"/>
  <c r="B40" i="8"/>
  <c r="B51" i="8"/>
  <c r="H16" i="8" s="1"/>
  <c r="C69" i="1"/>
  <c r="D66" i="1"/>
  <c r="C66" i="8"/>
  <c r="I16" i="8"/>
  <c r="D68" i="8"/>
  <c r="H7" i="8"/>
  <c r="D6" i="8"/>
  <c r="C21" i="8"/>
  <c r="I19" i="15" l="1"/>
  <c r="D111" i="6"/>
  <c r="I111" i="6"/>
  <c r="H33" i="7"/>
  <c r="M18" i="6"/>
  <c r="M19" i="6" s="1"/>
  <c r="D79" i="6"/>
  <c r="I79" i="6"/>
  <c r="G83" i="6"/>
  <c r="G68" i="6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D63" i="6"/>
  <c r="K19" i="15"/>
  <c r="F19" i="15"/>
  <c r="C17" i="15"/>
  <c r="C16" i="15"/>
  <c r="C18" i="15"/>
  <c r="D19" i="15" s="1"/>
  <c r="I12" i="9"/>
  <c r="I14" i="9" s="1"/>
  <c r="I16" i="9" s="1"/>
  <c r="I19" i="9" s="1"/>
  <c r="I20" i="9" s="1"/>
  <c r="D6" i="9" s="1"/>
  <c r="A7" i="15"/>
  <c r="D7" i="6"/>
  <c r="D11" i="6"/>
  <c r="D6" i="6"/>
  <c r="D10" i="6"/>
  <c r="D14" i="6"/>
  <c r="D3" i="6"/>
  <c r="D4" i="6"/>
  <c r="D5" i="6"/>
  <c r="D8" i="6"/>
  <c r="D9" i="6"/>
  <c r="D12" i="6"/>
  <c r="D31" i="6"/>
  <c r="D15" i="8"/>
  <c r="C19" i="8"/>
  <c r="C23" i="8" s="1"/>
  <c r="D24" i="8"/>
  <c r="M14" i="9"/>
  <c r="B14" i="8"/>
  <c r="H28" i="8"/>
  <c r="H27" i="8"/>
  <c r="B8" i="13"/>
  <c r="B17" i="13"/>
  <c r="M18" i="9"/>
  <c r="M20" i="9" s="1"/>
  <c r="E11" i="13"/>
  <c r="O15" i="6"/>
  <c r="O2" i="6" s="1"/>
  <c r="N2" i="6"/>
  <c r="D69" i="1"/>
  <c r="C43" i="8"/>
  <c r="I19" i="8" s="1"/>
  <c r="I33" i="8" s="1"/>
  <c r="D20" i="8"/>
  <c r="D64" i="8"/>
  <c r="H31" i="7"/>
  <c r="H29" i="7"/>
  <c r="D21" i="8"/>
  <c r="I14" i="7"/>
  <c r="I32" i="7"/>
  <c r="I8" i="8"/>
  <c r="E9" i="13"/>
  <c r="I31" i="6"/>
  <c r="I11" i="6"/>
  <c r="I7" i="6"/>
  <c r="I6" i="6"/>
  <c r="I14" i="6"/>
  <c r="I4" i="6"/>
  <c r="I10" i="6"/>
  <c r="I12" i="6"/>
  <c r="L21" i="6"/>
  <c r="L23" i="6" s="1"/>
  <c r="L24" i="6" s="1"/>
  <c r="I9" i="6"/>
  <c r="I3" i="6"/>
  <c r="I8" i="6"/>
  <c r="I13" i="6"/>
  <c r="D14" i="9"/>
  <c r="E14" i="9" s="1"/>
  <c r="F14" i="9" s="1"/>
  <c r="D15" i="9"/>
  <c r="D16" i="9"/>
  <c r="D11" i="9"/>
  <c r="I33" i="7"/>
  <c r="I34" i="7"/>
  <c r="D66" i="8"/>
  <c r="B69" i="8"/>
  <c r="D54" i="7"/>
  <c r="B25" i="7"/>
  <c r="H10" i="7"/>
  <c r="C69" i="8"/>
  <c r="C54" i="8"/>
  <c r="I17" i="8"/>
  <c r="I31" i="8" s="1"/>
  <c r="D51" i="8"/>
  <c r="I34" i="1"/>
  <c r="B43" i="8"/>
  <c r="H19" i="8" s="1"/>
  <c r="D39" i="8"/>
  <c r="B48" i="8"/>
  <c r="H18" i="8" s="1"/>
  <c r="H18" i="1"/>
  <c r="D48" i="1"/>
  <c r="H30" i="1"/>
  <c r="H31" i="1"/>
  <c r="H29" i="1"/>
  <c r="I14" i="1"/>
  <c r="D14" i="1"/>
  <c r="D12" i="8"/>
  <c r="H14" i="1"/>
  <c r="O14" i="9"/>
  <c r="D26" i="8"/>
  <c r="C70" i="1"/>
  <c r="D13" i="8"/>
  <c r="B54" i="1"/>
  <c r="M13" i="9"/>
  <c r="D40" i="8"/>
  <c r="D7" i="8"/>
  <c r="I31" i="1"/>
  <c r="I29" i="1"/>
  <c r="I30" i="1"/>
  <c r="H17" i="8"/>
  <c r="H24" i="8"/>
  <c r="G99" i="6" l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84" i="6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A20" i="15"/>
  <c r="B6" i="9"/>
  <c r="C6" i="9" s="1"/>
  <c r="A8" i="15"/>
  <c r="D15" i="6"/>
  <c r="H14" i="8"/>
  <c r="B19" i="8"/>
  <c r="B23" i="8" s="1"/>
  <c r="D69" i="8"/>
  <c r="I34" i="8"/>
  <c r="I9" i="7"/>
  <c r="D19" i="7"/>
  <c r="D23" i="7"/>
  <c r="E10" i="13"/>
  <c r="E12" i="13" s="1"/>
  <c r="I15" i="6"/>
  <c r="B27" i="7"/>
  <c r="H11" i="7"/>
  <c r="H15" i="7" s="1"/>
  <c r="C70" i="8"/>
  <c r="D48" i="8"/>
  <c r="I29" i="8"/>
  <c r="I30" i="8"/>
  <c r="H34" i="8"/>
  <c r="H33" i="8"/>
  <c r="B54" i="8"/>
  <c r="B70" i="8" s="1"/>
  <c r="B70" i="1"/>
  <c r="D54" i="1"/>
  <c r="H32" i="1"/>
  <c r="H9" i="1"/>
  <c r="H34" i="1"/>
  <c r="H33" i="1"/>
  <c r="H31" i="8"/>
  <c r="H29" i="8"/>
  <c r="H30" i="8"/>
  <c r="I14" i="8"/>
  <c r="D14" i="8"/>
  <c r="D19" i="1"/>
  <c r="I32" i="1"/>
  <c r="I9" i="1"/>
  <c r="A9" i="15" l="1"/>
  <c r="H32" i="8"/>
  <c r="H9" i="8"/>
  <c r="C25" i="7"/>
  <c r="D25" i="7" s="1"/>
  <c r="I10" i="7"/>
  <c r="H12" i="7"/>
  <c r="H13" i="7"/>
  <c r="D54" i="8"/>
  <c r="C25" i="1"/>
  <c r="D23" i="1"/>
  <c r="I10" i="1"/>
  <c r="B25" i="8"/>
  <c r="H10" i="8"/>
  <c r="I32" i="8"/>
  <c r="D19" i="8"/>
  <c r="I9" i="8"/>
  <c r="B25" i="1"/>
  <c r="H10" i="1"/>
  <c r="A10" i="15" l="1"/>
  <c r="C27" i="7"/>
  <c r="I12" i="7" s="1"/>
  <c r="B15" i="9"/>
  <c r="B11" i="9"/>
  <c r="I11" i="7"/>
  <c r="I15" i="7" s="1"/>
  <c r="I13" i="7"/>
  <c r="C25" i="8"/>
  <c r="O10" i="9" s="1"/>
  <c r="I10" i="8"/>
  <c r="D23" i="8"/>
  <c r="H11" i="8"/>
  <c r="H15" i="8" s="1"/>
  <c r="B27" i="8"/>
  <c r="H11" i="1"/>
  <c r="H15" i="1" s="1"/>
  <c r="B27" i="1"/>
  <c r="I11" i="1"/>
  <c r="I15" i="1" s="1"/>
  <c r="D25" i="1"/>
  <c r="C27" i="1"/>
  <c r="D27" i="7" l="1"/>
  <c r="A11" i="15"/>
  <c r="B16" i="9"/>
  <c r="B7" i="13"/>
  <c r="C11" i="9"/>
  <c r="C15" i="9"/>
  <c r="E15" i="9" s="1"/>
  <c r="F15" i="9" s="1"/>
  <c r="D27" i="1"/>
  <c r="I12" i="1"/>
  <c r="I13" i="1"/>
  <c r="H13" i="1"/>
  <c r="H12" i="1"/>
  <c r="H13" i="8"/>
  <c r="H12" i="8"/>
  <c r="D25" i="8"/>
  <c r="I11" i="8"/>
  <c r="I15" i="8" s="1"/>
  <c r="C27" i="8"/>
  <c r="A12" i="15" l="1"/>
  <c r="B9" i="13"/>
  <c r="B11" i="13" s="1"/>
  <c r="B15" i="13" s="1"/>
  <c r="B16" i="13" s="1"/>
  <c r="B18" i="13" s="1"/>
  <c r="B20" i="13" s="1"/>
  <c r="B23" i="13" s="1"/>
  <c r="D27" i="8"/>
  <c r="I13" i="8"/>
  <c r="I12" i="8"/>
  <c r="F18" i="9"/>
  <c r="E11" i="9"/>
  <c r="C16" i="9"/>
  <c r="O12" i="9"/>
  <c r="M11" i="9" s="1"/>
  <c r="M12" i="9" s="1"/>
  <c r="O15" i="9"/>
  <c r="A13" i="15" l="1"/>
  <c r="M15" i="9"/>
  <c r="M16" i="9"/>
  <c r="F11" i="9"/>
  <c r="F16" i="9" s="1"/>
  <c r="E16" i="9"/>
  <c r="F20" i="9" s="1"/>
  <c r="F21" i="9" s="1"/>
  <c r="F26" i="9" s="1"/>
  <c r="B5" i="9" s="1"/>
  <c r="C5" i="9" s="1"/>
  <c r="A14" i="15" l="1"/>
  <c r="F25" i="9"/>
  <c r="F24" i="9"/>
  <c r="F27" i="9" s="1"/>
  <c r="F28" i="9" s="1"/>
  <c r="D5" i="9" s="1"/>
  <c r="M17" i="9"/>
  <c r="M21" i="9" s="1"/>
  <c r="B7" i="9" s="1"/>
  <c r="C7" i="9" s="1"/>
  <c r="A15" i="15" l="1"/>
  <c r="M22" i="9"/>
  <c r="M23" i="9" s="1"/>
  <c r="D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</authors>
  <commentList>
    <comment ref="A1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Please input GST Number</t>
        </r>
      </text>
    </comment>
    <comment ref="F1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Please Input GST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  <author>Awadhesh Jaiswal</author>
  </authors>
  <commentList>
    <comment ref="G1" authorId="0" shapeId="0" xr:uid="{27A4E23F-1BF4-4F95-8BA6-EF7284771F9E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Input date format
(MM-DD- YY)</t>
        </r>
      </text>
    </comment>
    <comment ref="L1" authorId="1" shapeId="0" xr:uid="{7FB90C77-B1AC-4EA8-9E0D-A57E7191D72D}">
      <text>
        <r>
          <rPr>
            <b/>
            <sz val="9"/>
            <color indexed="81"/>
            <rFont val="Tahoma"/>
            <family val="2"/>
          </rPr>
          <t>EMIs paid</t>
        </r>
      </text>
    </comment>
    <comment ref="R1" authorId="0" shapeId="0" xr:uid="{204D1B01-A02E-4F56-BC7D-AFBA80A27345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Latest month date
(MM-DD-YY)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  <author>Awadhesh Jaiswal</author>
  </authors>
  <commentList>
    <comment ref="G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Input date format
(MM-DD- YY)</t>
        </r>
      </text>
    </comment>
    <comment ref="L1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EMIs paid</t>
        </r>
      </text>
    </comment>
    <comment ref="Q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Latest month date
(MM-DD-YY)
</t>
        </r>
      </text>
    </comment>
  </commentList>
</comments>
</file>

<file path=xl/sharedStrings.xml><?xml version="1.0" encoding="utf-8"?>
<sst xmlns="http://schemas.openxmlformats.org/spreadsheetml/2006/main" count="1175" uniqueCount="479">
  <si>
    <t>ROI</t>
  </si>
  <si>
    <t>EMI (Rs.)</t>
  </si>
  <si>
    <t>latest 2 years Financials</t>
  </si>
  <si>
    <t>Financial Year</t>
  </si>
  <si>
    <t>Type of Accounts</t>
  </si>
  <si>
    <t>Audited</t>
  </si>
  <si>
    <t>Financial ratio analysis (in lakhs)</t>
  </si>
  <si>
    <t>Date of Filing ITR( DD-MM-YYYY)</t>
  </si>
  <si>
    <t>Particulars</t>
  </si>
  <si>
    <t>Profit &amp; Loss A/c</t>
  </si>
  <si>
    <t>Total Sales</t>
  </si>
  <si>
    <t>Other operating Income (Income which is incidental to business)</t>
  </si>
  <si>
    <t>Non Operating Income</t>
  </si>
  <si>
    <t>PBDT</t>
  </si>
  <si>
    <t>Cash profit</t>
  </si>
  <si>
    <t>Gross Profit margin</t>
  </si>
  <si>
    <t>Total Current liabilities</t>
  </si>
  <si>
    <t>Gross Profit</t>
  </si>
  <si>
    <t>Total Debt</t>
  </si>
  <si>
    <t>Office &amp; Administrative expenses</t>
  </si>
  <si>
    <t>Adjusted Net worth</t>
  </si>
  <si>
    <t>Other Indirect Expenses</t>
  </si>
  <si>
    <t>Non operating Expenses (Fx loss, loss on sale of assets)</t>
  </si>
  <si>
    <t xml:space="preserve">Salary To Partners/Directors </t>
  </si>
  <si>
    <t>Total current assets</t>
  </si>
  <si>
    <t>EBITDA</t>
  </si>
  <si>
    <t>Interest on Partner's Capital</t>
  </si>
  <si>
    <t>Depreciation</t>
  </si>
  <si>
    <t>Taxes</t>
  </si>
  <si>
    <t>PAT</t>
  </si>
  <si>
    <t>Balance Sheet</t>
  </si>
  <si>
    <t>Liabilities</t>
  </si>
  <si>
    <t>Share capital / Partner's Capital</t>
  </si>
  <si>
    <t xml:space="preserve">Debtors </t>
  </si>
  <si>
    <t>P &amp; L A/c</t>
  </si>
  <si>
    <t>Debtors Collection period (Days)</t>
  </si>
  <si>
    <t>Revaluation Reserves / Notional Reserves</t>
  </si>
  <si>
    <t>Creditors</t>
  </si>
  <si>
    <t>Creditors payment period (Days)</t>
  </si>
  <si>
    <t>Bank Borrowing - Working Capital (OD/CC)</t>
  </si>
  <si>
    <t>Stock Value</t>
  </si>
  <si>
    <t>Stock replenishment period (days)</t>
  </si>
  <si>
    <t>Total Loan funds</t>
  </si>
  <si>
    <t>Net working Capital</t>
  </si>
  <si>
    <t>Other Loans (From private parties)</t>
  </si>
  <si>
    <t>Current ratio</t>
  </si>
  <si>
    <t>Sundry Creditors</t>
  </si>
  <si>
    <t>Quick ratio</t>
  </si>
  <si>
    <t>Advances from customers</t>
  </si>
  <si>
    <t>Interest coverage ratio</t>
  </si>
  <si>
    <t>Other current liabilities</t>
  </si>
  <si>
    <t>Deffered Tax Liability/(Assets)</t>
  </si>
  <si>
    <t>Total</t>
  </si>
  <si>
    <t>Assets</t>
  </si>
  <si>
    <t>Stock</t>
  </si>
  <si>
    <t xml:space="preserve">Debtors  </t>
  </si>
  <si>
    <t>&lt; 6 months</t>
  </si>
  <si>
    <t>&gt; 6 Months</t>
  </si>
  <si>
    <t>Advances to Suppliers</t>
  </si>
  <si>
    <t>Cash &amp; Bank Balances</t>
  </si>
  <si>
    <t>Other current assets</t>
  </si>
  <si>
    <t>Other Non Current assets (Security Deposits)</t>
  </si>
  <si>
    <t>Difference</t>
  </si>
  <si>
    <t>Location 3</t>
  </si>
  <si>
    <t>Location 4</t>
  </si>
  <si>
    <t>Location 5</t>
  </si>
  <si>
    <t>Location 6</t>
  </si>
  <si>
    <t>Sl.no</t>
  </si>
  <si>
    <t>Month</t>
  </si>
  <si>
    <t>Total no. of months GST returns collected</t>
  </si>
  <si>
    <t>Annualised T.O</t>
  </si>
  <si>
    <t>Incremental T.O</t>
  </si>
  <si>
    <t>% of growth in T.O for current FY</t>
  </si>
  <si>
    <t>Nature of loan</t>
  </si>
  <si>
    <t>EMI</t>
  </si>
  <si>
    <t>Tenure</t>
  </si>
  <si>
    <t>Paid</t>
  </si>
  <si>
    <t>Remarks</t>
  </si>
  <si>
    <t>Debits</t>
  </si>
  <si>
    <t>Credits</t>
  </si>
  <si>
    <t>1st</t>
  </si>
  <si>
    <t>5th</t>
  </si>
  <si>
    <t>10th</t>
  </si>
  <si>
    <t>15th</t>
  </si>
  <si>
    <t>20th</t>
  </si>
  <si>
    <t>25th</t>
  </si>
  <si>
    <t>Purchases</t>
  </si>
  <si>
    <t>Inc/dec%</t>
  </si>
  <si>
    <t>EBIDTA/PBDIT</t>
  </si>
  <si>
    <t>Average</t>
  </si>
  <si>
    <t>Eligibility (%)</t>
  </si>
  <si>
    <t>Eligibility (Rs.)</t>
  </si>
  <si>
    <t>Tax (In negative)</t>
  </si>
  <si>
    <t>Appraised Monthly Income</t>
  </si>
  <si>
    <t>Appraised Obligations</t>
  </si>
  <si>
    <t>Previous Exposure with Fedbank</t>
  </si>
  <si>
    <t>Max EMI</t>
  </si>
  <si>
    <t>Eligibility calculation under GST Program</t>
  </si>
  <si>
    <t>Consolidated GST T.O ---A</t>
  </si>
  <si>
    <t>Net profit % -C = (A*B)</t>
  </si>
  <si>
    <t>EBIDTA---F= (C+D+E)</t>
  </si>
  <si>
    <t>Proportionate tax - E=D/A*100</t>
  </si>
  <si>
    <t>EBIDTA after tax--H=(F-G)</t>
  </si>
  <si>
    <t>Next 12 months EMI obligations</t>
  </si>
  <si>
    <t>Proposed Fedfina EMI for next 12 months</t>
  </si>
  <si>
    <t>Total liability ---I</t>
  </si>
  <si>
    <t>DSCR -- H/I</t>
  </si>
  <si>
    <t>Eligibility Calculation under ABB scheme</t>
  </si>
  <si>
    <t>Applied Loan Amount</t>
  </si>
  <si>
    <t>Name of the applicant</t>
  </si>
  <si>
    <t>Current O/s</t>
  </si>
  <si>
    <t>Tenure Left</t>
  </si>
  <si>
    <t xml:space="preserve">Consider for Obligation </t>
  </si>
  <si>
    <t>Source</t>
  </si>
  <si>
    <t>Consolidated Banking</t>
  </si>
  <si>
    <t>Particular</t>
  </si>
  <si>
    <t>Balance at Specific Date In Month</t>
  </si>
  <si>
    <t>Months</t>
  </si>
  <si>
    <t>Business Transactions</t>
  </si>
  <si>
    <t>Others</t>
  </si>
  <si>
    <t>Name of the Account Holder:</t>
  </si>
  <si>
    <t>A/c of</t>
  </si>
  <si>
    <t>Bank</t>
  </si>
  <si>
    <t>A/c No.</t>
  </si>
  <si>
    <t>Type</t>
  </si>
  <si>
    <t>Period</t>
  </si>
  <si>
    <t>EMI Paid from this Account</t>
  </si>
  <si>
    <t xml:space="preserve">Top Line </t>
  </si>
  <si>
    <t>Banking -1</t>
  </si>
  <si>
    <t>Yes</t>
  </si>
  <si>
    <t>Nov</t>
  </si>
  <si>
    <t>Dec</t>
  </si>
  <si>
    <t>Jan</t>
  </si>
  <si>
    <t>Feb</t>
  </si>
  <si>
    <t>Mar</t>
  </si>
  <si>
    <t>Apr</t>
  </si>
  <si>
    <t>May</t>
  </si>
  <si>
    <t>July</t>
  </si>
  <si>
    <t>Aug</t>
  </si>
  <si>
    <t>Sep</t>
  </si>
  <si>
    <t>Oct</t>
  </si>
  <si>
    <t>Eligibility as per ABB Scheme</t>
  </si>
  <si>
    <t>DSCR under Normal Financial scheme</t>
  </si>
  <si>
    <t>DSCR under GST Method</t>
  </si>
  <si>
    <t>Loan in the name</t>
  </si>
  <si>
    <t>Loan Capacity</t>
  </si>
  <si>
    <t>Consolidated GST returns summary for FY 2019-20</t>
  </si>
  <si>
    <t>Consolidated GST returns summary for FY 2020-21</t>
  </si>
  <si>
    <t>Gross TO</t>
  </si>
  <si>
    <t>Previous FY Year T.O</t>
  </si>
  <si>
    <t>%</t>
  </si>
  <si>
    <t>Appraised Income</t>
  </si>
  <si>
    <t>Appraised Income Considered</t>
  </si>
  <si>
    <t>Eligible Loan Amount at DSCR=1 (In Lacs)</t>
  </si>
  <si>
    <t>Tenure (Months)</t>
  </si>
  <si>
    <t>No</t>
  </si>
  <si>
    <t>Debtors collection period =Total debtors/Sales * 365</t>
  </si>
  <si>
    <t>Creditors payment period = Trade creditors/Purchases * 365</t>
  </si>
  <si>
    <t>Stock replenishment period =(Closing Stock/Raw materials consumed or COGS (Cost of goods sold)) * 365</t>
  </si>
  <si>
    <t>Adjusted Networth =Capital+ Reserves &amp; Surplus+ Loans from family members-Loans to related parties-Investment in group concerns-Debtors outstanding morethan 6 months-Fictious assets</t>
  </si>
  <si>
    <t>Cash Profit =PAT+Depreciation+Director/Partners remuneration+Interest on partners loan/Capital+Other non operating expenses (Expenses which are not relevant to business)</t>
  </si>
  <si>
    <t>Total Current assets =Debtors+Advances to suppliers+Other current assets+Loans &amp; advances investments</t>
  </si>
  <si>
    <t>NWC = CA - CL</t>
  </si>
  <si>
    <t>Total Current liabilities = OD/CC+Creditors+ Advance received from customers+Other current liabilities</t>
  </si>
  <si>
    <t>CR = CA/CL</t>
  </si>
  <si>
    <t>Multiplier -B</t>
  </si>
  <si>
    <t>C = (A*B)</t>
  </si>
  <si>
    <t>Depreciation - D</t>
  </si>
  <si>
    <t>Gross receipts - A</t>
  </si>
  <si>
    <t xml:space="preserve">Total </t>
  </si>
  <si>
    <t>Annual obligations - D</t>
  </si>
  <si>
    <t>Eligibility F = (C-D)</t>
  </si>
  <si>
    <t>Eligibility calculation under LAP surrogate</t>
  </si>
  <si>
    <t>LAP Loan Amount</t>
  </si>
  <si>
    <t>Paid - A</t>
  </si>
  <si>
    <t>LAP EMI Amount -B</t>
  </si>
  <si>
    <t>Eligible BL amount (Max cap Rs.10lacs) - (A*B)</t>
  </si>
  <si>
    <t>Debt Equity Ratio</t>
  </si>
  <si>
    <t>Leverage = (Total Current liabilities+Total debt)/Adjusted Networth</t>
  </si>
  <si>
    <t>Debt Equity Ratio = Total debt/Adjusted Networth</t>
  </si>
  <si>
    <t>Pre disbursement DSCR</t>
  </si>
  <si>
    <t>Post disbursement DSCR</t>
  </si>
  <si>
    <t>Interest on CC/ OD limits</t>
  </si>
  <si>
    <t>Interest on term loans</t>
  </si>
  <si>
    <t>FY 2020-21 (P)</t>
  </si>
  <si>
    <t>FY 20-21 (Based on turnover trend anaylsis</t>
  </si>
  <si>
    <t>Turnover Trend Analysis</t>
  </si>
  <si>
    <t>Average Bank Balance</t>
  </si>
  <si>
    <t>12 Months</t>
  </si>
  <si>
    <t>6 Months</t>
  </si>
  <si>
    <t>Profession of the Applicant</t>
  </si>
  <si>
    <t>CA</t>
  </si>
  <si>
    <t>CS</t>
  </si>
  <si>
    <t>Doctor</t>
  </si>
  <si>
    <t>Financier Name</t>
  </si>
  <si>
    <t>ABB</t>
  </si>
  <si>
    <t>ABB Multiplier</t>
  </si>
  <si>
    <t>Net ABB</t>
  </si>
  <si>
    <t>Eligible EMI</t>
  </si>
  <si>
    <t>Tenor (Months)</t>
  </si>
  <si>
    <t>Rate Of Interest</t>
  </si>
  <si>
    <t>Eligibility (In Lacs)</t>
  </si>
  <si>
    <t>Disbursal date</t>
  </si>
  <si>
    <t>BTO for 12months</t>
  </si>
  <si>
    <t>BTO for 6Months</t>
  </si>
  <si>
    <t>Location -1</t>
  </si>
  <si>
    <t>O/W Return Ratio</t>
  </si>
  <si>
    <t>I/W Return Ratio</t>
  </si>
  <si>
    <t>Profit Before Tax (Excluding non operating income)</t>
  </si>
  <si>
    <t>Regular Income Method</t>
  </si>
  <si>
    <t>Name of the Applicant</t>
  </si>
  <si>
    <t>Sum of EMIs clearing from other bank accounts</t>
  </si>
  <si>
    <t>Net profit for FY2020 - A</t>
  </si>
  <si>
    <t>Net profit % for FY2020 ---B</t>
  </si>
  <si>
    <t>Projected NP for FY2021--- C = A*B</t>
  </si>
  <si>
    <t>T.O for FY2020 - B</t>
  </si>
  <si>
    <t>Tax liability for FY2020 - D</t>
  </si>
  <si>
    <t>Interest for FY2020 (Other than OD/CC) -- E</t>
  </si>
  <si>
    <t>Depreciation &amp; Director remuneration for FY2020-- D</t>
  </si>
  <si>
    <t>Jun</t>
  </si>
  <si>
    <t>Turnover in FY 20</t>
  </si>
  <si>
    <t>Turnover in FY 21</t>
  </si>
  <si>
    <t>Growth  in CFY</t>
  </si>
  <si>
    <t>PBT</t>
  </si>
  <si>
    <t>No - Justified Growth</t>
  </si>
  <si>
    <t>Profit Before Tax (PBT)</t>
  </si>
  <si>
    <t>Interest Expenses - E</t>
  </si>
  <si>
    <t>Other Income - F</t>
  </si>
  <si>
    <t>G = (C+D+E+F)</t>
  </si>
  <si>
    <t>Monthly Income - H = F/12</t>
  </si>
  <si>
    <t>Monthly obligations - I</t>
  </si>
  <si>
    <t>Eligible EMI J =( H-I)</t>
  </si>
  <si>
    <t>Eligiblity(In lakhs)</t>
  </si>
  <si>
    <t>Location -2</t>
  </si>
  <si>
    <t>Banking -2</t>
  </si>
  <si>
    <t>Banking -3</t>
  </si>
  <si>
    <t>Banking -4</t>
  </si>
  <si>
    <t>Banking -5</t>
  </si>
  <si>
    <t>12M Average Balance</t>
  </si>
  <si>
    <t>6M Average Balance</t>
  </si>
  <si>
    <t>Value Summation</t>
  </si>
  <si>
    <t>Count</t>
  </si>
  <si>
    <t>Inward Returns (Count)</t>
  </si>
  <si>
    <t>Outward Returns (Count)</t>
  </si>
  <si>
    <t>Stop Pymt. (Count)</t>
  </si>
  <si>
    <t>Minimum Balance Charges (Y/N)</t>
  </si>
  <si>
    <t>Average Bank balance</t>
  </si>
  <si>
    <t>Category of Customer</t>
  </si>
  <si>
    <t>SENP</t>
  </si>
  <si>
    <t>Company</t>
  </si>
  <si>
    <t>Property Ownership</t>
  </si>
  <si>
    <t>Category of Location</t>
  </si>
  <si>
    <t>Overall business Continuity</t>
  </si>
  <si>
    <t>Current business stability</t>
  </si>
  <si>
    <t>Gap between both the years ITR is morethan 6 months</t>
  </si>
  <si>
    <t>Commercial CIBIL score is upto CMR -6</t>
  </si>
  <si>
    <t>Not Applicable</t>
  </si>
  <si>
    <t>Other Tier I</t>
  </si>
  <si>
    <t>Agency PD</t>
  </si>
  <si>
    <t>PD Done by</t>
  </si>
  <si>
    <t>DSCR Method</t>
  </si>
  <si>
    <t>30-10-2019</t>
  </si>
  <si>
    <t>Growth in the PAT in the latest audited financials compared to previous financial year</t>
  </si>
  <si>
    <t>Son</t>
  </si>
  <si>
    <t>User input</t>
  </si>
  <si>
    <t>Growing of non-perennial crops</t>
  </si>
  <si>
    <t>Output</t>
  </si>
  <si>
    <t>Growing of perennial crops</t>
  </si>
  <si>
    <t>Plant propagation</t>
  </si>
  <si>
    <t>All figures to be entered in Rs. Lakhs only</t>
  </si>
  <si>
    <t>Animal production</t>
  </si>
  <si>
    <t>Mixed farming</t>
  </si>
  <si>
    <t>MSME Industry Check</t>
  </si>
  <si>
    <t>Support activities to agriculture and post-harvest crop activities</t>
  </si>
  <si>
    <t>Hunting, trapping and related service activities</t>
  </si>
  <si>
    <t>Criteria 1-Type of business</t>
  </si>
  <si>
    <t>Service</t>
  </si>
  <si>
    <t>Result</t>
  </si>
  <si>
    <t>Silviculture and other forestry activities</t>
  </si>
  <si>
    <t>Criteria 2-Industry</t>
  </si>
  <si>
    <t>Logging</t>
  </si>
  <si>
    <t>Investment in Plant and Machinery or Equipment</t>
  </si>
  <si>
    <t>Classification</t>
  </si>
  <si>
    <t>Gathering of non-wood forest products</t>
  </si>
  <si>
    <t>Annual Turnover 
(Exclude/Deduct Exports)</t>
  </si>
  <si>
    <t>Support services to forestry</t>
  </si>
  <si>
    <t>MSME</t>
  </si>
  <si>
    <t>Fishing</t>
  </si>
  <si>
    <t>MSME Type</t>
  </si>
  <si>
    <t>Aquaculture</t>
  </si>
  <si>
    <t>Sale of motor vehicles</t>
  </si>
  <si>
    <t>Sale of motor vehicle parts and accessories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</si>
  <si>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</si>
  <si>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</si>
  <si>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</si>
  <si>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</si>
  <si>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machinery, equipment and supplies</t>
  </si>
  <si>
    <t>Other specialized wholesale</t>
  </si>
  <si>
    <t>Non-specialized wholesale trade</t>
  </si>
  <si>
    <t>Retail sale in non-specialized stores</t>
  </si>
  <si>
    <t>Retail sale of food, beverages and tobacco in specialized stores</t>
  </si>
  <si>
    <t>Retail sale of automotive fuel in specialized stores</t>
  </si>
  <si>
    <t>Retail sale of information and communications equipment in specialized stores</t>
  </si>
  <si>
    <t>Retail sale of other household equipment in specialized stores</t>
  </si>
  <si>
    <t>Retail sale of cultural and recreation goods in specialized stores</t>
  </si>
  <si>
    <t>Retail sale of other goods in specialized stores</t>
  </si>
  <si>
    <t>Retail sale via stalls and markets</t>
  </si>
  <si>
    <t>Retail trade not in stores, stalls or markets</t>
  </si>
  <si>
    <t>Activities of extraterritorial organizations and bodies</t>
  </si>
  <si>
    <t>Gambling and betting activities</t>
  </si>
  <si>
    <t>Manufacturing</t>
  </si>
  <si>
    <t>100% Trading</t>
  </si>
  <si>
    <t>Trading + Manufacturing/Service Provider</t>
  </si>
  <si>
    <t>New Business Line</t>
  </si>
  <si>
    <t>For highgrowth cases whether income calculated on Average</t>
  </si>
  <si>
    <t>Gross TO excluding taxes</t>
  </si>
  <si>
    <t>Net worth</t>
  </si>
  <si>
    <t>Advances to group co./friends</t>
  </si>
  <si>
    <t>Unsecured Loans from Promoters &amp; family members</t>
  </si>
  <si>
    <t>Secured debts - Banks &amp; Nbfc</t>
  </si>
  <si>
    <t>Misc. Exp. Not written off</t>
  </si>
  <si>
    <t>Adjusted tangible Networth</t>
  </si>
  <si>
    <t>Net Tangible Fixed Assets ( Including Capital WIP)</t>
  </si>
  <si>
    <t>Net Intangible Fixed Assets</t>
  </si>
  <si>
    <t>Other loans &amp; advances</t>
  </si>
  <si>
    <t>Prepaid expenses</t>
  </si>
  <si>
    <t>Provisions (for exps, tax, etc.)</t>
  </si>
  <si>
    <t>Tax on the above income</t>
  </si>
  <si>
    <t>Director/Partners remuneration/Interest on partners Capital for clubbing</t>
  </si>
  <si>
    <t>Net income considered for Eligibility</t>
  </si>
  <si>
    <t>Net profit Margin</t>
  </si>
  <si>
    <t>Turnover growth rate</t>
  </si>
  <si>
    <t>Turnover</t>
  </si>
  <si>
    <t>Leverage Ratio (TOL/ATNW)</t>
  </si>
  <si>
    <t>Investments</t>
  </si>
  <si>
    <t>Total debt =Bank borrowings (Secured &amp; Unsecured)+Loans from private parties</t>
  </si>
  <si>
    <t>QR = QA/CL.
(QA = CA - Stock)</t>
  </si>
  <si>
    <t>Eligible ABB</t>
  </si>
  <si>
    <t>Maximum Fundable Loan Amount under DSCR Program (In Lacs)</t>
  </si>
  <si>
    <t>Maximum Fundable LA under ABB scheme (In Lacs)</t>
  </si>
  <si>
    <t>Eligible loan amount at DSCR=1 (In lacs)</t>
  </si>
  <si>
    <t>Maximum Fundable LA under GST Method (In Lacs)</t>
  </si>
  <si>
    <t>Maximum Fundable LA under LAP Surrogate scheme</t>
  </si>
  <si>
    <t>Eligible Loan Amount(In Lakhs)</t>
  </si>
  <si>
    <t>GST Method</t>
  </si>
  <si>
    <t>Tier I- Delhi NCR &amp; Mumbai MMR</t>
  </si>
  <si>
    <t>Applicant business premises is within the Geolimit of Fedfina
(Tier -1- Delhi NCR &amp; Mumbai MMR- 100kms, Other Tier 1 - 75kms, Tier 2 - 50kms + Spoke locations)</t>
  </si>
  <si>
    <t>Proprietorship</t>
  </si>
  <si>
    <t>LLP</t>
  </si>
  <si>
    <t>Scheme</t>
  </si>
  <si>
    <t>Tier</t>
  </si>
  <si>
    <t>Customer Category</t>
  </si>
  <si>
    <t>PD</t>
  </si>
  <si>
    <t>ABB Scheme</t>
  </si>
  <si>
    <t>LAP Surrogate</t>
  </si>
  <si>
    <t>Salaried Doctor scheme</t>
  </si>
  <si>
    <t>Proposed Program</t>
  </si>
  <si>
    <t>SEP GPR Method</t>
  </si>
  <si>
    <t>SEP NP Method</t>
  </si>
  <si>
    <t>Tier II</t>
  </si>
  <si>
    <t>Constitution</t>
  </si>
  <si>
    <t>Individual</t>
  </si>
  <si>
    <t>Partnership</t>
  </si>
  <si>
    <t>No Property</t>
  </si>
  <si>
    <t>Applicant</t>
  </si>
  <si>
    <t>Spouse</t>
  </si>
  <si>
    <t>Parents</t>
  </si>
  <si>
    <t>Grand Parents</t>
  </si>
  <si>
    <t>Business Continuity</t>
  </si>
  <si>
    <t>Less than 5 years</t>
  </si>
  <si>
    <t>Equal to 5 years</t>
  </si>
  <si>
    <t>Agency PD along with Credit Video PD</t>
  </si>
  <si>
    <t>Credit Physical PD</t>
  </si>
  <si>
    <t>Credit Tele PD</t>
  </si>
  <si>
    <t>Credit Video PD</t>
  </si>
  <si>
    <t>More than 5 years</t>
  </si>
  <si>
    <t>Unsecured loan with seasoning of 12 months or more (Live or closed in the last 6 months)</t>
  </si>
  <si>
    <t>Available</t>
  </si>
  <si>
    <t>SEP -Doctor</t>
  </si>
  <si>
    <t>SEP -CA</t>
  </si>
  <si>
    <t>SEP -CS</t>
  </si>
  <si>
    <t>Consulting Doctor scheme</t>
  </si>
  <si>
    <t>Lessthan 3 years</t>
  </si>
  <si>
    <t xml:space="preserve">Micro </t>
  </si>
  <si>
    <t xml:space="preserve">Small </t>
  </si>
  <si>
    <t>Medium</t>
  </si>
  <si>
    <t xml:space="preserve">Not more than Rs.1 crore </t>
  </si>
  <si>
    <t xml:space="preserve">Not more than Rs.10 crore </t>
  </si>
  <si>
    <t xml:space="preserve">Not more than Rs.50 crore </t>
  </si>
  <si>
    <t>Annual Turnover </t>
  </si>
  <si>
    <t>not more than Rs. 5 crore</t>
  </si>
  <si>
    <t>not more than Rs. 50 crore</t>
  </si>
  <si>
    <t>not more than Rs. 250 crore</t>
  </si>
  <si>
    <t>Industry</t>
  </si>
  <si>
    <t>Classification /Criteria</t>
  </si>
  <si>
    <t>Date of Filing ITR (DD-MMM-YYYY)</t>
  </si>
  <si>
    <t>QR = QA/CL. (QA = CA - Stock)</t>
  </si>
  <si>
    <t>Debt Equity Ratio = Total debt/Adjusted Tangible Networth</t>
  </si>
  <si>
    <t>Inventory Turnover</t>
  </si>
  <si>
    <t>Profit Before Depreciation &amp; Tax (PBDT)</t>
  </si>
  <si>
    <t>FY 2019-20</t>
  </si>
  <si>
    <t>Tax</t>
  </si>
  <si>
    <t>PAT (A)</t>
  </si>
  <si>
    <t>Applicant Name</t>
  </si>
  <si>
    <t>ABC</t>
  </si>
  <si>
    <t>Gross Professional Receipts (GPR) Method</t>
  </si>
  <si>
    <t>Net Profit (NP) Method</t>
  </si>
  <si>
    <t>Total Turnover</t>
  </si>
  <si>
    <t>Loan Amount</t>
  </si>
  <si>
    <t>Director/Partners remuneration/ Interest on partners Capital</t>
  </si>
  <si>
    <t>Interest on Term loan add back</t>
  </si>
  <si>
    <t xml:space="preserve">Proportionate tax </t>
  </si>
  <si>
    <t>Working Capital Analysis (In lakhs)</t>
  </si>
  <si>
    <t>EBIDTA/Financial cost (Interest expenses other than interest paid to partners/Directors)</t>
  </si>
  <si>
    <t>Unsecured Debt - Banks &amp; Nbfc</t>
  </si>
  <si>
    <t>Repayment A/c</t>
  </si>
  <si>
    <t>Input (Absolute amount/ Lacs)</t>
  </si>
  <si>
    <t>Absolute</t>
  </si>
  <si>
    <t>NON business Income</t>
  </si>
  <si>
    <t>Opening stock</t>
  </si>
  <si>
    <t>Closing Stock</t>
  </si>
  <si>
    <t>Direct Expenses</t>
  </si>
  <si>
    <t>Inventory Turnover=(COGS/Average stock)</t>
  </si>
  <si>
    <t>GST last 12 months for GST method</t>
  </si>
  <si>
    <t>Month-Year</t>
  </si>
  <si>
    <t>6 Months ABB</t>
  </si>
  <si>
    <t>Note: First 2 banking is for Current Account/Saving Account, rest can be used for CC/OD/additional CA/SB</t>
  </si>
  <si>
    <t>Version 3.0</t>
  </si>
  <si>
    <t>Banking -6</t>
  </si>
  <si>
    <t>Banking -7</t>
  </si>
  <si>
    <t>Banking -8</t>
  </si>
  <si>
    <t>Banking -9</t>
  </si>
  <si>
    <t>Banking -10</t>
  </si>
  <si>
    <t>Credit Information Report</t>
  </si>
  <si>
    <t>Co-Applicant 1</t>
  </si>
  <si>
    <t>Co-Applicant 2</t>
  </si>
  <si>
    <t>Co-Applicant 3</t>
  </si>
  <si>
    <t>Co-Applicant 4</t>
  </si>
  <si>
    <t>Co-Applicant 5</t>
  </si>
  <si>
    <t>Credit Information Company</t>
  </si>
  <si>
    <t>Name</t>
  </si>
  <si>
    <t>DOB/DOI</t>
  </si>
  <si>
    <t>PAN No</t>
  </si>
  <si>
    <t>Credit Score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</si>
  <si>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</si>
  <si>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</si>
  <si>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</si>
  <si>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</si>
  <si>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</si>
  <si>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</si>
  <si>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</si>
  <si>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</si>
  <si>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</si>
  <si>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</si>
  <si>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</si>
  <si>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</si>
  <si>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Details</t>
  </si>
  <si>
    <t>Repayment-Track</t>
  </si>
  <si>
    <t>Sl. No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</si>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</sst>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₹&quot;\ #,##0;[Red]&quot;₹&quot;\ \-#,##0"/>
    <numFmt numFmtId="41" formatCode="_ * #,##0_ ;_ * \-#,##0_ ;_ * &quot;-&quot;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/yy;@"/>
    <numFmt numFmtId="167" formatCode="_ * #,##0_ ;_ * \-#,##0_ ;_ * &quot;-&quot;??_ ;_ @_ "/>
    <numFmt numFmtId="168" formatCode="#,##0.00\ ;&quot; (&quot;#,##0.00\);&quot; -&quot;#\ ;@\ "/>
    <numFmt numFmtId="169" formatCode="#,##0\ ;&quot; (&quot;#,##0\);&quot; -&quot;#\ ;@\ "/>
    <numFmt numFmtId="170" formatCode="_-* #,##0.00_-;_-* #,##0.00\-;_-* &quot;-&quot;??_-;_-@_-"/>
    <numFmt numFmtId="171" formatCode="#,##0;\-#,##0;\-"/>
    <numFmt numFmtId="172" formatCode="_-* #,##0_-;_-* #,##0\-;_-* &quot;-&quot;??_-;_-@_-"/>
    <numFmt numFmtId="173" formatCode="[$-409]mmm\-yy;@"/>
    <numFmt numFmtId="174" formatCode="_(* #,##0_);_(* \(#,##0\);_(* &quot;-&quot;??_);_(@_)"/>
    <numFmt numFmtId="175" formatCode="_-* #,##0.00_-;\-* #,##0.00_-;_-* &quot;-&quot;??_-;_-@_-"/>
    <numFmt numFmtId="176" formatCode="dd/mmm/yyyy"/>
    <numFmt numFmtId="177" formatCode="mmmm/yyyy"/>
    <numFmt numFmtId="178" formatCode="0;;;@"/>
  </numFmts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Zurich BT"/>
      <charset val="134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1F4E79"/>
      <name val="Calibri"/>
      <family val="2"/>
    </font>
    <font>
      <sz val="11"/>
      <color rgb="FF1F4E79"/>
      <name val="Calibri"/>
      <family val="2"/>
    </font>
    <font>
      <b/>
      <sz val="11"/>
      <name val="Zurich B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S Sans Serif"/>
      <charset val="134"/>
    </font>
    <font>
      <sz val="12"/>
      <name val="Arial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 Unicode MS"/>
      <family val="2"/>
    </font>
    <font>
      <sz val="10"/>
      <name val="Arial Unicode MS"/>
      <family val="2"/>
    </font>
    <font>
      <b/>
      <u/>
      <sz val="10"/>
      <name val="Arial Unicode MS"/>
      <family val="2"/>
    </font>
    <font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2"/>
        <bgColor indexed="31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9">
    <xf numFmtId="0" fontId="0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2" fillId="0" borderId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9" fontId="32" fillId="0" borderId="0" applyFont="0" applyFill="0" applyBorder="0" applyAlignment="0" applyProtection="0"/>
    <xf numFmtId="0" fontId="27" fillId="0" borderId="0"/>
    <xf numFmtId="0" fontId="32" fillId="0" borderId="0"/>
    <xf numFmtId="43" fontId="27" fillId="0" borderId="0" applyFont="0" applyFill="0" applyBorder="0" applyAlignment="0" applyProtection="0"/>
    <xf numFmtId="0" fontId="37" fillId="0" borderId="0"/>
    <xf numFmtId="168" fontId="37" fillId="0" borderId="0" applyFill="0" applyBorder="0" applyAlignment="0" applyProtection="0"/>
    <xf numFmtId="0" fontId="26" fillId="0" borderId="0"/>
    <xf numFmtId="165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170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0" fontId="64" fillId="0" borderId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64" fillId="0" borderId="0"/>
    <xf numFmtId="0" fontId="32" fillId="0" borderId="0"/>
    <xf numFmtId="175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37" fillId="0" borderId="0" applyFill="0" applyBorder="0" applyAlignment="0" applyProtection="0"/>
    <xf numFmtId="170" fontId="4" fillId="0" borderId="0" applyFont="0" applyFill="0" applyBorder="0" applyAlignment="0" applyProtection="0"/>
    <xf numFmtId="0" fontId="66" fillId="0" borderId="0" applyNumberFormat="0" applyBorder="0" applyProtection="0">
      <alignment vertical="top" wrapText="1"/>
    </xf>
    <xf numFmtId="0" fontId="67" fillId="0" borderId="0" applyNumberFormat="0" applyFill="0" applyBorder="0" applyAlignment="0" applyProtection="0"/>
    <xf numFmtId="0" fontId="4" fillId="0" borderId="0"/>
    <xf numFmtId="0" fontId="64" fillId="0" borderId="0"/>
    <xf numFmtId="0" fontId="64" fillId="0" borderId="0"/>
    <xf numFmtId="0" fontId="4" fillId="0" borderId="0"/>
    <xf numFmtId="0" fontId="37" fillId="0" borderId="0"/>
    <xf numFmtId="0" fontId="64" fillId="0" borderId="0"/>
    <xf numFmtId="0" fontId="4" fillId="0" borderId="0"/>
    <xf numFmtId="0" fontId="32" fillId="0" borderId="0"/>
    <xf numFmtId="0" fontId="4" fillId="0" borderId="0"/>
    <xf numFmtId="0" fontId="65" fillId="0" borderId="0"/>
    <xf numFmtId="0" fontId="39" fillId="0" borderId="0"/>
    <xf numFmtId="0" fontId="3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7">
    <xf numFmtId="0" fontId="0" fillId="0" borderId="0" xfId="0"/>
    <xf numFmtId="0" fontId="28" fillId="0" borderId="1" xfId="0" applyFont="1" applyBorder="1"/>
    <xf numFmtId="0" fontId="0" fillId="0" borderId="1" xfId="0" applyBorder="1"/>
    <xf numFmtId="16" fontId="0" fillId="0" borderId="0" xfId="0" applyNumberFormat="1"/>
    <xf numFmtId="0" fontId="0" fillId="0" borderId="0" xfId="0" applyBorder="1"/>
    <xf numFmtId="167" fontId="0" fillId="0" borderId="1" xfId="1" applyNumberFormat="1" applyFont="1" applyBorder="1"/>
    <xf numFmtId="9" fontId="0" fillId="0" borderId="0" xfId="0" applyNumberFormat="1"/>
    <xf numFmtId="167" fontId="0" fillId="0" borderId="1" xfId="0" applyNumberFormat="1" applyBorder="1"/>
    <xf numFmtId="0" fontId="38" fillId="4" borderId="15" xfId="15" applyFont="1" applyFill="1" applyBorder="1" applyAlignment="1">
      <alignment horizontal="center" vertical="center"/>
    </xf>
    <xf numFmtId="0" fontId="38" fillId="4" borderId="27" xfId="15" applyFont="1" applyFill="1" applyBorder="1" applyAlignment="1">
      <alignment horizontal="center" vertical="center"/>
    </xf>
    <xf numFmtId="0" fontId="38" fillId="4" borderId="5" xfId="15" applyFont="1" applyFill="1" applyBorder="1" applyAlignment="1">
      <alignment horizontal="center" vertical="center"/>
    </xf>
    <xf numFmtId="0" fontId="25" fillId="0" borderId="1" xfId="0" applyFont="1" applyBorder="1"/>
    <xf numFmtId="0" fontId="38" fillId="4" borderId="10" xfId="15" applyFont="1" applyFill="1" applyBorder="1" applyAlignment="1">
      <alignment horizontal="center" vertical="center"/>
    </xf>
    <xf numFmtId="0" fontId="21" fillId="0" borderId="0" xfId="0" applyFont="1" applyBorder="1"/>
    <xf numFmtId="0" fontId="42" fillId="0" borderId="0" xfId="0" applyFont="1" applyBorder="1" applyAlignment="1">
      <alignment horizontal="center" wrapText="1"/>
    </xf>
    <xf numFmtId="1" fontId="42" fillId="0" borderId="0" xfId="0" applyNumberFormat="1" applyFont="1" applyBorder="1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19" fillId="0" borderId="0" xfId="0" applyFont="1"/>
    <xf numFmtId="0" fontId="38" fillId="4" borderId="29" xfId="15" applyFont="1" applyFill="1" applyBorder="1" applyAlignment="1">
      <alignment horizontal="center" vertical="center"/>
    </xf>
    <xf numFmtId="0" fontId="28" fillId="0" borderId="0" xfId="0" applyFont="1"/>
    <xf numFmtId="0" fontId="28" fillId="8" borderId="1" xfId="0" applyFont="1" applyFill="1" applyBorder="1"/>
    <xf numFmtId="17" fontId="28" fillId="8" borderId="1" xfId="0" applyNumberFormat="1" applyFont="1" applyFill="1" applyBorder="1"/>
    <xf numFmtId="0" fontId="44" fillId="16" borderId="33" xfId="0" applyFont="1" applyFill="1" applyBorder="1"/>
    <xf numFmtId="3" fontId="44" fillId="16" borderId="33" xfId="0" applyNumberFormat="1" applyFont="1" applyFill="1" applyBorder="1"/>
    <xf numFmtId="6" fontId="31" fillId="6" borderId="5" xfId="0" applyNumberFormat="1" applyFont="1" applyFill="1" applyBorder="1"/>
    <xf numFmtId="0" fontId="28" fillId="8" borderId="1" xfId="0" applyFont="1" applyFill="1" applyBorder="1" applyAlignment="1">
      <alignment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9" fontId="0" fillId="0" borderId="0" xfId="2" applyFont="1" applyProtection="1">
      <protection locked="0"/>
    </xf>
    <xf numFmtId="2" fontId="0" fillId="8" borderId="1" xfId="0" applyNumberFormat="1" applyFill="1" applyBorder="1" applyAlignment="1" applyProtection="1">
      <alignment horizontal="center"/>
    </xf>
    <xf numFmtId="0" fontId="28" fillId="8" borderId="1" xfId="0" applyFont="1" applyFill="1" applyBorder="1" applyAlignment="1" applyProtection="1">
      <alignment horizontal="center"/>
    </xf>
    <xf numFmtId="2" fontId="28" fillId="8" borderId="1" xfId="0" applyNumberFormat="1" applyFont="1" applyFill="1" applyBorder="1" applyAlignment="1" applyProtection="1">
      <alignment horizontal="center"/>
    </xf>
    <xf numFmtId="0" fontId="31" fillId="0" borderId="6" xfId="0" applyFont="1" applyFill="1" applyBorder="1" applyAlignment="1" applyProtection="1">
      <alignment horizontal="center"/>
      <protection locked="0"/>
    </xf>
    <xf numFmtId="10" fontId="31" fillId="0" borderId="20" xfId="2" applyNumberFormat="1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>
      <alignment horizontal="center"/>
      <protection locked="0"/>
    </xf>
    <xf numFmtId="0" fontId="46" fillId="0" borderId="5" xfId="0" applyFont="1" applyBorder="1" applyAlignment="1" applyProtection="1">
      <alignment horizontal="center" vertical="center"/>
      <protection locked="0"/>
    </xf>
    <xf numFmtId="169" fontId="39" fillId="0" borderId="1" xfId="16" applyNumberFormat="1" applyFont="1" applyFill="1" applyBorder="1" applyAlignment="1" applyProtection="1">
      <alignment horizontal="right" vertical="top"/>
      <protection locked="0"/>
    </xf>
    <xf numFmtId="0" fontId="0" fillId="0" borderId="0" xfId="0" applyBorder="1" applyProtection="1">
      <protection locked="0"/>
    </xf>
    <xf numFmtId="0" fontId="22" fillId="0" borderId="0" xfId="0" applyFont="1" applyProtection="1">
      <protection locked="0"/>
    </xf>
    <xf numFmtId="0" fontId="0" fillId="0" borderId="0" xfId="0" applyAlignment="1" applyProtection="1">
      <protection locked="0"/>
    </xf>
    <xf numFmtId="168" fontId="39" fillId="0" borderId="1" xfId="16" applyNumberFormat="1" applyFont="1" applyFill="1" applyBorder="1" applyAlignment="1" applyProtection="1">
      <alignment horizontal="right" vertical="top"/>
      <protection locked="0"/>
    </xf>
    <xf numFmtId="0" fontId="28" fillId="8" borderId="1" xfId="0" applyFont="1" applyFill="1" applyBorder="1" applyProtection="1"/>
    <xf numFmtId="0" fontId="38" fillId="4" borderId="10" xfId="15" applyFont="1" applyFill="1" applyBorder="1" applyAlignment="1" applyProtection="1">
      <alignment horizontal="center" vertical="center"/>
    </xf>
    <xf numFmtId="0" fontId="38" fillId="4" borderId="5" xfId="15" applyFont="1" applyFill="1" applyBorder="1" applyAlignment="1" applyProtection="1">
      <alignment horizontal="center" vertical="center"/>
    </xf>
    <xf numFmtId="0" fontId="0" fillId="0" borderId="0" xfId="0" applyProtection="1"/>
    <xf numFmtId="0" fontId="42" fillId="8" borderId="1" xfId="0" applyFont="1" applyFill="1" applyBorder="1" applyProtection="1"/>
    <xf numFmtId="0" fontId="42" fillId="0" borderId="1" xfId="0" applyFont="1" applyBorder="1" applyProtection="1"/>
    <xf numFmtId="0" fontId="0" fillId="8" borderId="1" xfId="0" applyFill="1" applyBorder="1" applyProtection="1"/>
    <xf numFmtId="17" fontId="0" fillId="8" borderId="1" xfId="0" applyNumberFormat="1" applyFill="1" applyBorder="1" applyProtection="1"/>
    <xf numFmtId="167" fontId="0" fillId="8" borderId="1" xfId="1" applyNumberFormat="1" applyFont="1" applyFill="1" applyBorder="1" applyProtection="1"/>
    <xf numFmtId="9" fontId="0" fillId="8" borderId="1" xfId="2" applyFont="1" applyFill="1" applyBorder="1" applyAlignment="1" applyProtection="1">
      <alignment horizontal="center"/>
    </xf>
    <xf numFmtId="0" fontId="42" fillId="8" borderId="1" xfId="0" quotePrefix="1" applyFont="1" applyFill="1" applyBorder="1" applyProtection="1"/>
    <xf numFmtId="172" fontId="42" fillId="7" borderId="1" xfId="1" applyNumberFormat="1" applyFont="1" applyFill="1" applyBorder="1" applyAlignment="1" applyProtection="1">
      <alignment horizontal="right"/>
    </xf>
    <xf numFmtId="172" fontId="0" fillId="0" borderId="0" xfId="0" applyNumberFormat="1" applyProtection="1"/>
    <xf numFmtId="0" fontId="42" fillId="8" borderId="20" xfId="0" quotePrefix="1" applyFont="1" applyFill="1" applyBorder="1" applyProtection="1"/>
    <xf numFmtId="172" fontId="42" fillId="7" borderId="20" xfId="1" applyNumberFormat="1" applyFont="1" applyFill="1" applyBorder="1" applyAlignment="1" applyProtection="1">
      <alignment horizontal="right"/>
    </xf>
    <xf numFmtId="167" fontId="28" fillId="8" borderId="1" xfId="1" applyNumberFormat="1" applyFont="1" applyFill="1" applyBorder="1" applyProtection="1"/>
    <xf numFmtId="9" fontId="28" fillId="8" borderId="1" xfId="2" applyFont="1" applyFill="1" applyBorder="1" applyAlignment="1" applyProtection="1">
      <alignment horizontal="center"/>
    </xf>
    <xf numFmtId="0" fontId="42" fillId="8" borderId="23" xfId="0" applyFont="1" applyFill="1" applyBorder="1" applyProtection="1"/>
    <xf numFmtId="172" fontId="0" fillId="0" borderId="24" xfId="0" applyNumberFormat="1" applyBorder="1" applyProtection="1"/>
    <xf numFmtId="9" fontId="42" fillId="8" borderId="25" xfId="0" applyNumberFormat="1" applyFont="1" applyFill="1" applyBorder="1" applyAlignment="1" applyProtection="1">
      <alignment horizontal="right"/>
    </xf>
    <xf numFmtId="0" fontId="19" fillId="0" borderId="0" xfId="0" applyFont="1" applyProtection="1"/>
    <xf numFmtId="0" fontId="42" fillId="0" borderId="0" xfId="0" applyFont="1" applyProtection="1"/>
    <xf numFmtId="172" fontId="42" fillId="0" borderId="0" xfId="1" applyNumberFormat="1" applyFont="1" applyProtection="1"/>
    <xf numFmtId="9" fontId="0" fillId="8" borderId="1" xfId="2" applyFont="1" applyFill="1" applyBorder="1" applyProtection="1"/>
    <xf numFmtId="0" fontId="0" fillId="8" borderId="1" xfId="0" applyFill="1" applyBorder="1" applyAlignment="1" applyProtection="1">
      <alignment wrapText="1"/>
    </xf>
    <xf numFmtId="165" fontId="0" fillId="8" borderId="1" xfId="0" applyNumberFormat="1" applyFill="1" applyBorder="1" applyProtection="1"/>
    <xf numFmtId="10" fontId="18" fillId="0" borderId="0" xfId="0" applyNumberFormat="1" applyFont="1" applyProtection="1"/>
    <xf numFmtId="41" fontId="0" fillId="8" borderId="1" xfId="0" applyNumberFormat="1" applyFill="1" applyBorder="1" applyProtection="1"/>
    <xf numFmtId="9" fontId="0" fillId="2" borderId="1" xfId="2" applyFont="1" applyFill="1" applyBorder="1" applyProtection="1"/>
    <xf numFmtId="9" fontId="28" fillId="8" borderId="1" xfId="2" applyFont="1" applyFill="1" applyBorder="1" applyProtection="1"/>
    <xf numFmtId="167" fontId="0" fillId="0" borderId="1" xfId="1" applyNumberFormat="1" applyFont="1" applyFill="1" applyBorder="1" applyProtection="1">
      <protection locked="0"/>
    </xf>
    <xf numFmtId="17" fontId="0" fillId="0" borderId="1" xfId="0" applyNumberFormat="1" applyFill="1" applyBorder="1" applyProtection="1">
      <protection locked="0"/>
    </xf>
    <xf numFmtId="167" fontId="0" fillId="0" borderId="1" xfId="22" applyNumberFormat="1" applyFont="1" applyFill="1" applyBorder="1" applyProtection="1">
      <protection locked="0"/>
    </xf>
    <xf numFmtId="173" fontId="28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36" fillId="0" borderId="26" xfId="17" applyNumberFormat="1" applyFont="1" applyBorder="1" applyAlignment="1" applyProtection="1">
      <alignment vertical="center"/>
      <protection locked="0"/>
    </xf>
    <xf numFmtId="0" fontId="36" fillId="0" borderId="18" xfId="17" applyNumberFormat="1" applyFont="1" applyBorder="1" applyAlignment="1" applyProtection="1">
      <alignment vertical="center"/>
      <protection locked="0"/>
    </xf>
    <xf numFmtId="167" fontId="28" fillId="0" borderId="1" xfId="1" applyNumberFormat="1" applyFont="1" applyBorder="1" applyProtection="1">
      <protection locked="0"/>
    </xf>
    <xf numFmtId="167" fontId="0" fillId="0" borderId="1" xfId="1" applyNumberFormat="1" applyFont="1" applyBorder="1" applyProtection="1">
      <protection locked="0"/>
    </xf>
    <xf numFmtId="0" fontId="24" fillId="0" borderId="1" xfId="0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0" fontId="31" fillId="0" borderId="1" xfId="0" applyFont="1" applyFill="1" applyBorder="1" applyProtection="1">
      <protection locked="0"/>
    </xf>
    <xf numFmtId="167" fontId="31" fillId="0" borderId="4" xfId="1" applyNumberFormat="1" applyFont="1" applyFill="1" applyBorder="1" applyAlignment="1" applyProtection="1">
      <alignment horizontal="center"/>
      <protection locked="0"/>
    </xf>
    <xf numFmtId="9" fontId="31" fillId="0" borderId="1" xfId="2" applyNumberFormat="1" applyFont="1" applyFill="1" applyBorder="1" applyProtection="1">
      <protection locked="0"/>
    </xf>
    <xf numFmtId="9" fontId="44" fillId="16" borderId="33" xfId="0" applyNumberFormat="1" applyFont="1" applyFill="1" applyBorder="1"/>
    <xf numFmtId="169" fontId="38" fillId="11" borderId="1" xfId="16" applyNumberFormat="1" applyFont="1" applyFill="1" applyBorder="1" applyAlignment="1" applyProtection="1">
      <alignment vertical="center" wrapText="1"/>
    </xf>
    <xf numFmtId="9" fontId="38" fillId="11" borderId="1" xfId="16" applyNumberFormat="1" applyFont="1" applyFill="1" applyBorder="1" applyAlignment="1" applyProtection="1">
      <alignment horizontal="center" vertical="center" wrapText="1"/>
    </xf>
    <xf numFmtId="169" fontId="38" fillId="11" borderId="1" xfId="16" applyNumberFormat="1" applyFont="1" applyFill="1" applyBorder="1" applyAlignment="1" applyProtection="1">
      <alignment horizontal="center" vertical="center" wrapText="1"/>
    </xf>
    <xf numFmtId="169" fontId="39" fillId="12" borderId="1" xfId="16" applyNumberFormat="1" applyFont="1" applyFill="1" applyBorder="1" applyAlignment="1" applyProtection="1">
      <alignment vertical="top" wrapText="1"/>
    </xf>
    <xf numFmtId="169" fontId="39" fillId="12" borderId="1" xfId="16" applyNumberFormat="1" applyFont="1" applyFill="1" applyBorder="1" applyAlignment="1" applyProtection="1">
      <alignment horizontal="right" vertical="top" wrapText="1"/>
    </xf>
    <xf numFmtId="9" fontId="39" fillId="11" borderId="1" xfId="16" applyNumberFormat="1" applyFont="1" applyFill="1" applyBorder="1" applyAlignment="1" applyProtection="1">
      <alignment horizontal="right" vertical="top"/>
    </xf>
    <xf numFmtId="169" fontId="39" fillId="11" borderId="1" xfId="16" applyNumberFormat="1" applyFont="1" applyFill="1" applyBorder="1" applyAlignment="1" applyProtection="1">
      <alignment horizontal="right" vertical="top"/>
    </xf>
    <xf numFmtId="0" fontId="38" fillId="11" borderId="10" xfId="15" applyFont="1" applyFill="1" applyBorder="1" applyAlignment="1" applyProtection="1">
      <alignment vertical="center"/>
    </xf>
    <xf numFmtId="169" fontId="38" fillId="11" borderId="1" xfId="15" applyNumberFormat="1" applyFont="1" applyFill="1" applyBorder="1" applyAlignment="1" applyProtection="1">
      <alignment vertical="center"/>
    </xf>
    <xf numFmtId="169" fontId="38" fillId="11" borderId="1" xfId="16" applyNumberFormat="1" applyFont="1" applyFill="1" applyBorder="1" applyAlignment="1" applyProtection="1">
      <alignment vertical="top"/>
    </xf>
    <xf numFmtId="9" fontId="0" fillId="13" borderId="1" xfId="0" applyNumberFormat="1" applyFill="1" applyBorder="1" applyProtection="1"/>
    <xf numFmtId="1" fontId="0" fillId="13" borderId="1" xfId="2" applyNumberFormat="1" applyFont="1" applyFill="1" applyBorder="1" applyProtection="1"/>
    <xf numFmtId="169" fontId="30" fillId="11" borderId="1" xfId="16" applyNumberFormat="1" applyFont="1" applyFill="1" applyBorder="1" applyAlignment="1" applyProtection="1">
      <alignment horizontal="right"/>
    </xf>
    <xf numFmtId="169" fontId="39" fillId="13" borderId="1" xfId="16" applyNumberFormat="1" applyFont="1" applyFill="1" applyBorder="1" applyAlignment="1" applyProtection="1">
      <alignment horizontal="right" vertical="top"/>
    </xf>
    <xf numFmtId="2" fontId="0" fillId="13" borderId="1" xfId="0" applyNumberFormat="1" applyFill="1" applyBorder="1" applyProtection="1"/>
    <xf numFmtId="2" fontId="47" fillId="13" borderId="12" xfId="15" applyNumberFormat="1" applyFont="1" applyFill="1" applyBorder="1" applyProtection="1"/>
    <xf numFmtId="40" fontId="0" fillId="13" borderId="1" xfId="0" applyNumberFormat="1" applyFill="1" applyBorder="1" applyProtection="1"/>
    <xf numFmtId="0" fontId="12" fillId="0" borderId="1" xfId="0" applyFont="1" applyBorder="1" applyProtection="1">
      <protection locked="0"/>
    </xf>
    <xf numFmtId="0" fontId="28" fillId="8" borderId="1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Border="1" applyProtection="1"/>
    <xf numFmtId="0" fontId="28" fillId="8" borderId="4" xfId="0" applyFont="1" applyFill="1" applyBorder="1" applyProtection="1"/>
    <xf numFmtId="166" fontId="28" fillId="8" borderId="1" xfId="0" applyNumberFormat="1" applyFont="1" applyFill="1" applyBorder="1" applyAlignment="1" applyProtection="1">
      <alignment horizontal="center"/>
    </xf>
    <xf numFmtId="1" fontId="0" fillId="8" borderId="1" xfId="0" applyNumberFormat="1" applyFill="1" applyBorder="1" applyAlignment="1" applyProtection="1">
      <alignment horizontal="center"/>
    </xf>
    <xf numFmtId="0" fontId="38" fillId="15" borderId="2" xfId="15" applyFont="1" applyFill="1" applyBorder="1" applyAlignment="1" applyProtection="1">
      <alignment horizontal="center" vertical="center"/>
    </xf>
    <xf numFmtId="0" fontId="38" fillId="15" borderId="3" xfId="15" applyFont="1" applyFill="1" applyBorder="1" applyAlignment="1" applyProtection="1">
      <alignment horizontal="center" vertical="center"/>
    </xf>
    <xf numFmtId="169" fontId="38" fillId="9" borderId="1" xfId="16" applyNumberFormat="1" applyFont="1" applyFill="1" applyBorder="1" applyAlignment="1" applyProtection="1">
      <alignment horizontal="center" vertical="center" wrapText="1"/>
    </xf>
    <xf numFmtId="0" fontId="0" fillId="16" borderId="1" xfId="0" applyFill="1" applyBorder="1" applyProtection="1"/>
    <xf numFmtId="41" fontId="0" fillId="16" borderId="1" xfId="0" applyNumberFormat="1" applyFill="1" applyBorder="1" applyProtection="1"/>
    <xf numFmtId="0" fontId="16" fillId="16" borderId="1" xfId="0" applyFont="1" applyFill="1" applyBorder="1" applyProtection="1"/>
    <xf numFmtId="0" fontId="46" fillId="16" borderId="4" xfId="0" applyFont="1" applyFill="1" applyBorder="1" applyAlignment="1" applyProtection="1">
      <alignment vertical="center"/>
    </xf>
    <xf numFmtId="169" fontId="39" fillId="10" borderId="1" xfId="21" applyNumberFormat="1" applyFont="1" applyFill="1" applyBorder="1" applyAlignment="1" applyProtection="1">
      <alignment vertical="top" wrapText="1"/>
    </xf>
    <xf numFmtId="169" fontId="39" fillId="16" borderId="1" xfId="16" applyNumberFormat="1" applyFont="1" applyFill="1" applyBorder="1" applyAlignment="1" applyProtection="1">
      <alignment horizontal="right" vertical="top"/>
    </xf>
    <xf numFmtId="9" fontId="0" fillId="16" borderId="1" xfId="0" applyNumberFormat="1" applyFill="1" applyBorder="1" applyProtection="1"/>
    <xf numFmtId="9" fontId="0" fillId="16" borderId="1" xfId="2" applyNumberFormat="1" applyFont="1" applyFill="1" applyBorder="1" applyProtection="1"/>
    <xf numFmtId="169" fontId="39" fillId="16" borderId="1" xfId="21" applyNumberFormat="1" applyFont="1" applyFill="1" applyBorder="1" applyAlignment="1" applyProtection="1">
      <alignment vertical="top"/>
    </xf>
    <xf numFmtId="169" fontId="39" fillId="16" borderId="1" xfId="21" applyNumberFormat="1" applyFont="1" applyFill="1" applyBorder="1" applyAlignment="1" applyProtection="1">
      <alignment vertical="top" wrapText="1"/>
    </xf>
    <xf numFmtId="0" fontId="45" fillId="16" borderId="9" xfId="0" applyFont="1" applyFill="1" applyBorder="1" applyAlignment="1" applyProtection="1">
      <alignment horizontal="center" vertical="center"/>
    </xf>
    <xf numFmtId="0" fontId="28" fillId="16" borderId="1" xfId="0" applyFont="1" applyFill="1" applyBorder="1" applyProtection="1"/>
    <xf numFmtId="41" fontId="28" fillId="16" borderId="1" xfId="0" applyNumberFormat="1" applyFont="1" applyFill="1" applyBorder="1" applyProtection="1"/>
    <xf numFmtId="9" fontId="0" fillId="16" borderId="1" xfId="2" applyFont="1" applyFill="1" applyBorder="1" applyProtection="1"/>
    <xf numFmtId="167" fontId="0" fillId="16" borderId="1" xfId="0" applyNumberFormat="1" applyFill="1" applyBorder="1" applyProtection="1"/>
    <xf numFmtId="167" fontId="28" fillId="16" borderId="1" xfId="0" applyNumberFormat="1" applyFont="1" applyFill="1" applyBorder="1" applyProtection="1"/>
    <xf numFmtId="0" fontId="22" fillId="0" borderId="0" xfId="0" applyFont="1" applyProtection="1"/>
    <xf numFmtId="167" fontId="0" fillId="16" borderId="1" xfId="1" applyNumberFormat="1" applyFont="1" applyFill="1" applyBorder="1" applyProtection="1"/>
    <xf numFmtId="0" fontId="14" fillId="0" borderId="0" xfId="0" applyFont="1" applyProtection="1"/>
    <xf numFmtId="2" fontId="0" fillId="16" borderId="1" xfId="0" applyNumberFormat="1" applyFill="1" applyBorder="1" applyProtection="1"/>
    <xf numFmtId="169" fontId="0" fillId="0" borderId="0" xfId="0" applyNumberFormat="1" applyProtection="1"/>
    <xf numFmtId="169" fontId="39" fillId="0" borderId="0" xfId="16" applyNumberFormat="1" applyFont="1" applyFill="1" applyBorder="1" applyAlignment="1" applyProtection="1">
      <alignment vertical="top"/>
    </xf>
    <xf numFmtId="169" fontId="39" fillId="0" borderId="0" xfId="16" applyNumberFormat="1" applyFont="1" applyFill="1" applyBorder="1" applyAlignment="1" applyProtection="1">
      <alignment horizontal="center" vertical="center"/>
    </xf>
    <xf numFmtId="169" fontId="39" fillId="0" borderId="0" xfId="16" applyNumberFormat="1" applyFont="1" applyFill="1" applyBorder="1" applyAlignment="1" applyProtection="1">
      <alignment horizontal="right" vertical="top"/>
    </xf>
    <xf numFmtId="10" fontId="39" fillId="0" borderId="0" xfId="16" applyNumberFormat="1" applyFont="1" applyFill="1" applyBorder="1" applyAlignment="1" applyProtection="1">
      <alignment horizontal="right" vertical="top"/>
    </xf>
    <xf numFmtId="2" fontId="39" fillId="0" borderId="0" xfId="15" applyNumberFormat="1" applyFont="1" applyFill="1" applyBorder="1" applyAlignment="1" applyProtection="1">
      <alignment horizontal="right"/>
    </xf>
    <xf numFmtId="169" fontId="38" fillId="0" borderId="0" xfId="16" applyNumberFormat="1" applyFont="1" applyFill="1" applyBorder="1" applyAlignment="1" applyProtection="1">
      <alignment vertical="top"/>
    </xf>
    <xf numFmtId="10" fontId="38" fillId="0" borderId="0" xfId="16" applyNumberFormat="1" applyFont="1" applyFill="1" applyBorder="1" applyAlignment="1" applyProtection="1">
      <alignment horizontal="right" vertical="top"/>
    </xf>
    <xf numFmtId="0" fontId="38" fillId="4" borderId="15" xfId="15" applyFont="1" applyFill="1" applyBorder="1" applyAlignment="1" applyProtection="1">
      <alignment horizontal="center" vertical="center"/>
      <protection locked="0"/>
    </xf>
    <xf numFmtId="0" fontId="38" fillId="4" borderId="27" xfId="15" applyFont="1" applyFill="1" applyBorder="1" applyAlignment="1" applyProtection="1">
      <alignment horizontal="center" vertical="center"/>
      <protection locked="0"/>
    </xf>
    <xf numFmtId="0" fontId="41" fillId="0" borderId="0" xfId="0" applyFont="1" applyBorder="1"/>
    <xf numFmtId="0" fontId="42" fillId="0" borderId="0" xfId="0" applyFont="1" applyBorder="1"/>
    <xf numFmtId="0" fontId="42" fillId="16" borderId="36" xfId="0" applyFont="1" applyFill="1" applyBorder="1"/>
    <xf numFmtId="0" fontId="42" fillId="16" borderId="37" xfId="0" applyFont="1" applyFill="1" applyBorder="1"/>
    <xf numFmtId="0" fontId="42" fillId="16" borderId="38" xfId="0" applyFont="1" applyFill="1" applyBorder="1"/>
    <xf numFmtId="3" fontId="42" fillId="16" borderId="36" xfId="0" applyNumberFormat="1" applyFont="1" applyFill="1" applyBorder="1"/>
    <xf numFmtId="3" fontId="42" fillId="16" borderId="37" xfId="0" applyNumberFormat="1" applyFont="1" applyFill="1" applyBorder="1"/>
    <xf numFmtId="3" fontId="42" fillId="0" borderId="37" xfId="0" applyNumberFormat="1" applyFont="1" applyBorder="1" applyProtection="1">
      <protection locked="0"/>
    </xf>
    <xf numFmtId="3" fontId="42" fillId="16" borderId="38" xfId="0" applyNumberFormat="1" applyFont="1" applyFill="1" applyBorder="1"/>
    <xf numFmtId="0" fontId="0" fillId="16" borderId="29" xfId="0" applyFill="1" applyBorder="1"/>
    <xf numFmtId="0" fontId="0" fillId="16" borderId="27" xfId="0" applyFill="1" applyBorder="1"/>
    <xf numFmtId="0" fontId="20" fillId="16" borderId="27" xfId="0" applyFont="1" applyFill="1" applyBorder="1"/>
    <xf numFmtId="0" fontId="0" fillId="16" borderId="32" xfId="0" applyFill="1" applyBorder="1"/>
    <xf numFmtId="41" fontId="17" fillId="16" borderId="37" xfId="0" applyNumberFormat="1" applyFont="1" applyFill="1" applyBorder="1"/>
    <xf numFmtId="41" fontId="0" fillId="16" borderId="37" xfId="0" applyNumberFormat="1" applyFill="1" applyBorder="1"/>
    <xf numFmtId="41" fontId="0" fillId="16" borderId="38" xfId="0" applyNumberFormat="1" applyFill="1" applyBorder="1"/>
    <xf numFmtId="165" fontId="0" fillId="0" borderId="0" xfId="0" applyNumberFormat="1" applyProtection="1"/>
    <xf numFmtId="0" fontId="51" fillId="18" borderId="40" xfId="0" applyFont="1" applyFill="1" applyBorder="1"/>
    <xf numFmtId="0" fontId="51" fillId="18" borderId="40" xfId="0" applyFont="1" applyFill="1" applyBorder="1" applyAlignment="1">
      <alignment horizontal="center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Border="1" applyAlignment="1" applyProtection="1">
      <alignment vertical="center" wrapText="1"/>
      <protection hidden="1"/>
    </xf>
    <xf numFmtId="9" fontId="42" fillId="0" borderId="0" xfId="0" applyNumberFormat="1" applyFont="1" applyAlignment="1" applyProtection="1">
      <alignment horizontal="right"/>
    </xf>
    <xf numFmtId="0" fontId="28" fillId="8" borderId="1" xfId="0" applyFont="1" applyFill="1" applyBorder="1" applyAlignment="1" applyProtection="1">
      <alignment horizontal="center"/>
    </xf>
    <xf numFmtId="0" fontId="0" fillId="20" borderId="1" xfId="0" applyFont="1" applyFill="1" applyBorder="1" applyAlignment="1" applyProtection="1">
      <alignment horizontal="center" vertical="center" wrapText="1"/>
      <protection locked="0"/>
    </xf>
    <xf numFmtId="2" fontId="0" fillId="20" borderId="1" xfId="0" applyNumberFormat="1" applyFont="1" applyFill="1" applyBorder="1" applyAlignment="1" applyProtection="1">
      <alignment horizontal="center" vertical="center" wrapText="1"/>
      <protection locked="0"/>
    </xf>
    <xf numFmtId="0" fontId="28" fillId="3" borderId="1" xfId="0" applyFont="1" applyFill="1" applyBorder="1" applyAlignment="1" applyProtection="1">
      <alignment horizontal="center" vertical="center" wrapText="1"/>
      <protection hidden="1"/>
    </xf>
    <xf numFmtId="0" fontId="28" fillId="8" borderId="1" xfId="0" applyFont="1" applyFill="1" applyBorder="1" applyAlignment="1" applyProtection="1">
      <alignment horizontal="center"/>
    </xf>
    <xf numFmtId="166" fontId="28" fillId="0" borderId="0" xfId="0" applyNumberFormat="1" applyFont="1" applyFill="1" applyBorder="1" applyAlignment="1" applyProtection="1">
      <alignment horizontal="center"/>
    </xf>
    <xf numFmtId="0" fontId="28" fillId="20" borderId="34" xfId="0" applyFont="1" applyFill="1" applyBorder="1" applyAlignment="1" applyProtection="1">
      <alignment wrapText="1"/>
    </xf>
    <xf numFmtId="0" fontId="28" fillId="20" borderId="52" xfId="0" applyFont="1" applyFill="1" applyBorder="1" applyProtection="1"/>
    <xf numFmtId="0" fontId="28" fillId="20" borderId="49" xfId="0" applyFont="1" applyFill="1" applyBorder="1" applyProtection="1"/>
    <xf numFmtId="0" fontId="28" fillId="0" borderId="0" xfId="0" applyFont="1" applyProtection="1"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Border="1" applyProtection="1"/>
    <xf numFmtId="166" fontId="28" fillId="8" borderId="5" xfId="0" applyNumberFormat="1" applyFont="1" applyFill="1" applyBorder="1" applyAlignment="1" applyProtection="1">
      <alignment horizontal="center"/>
    </xf>
    <xf numFmtId="165" fontId="28" fillId="0" borderId="0" xfId="0" applyNumberFormat="1" applyFont="1" applyFill="1" applyBorder="1" applyAlignment="1" applyProtection="1">
      <protection locked="0"/>
    </xf>
    <xf numFmtId="0" fontId="28" fillId="0" borderId="0" xfId="0" applyFont="1" applyFill="1" applyBorder="1" applyAlignment="1" applyProtection="1">
      <alignment wrapText="1"/>
      <protection locked="0"/>
    </xf>
    <xf numFmtId="169" fontId="38" fillId="16" borderId="1" xfId="21" applyNumberFormat="1" applyFont="1" applyFill="1" applyBorder="1" applyAlignment="1" applyProtection="1">
      <alignment vertical="top"/>
    </xf>
    <xf numFmtId="169" fontId="38" fillId="9" borderId="11" xfId="16" applyNumberFormat="1" applyFont="1" applyFill="1" applyBorder="1" applyAlignment="1" applyProtection="1">
      <alignment horizontal="center" vertical="center" wrapText="1"/>
    </xf>
    <xf numFmtId="169" fontId="39" fillId="10" borderId="18" xfId="21" applyNumberFormat="1" applyFont="1" applyFill="1" applyBorder="1" applyAlignment="1" applyProtection="1">
      <alignment vertical="top" wrapText="1"/>
    </xf>
    <xf numFmtId="169" fontId="0" fillId="0" borderId="0" xfId="0" applyNumberFormat="1" applyProtection="1">
      <protection locked="0"/>
    </xf>
    <xf numFmtId="0" fontId="10" fillId="16" borderId="1" xfId="0" applyFont="1" applyFill="1" applyBorder="1" applyProtection="1"/>
    <xf numFmtId="0" fontId="31" fillId="0" borderId="55" xfId="0" applyFont="1" applyFill="1" applyBorder="1" applyAlignment="1" applyProtection="1">
      <alignment horizontal="center"/>
      <protection locked="0"/>
    </xf>
    <xf numFmtId="6" fontId="31" fillId="6" borderId="56" xfId="0" applyNumberFormat="1" applyFont="1" applyFill="1" applyBorder="1" applyAlignment="1" applyProtection="1">
      <alignment horizontal="center"/>
    </xf>
    <xf numFmtId="6" fontId="54" fillId="0" borderId="1" xfId="0" applyNumberFormat="1" applyFont="1" applyFill="1" applyBorder="1" applyAlignment="1" applyProtection="1">
      <alignment horizontal="center"/>
    </xf>
    <xf numFmtId="167" fontId="52" fillId="18" borderId="40" xfId="0" applyNumberFormat="1" applyFont="1" applyFill="1" applyBorder="1" applyAlignment="1">
      <alignment horizontal="center"/>
    </xf>
    <xf numFmtId="167" fontId="52" fillId="0" borderId="40" xfId="0" applyNumberFormat="1" applyFont="1" applyBorder="1" applyAlignment="1">
      <alignment horizontal="center"/>
    </xf>
    <xf numFmtId="167" fontId="52" fillId="0" borderId="40" xfId="0" applyNumberFormat="1" applyFont="1" applyBorder="1" applyAlignment="1">
      <alignment horizontal="center" vertical="center"/>
    </xf>
    <xf numFmtId="167" fontId="52" fillId="0" borderId="40" xfId="0" applyNumberFormat="1" applyFont="1" applyBorder="1"/>
    <xf numFmtId="174" fontId="0" fillId="0" borderId="24" xfId="0" applyNumberFormat="1" applyBorder="1" applyProtection="1"/>
    <xf numFmtId="166" fontId="28" fillId="0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Protection="1"/>
    <xf numFmtId="0" fontId="28" fillId="0" borderId="0" xfId="0" applyFont="1" applyFill="1" applyBorder="1" applyAlignment="1" applyProtection="1">
      <alignment wrapText="1"/>
    </xf>
    <xf numFmtId="165" fontId="28" fillId="0" borderId="0" xfId="0" applyNumberFormat="1" applyFont="1" applyFill="1" applyBorder="1" applyAlignment="1" applyProtection="1"/>
    <xf numFmtId="0" fontId="46" fillId="16" borderId="8" xfId="0" applyFont="1" applyFill="1" applyBorder="1" applyAlignment="1" applyProtection="1">
      <alignment vertical="center"/>
    </xf>
    <xf numFmtId="1" fontId="22" fillId="16" borderId="1" xfId="0" applyNumberFormat="1" applyFont="1" applyFill="1" applyBorder="1" applyProtection="1"/>
    <xf numFmtId="0" fontId="46" fillId="16" borderId="8" xfId="0" applyFont="1" applyFill="1" applyBorder="1" applyAlignment="1" applyProtection="1">
      <alignment horizontal="center" vertical="center"/>
    </xf>
    <xf numFmtId="9" fontId="31" fillId="0" borderId="20" xfId="2" applyNumberFormat="1" applyFont="1" applyFill="1" applyBorder="1" applyAlignment="1" applyProtection="1">
      <alignment horizontal="center"/>
      <protection locked="0"/>
    </xf>
    <xf numFmtId="169" fontId="52" fillId="0" borderId="40" xfId="0" applyNumberFormat="1" applyFont="1" applyBorder="1" applyAlignment="1" applyProtection="1">
      <alignment horizontal="center"/>
      <protection locked="0"/>
    </xf>
    <xf numFmtId="0" fontId="52" fillId="0" borderId="40" xfId="0" applyFont="1" applyBorder="1" applyAlignment="1" applyProtection="1">
      <alignment horizontal="center"/>
      <protection locked="0"/>
    </xf>
    <xf numFmtId="17" fontId="52" fillId="0" borderId="40" xfId="0" applyNumberFormat="1" applyFont="1" applyBorder="1" applyAlignment="1" applyProtection="1">
      <alignment horizontal="center"/>
      <protection locked="0"/>
    </xf>
    <xf numFmtId="17" fontId="52" fillId="24" borderId="40" xfId="0" applyNumberFormat="1" applyFont="1" applyFill="1" applyBorder="1" applyAlignment="1">
      <alignment horizontal="center"/>
    </xf>
    <xf numFmtId="172" fontId="0" fillId="0" borderId="1" xfId="1" applyNumberFormat="1" applyFont="1" applyBorder="1" applyProtection="1">
      <protection locked="0"/>
    </xf>
    <xf numFmtId="167" fontId="30" fillId="23" borderId="1" xfId="1" applyNumberFormat="1" applyFont="1" applyFill="1" applyBorder="1" applyAlignment="1">
      <alignment horizontal="right" vertical="center"/>
    </xf>
    <xf numFmtId="43" fontId="30" fillId="23" borderId="1" xfId="1" applyFont="1" applyFill="1" applyBorder="1" applyAlignment="1">
      <alignment horizontal="right" vertical="center" wrapText="1"/>
    </xf>
    <xf numFmtId="43" fontId="29" fillId="23" borderId="1" xfId="1" applyFont="1" applyFill="1" applyBorder="1" applyAlignment="1">
      <alignment horizontal="right" vertical="center" wrapText="1"/>
    </xf>
    <xf numFmtId="3" fontId="29" fillId="23" borderId="1" xfId="1" applyNumberFormat="1" applyFont="1" applyFill="1" applyBorder="1" applyAlignment="1">
      <alignment horizontal="right" vertical="center" wrapText="1"/>
    </xf>
    <xf numFmtId="9" fontId="30" fillId="23" borderId="1" xfId="2" applyFont="1" applyFill="1" applyBorder="1" applyAlignment="1">
      <alignment horizontal="right" vertical="center" wrapText="1"/>
    </xf>
    <xf numFmtId="9" fontId="30" fillId="23" borderId="1" xfId="1" applyNumberFormat="1" applyFont="1" applyFill="1" applyBorder="1" applyAlignment="1">
      <alignment horizontal="right" vertical="center" wrapText="1"/>
    </xf>
    <xf numFmtId="169" fontId="30" fillId="23" borderId="1" xfId="1" applyNumberFormat="1" applyFont="1" applyFill="1" applyBorder="1" applyAlignment="1">
      <alignment horizontal="right" vertical="center" wrapText="1"/>
    </xf>
    <xf numFmtId="0" fontId="51" fillId="25" borderId="1" xfId="0" applyFont="1" applyFill="1" applyBorder="1"/>
    <xf numFmtId="0" fontId="51" fillId="25" borderId="1" xfId="0" applyFont="1" applyFill="1" applyBorder="1" applyAlignment="1">
      <alignment horizontal="center"/>
    </xf>
    <xf numFmtId="17" fontId="52" fillId="23" borderId="1" xfId="0" applyNumberFormat="1" applyFont="1" applyFill="1" applyBorder="1" applyAlignment="1">
      <alignment horizontal="center"/>
    </xf>
    <xf numFmtId="169" fontId="52" fillId="23" borderId="1" xfId="0" applyNumberFormat="1" applyFont="1" applyFill="1" applyBorder="1" applyAlignment="1">
      <alignment horizontal="center"/>
    </xf>
    <xf numFmtId="0" fontId="40" fillId="23" borderId="1" xfId="0" applyFont="1" applyFill="1" applyBorder="1" applyAlignment="1">
      <alignment vertical="center" wrapText="1"/>
    </xf>
    <xf numFmtId="0" fontId="0" fillId="23" borderId="1" xfId="0" applyFill="1" applyBorder="1"/>
    <xf numFmtId="0" fontId="29" fillId="23" borderId="1" xfId="0" applyFont="1" applyFill="1" applyBorder="1" applyAlignment="1">
      <alignment vertical="center" wrapText="1"/>
    </xf>
    <xf numFmtId="17" fontId="52" fillId="23" borderId="20" xfId="0" applyNumberFormat="1" applyFont="1" applyFill="1" applyBorder="1" applyAlignment="1">
      <alignment horizontal="center"/>
    </xf>
    <xf numFmtId="169" fontId="52" fillId="23" borderId="20" xfId="0" applyNumberFormat="1" applyFont="1" applyFill="1" applyBorder="1" applyAlignment="1">
      <alignment horizontal="center"/>
    </xf>
    <xf numFmtId="0" fontId="51" fillId="25" borderId="18" xfId="0" applyFont="1" applyFill="1" applyBorder="1"/>
    <xf numFmtId="43" fontId="52" fillId="25" borderId="18" xfId="0" applyNumberFormat="1" applyFont="1" applyFill="1" applyBorder="1" applyAlignment="1">
      <alignment horizontal="center"/>
    </xf>
    <xf numFmtId="43" fontId="52" fillId="23" borderId="18" xfId="0" applyNumberFormat="1" applyFont="1" applyFill="1" applyBorder="1" applyAlignment="1">
      <alignment horizontal="center"/>
    </xf>
    <xf numFmtId="0" fontId="52" fillId="23" borderId="18" xfId="0" applyFont="1" applyFill="1" applyBorder="1" applyAlignment="1">
      <alignment horizontal="center" vertical="center"/>
    </xf>
    <xf numFmtId="0" fontId="52" fillId="23" borderId="18" xfId="0" applyFont="1" applyFill="1" applyBorder="1"/>
    <xf numFmtId="0" fontId="51" fillId="25" borderId="23" xfId="0" applyFont="1" applyFill="1" applyBorder="1"/>
    <xf numFmtId="167" fontId="51" fillId="25" borderId="24" xfId="0" applyNumberFormat="1" applyFont="1" applyFill="1" applyBorder="1" applyAlignment="1">
      <alignment horizontal="center"/>
    </xf>
    <xf numFmtId="167" fontId="51" fillId="25" borderId="24" xfId="0" applyNumberFormat="1" applyFont="1" applyFill="1" applyBorder="1" applyAlignment="1">
      <alignment horizontal="left"/>
    </xf>
    <xf numFmtId="0" fontId="51" fillId="23" borderId="18" xfId="0" applyFont="1" applyFill="1" applyBorder="1"/>
    <xf numFmtId="0" fontId="9" fillId="0" borderId="0" xfId="0" applyFont="1"/>
    <xf numFmtId="1" fontId="44" fillId="16" borderId="33" xfId="20" applyNumberFormat="1" applyFont="1" applyFill="1" applyBorder="1"/>
    <xf numFmtId="0" fontId="7" fillId="0" borderId="0" xfId="0" applyFont="1"/>
    <xf numFmtId="0" fontId="0" fillId="20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53" fillId="0" borderId="0" xfId="0" applyFont="1" applyAlignment="1" applyProtection="1">
      <alignment horizontal="center" wrapText="1"/>
    </xf>
    <xf numFmtId="0" fontId="0" fillId="3" borderId="1" xfId="0" applyFill="1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28" fillId="0" borderId="1" xfId="0" applyFont="1" applyBorder="1" applyProtection="1"/>
    <xf numFmtId="0" fontId="0" fillId="22" borderId="1" xfId="0" applyFont="1" applyFill="1" applyBorder="1" applyAlignment="1" applyProtection="1">
      <alignment horizontal="center" vertical="center" wrapText="1"/>
    </xf>
    <xf numFmtId="0" fontId="29" fillId="0" borderId="0" xfId="0" applyFont="1" applyFill="1" applyBorder="1" applyAlignment="1" applyProtection="1">
      <alignment vertical="center" wrapText="1"/>
    </xf>
    <xf numFmtId="0" fontId="30" fillId="0" borderId="0" xfId="0" applyFont="1" applyFill="1" applyBorder="1" applyAlignment="1" applyProtection="1">
      <alignment horizontal="center" vertical="center" wrapText="1"/>
    </xf>
    <xf numFmtId="0" fontId="28" fillId="17" borderId="1" xfId="0" applyFont="1" applyFill="1" applyBorder="1" applyAlignment="1" applyProtection="1">
      <alignment horizontal="center" vertical="center" wrapText="1"/>
    </xf>
    <xf numFmtId="0" fontId="42" fillId="26" borderId="58" xfId="0" applyFont="1" applyFill="1" applyBorder="1" applyAlignment="1" applyProtection="1">
      <alignment horizontal="center" vertical="center" wrapText="1"/>
    </xf>
    <xf numFmtId="0" fontId="42" fillId="0" borderId="54" xfId="0" applyFont="1" applyBorder="1" applyAlignment="1" applyProtection="1">
      <alignment horizontal="center" vertical="center" wrapText="1"/>
    </xf>
    <xf numFmtId="0" fontId="42" fillId="0" borderId="59" xfId="0" applyFont="1" applyBorder="1" applyAlignment="1" applyProtection="1">
      <alignment horizontal="center" vertical="center" wrapText="1"/>
    </xf>
    <xf numFmtId="0" fontId="42" fillId="0" borderId="0" xfId="0" applyFont="1" applyBorder="1" applyAlignment="1" applyProtection="1">
      <alignment horizontal="center" vertical="center" wrapText="1"/>
    </xf>
    <xf numFmtId="167" fontId="0" fillId="0" borderId="0" xfId="0" applyNumberFormat="1" applyProtection="1"/>
    <xf numFmtId="15" fontId="28" fillId="0" borderId="1" xfId="0" applyNumberFormat="1" applyFont="1" applyBorder="1" applyAlignment="1">
      <alignment horizontal="center"/>
    </xf>
    <xf numFmtId="0" fontId="28" fillId="0" borderId="0" xfId="0" applyNumberFormat="1" applyFont="1" applyFill="1" applyBorder="1" applyAlignment="1" applyProtection="1">
      <protection locked="0"/>
    </xf>
    <xf numFmtId="0" fontId="7" fillId="8" borderId="4" xfId="0" applyFont="1" applyFill="1" applyBorder="1" applyProtection="1"/>
    <xf numFmtId="166" fontId="38" fillId="11" borderId="1" xfId="16" applyNumberFormat="1" applyFont="1" applyFill="1" applyBorder="1" applyAlignment="1" applyProtection="1">
      <alignment horizontal="center" vertical="center" wrapText="1"/>
    </xf>
    <xf numFmtId="0" fontId="55" fillId="0" borderId="3" xfId="0" applyFont="1" applyBorder="1" applyProtection="1">
      <protection locked="0"/>
    </xf>
    <xf numFmtId="0" fontId="0" fillId="0" borderId="9" xfId="0" applyBorder="1" applyProtection="1">
      <protection locked="0"/>
    </xf>
    <xf numFmtId="0" fontId="57" fillId="27" borderId="2" xfId="0" applyFont="1" applyFill="1" applyBorder="1"/>
    <xf numFmtId="41" fontId="0" fillId="16" borderId="62" xfId="0" applyNumberFormat="1" applyFill="1" applyBorder="1"/>
    <xf numFmtId="0" fontId="56" fillId="0" borderId="0" xfId="0" applyFont="1" applyFill="1" applyBorder="1" applyAlignment="1" applyProtection="1">
      <alignment vertical="top"/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Protection="1"/>
    <xf numFmtId="166" fontId="58" fillId="17" borderId="4" xfId="0" applyNumberFormat="1" applyFont="1" applyFill="1" applyBorder="1" applyAlignment="1" applyProtection="1">
      <alignment horizontal="center" vertical="top"/>
      <protection locked="0"/>
    </xf>
    <xf numFmtId="166" fontId="58" fillId="17" borderId="5" xfId="0" applyNumberFormat="1" applyFont="1" applyFill="1" applyBorder="1" applyAlignment="1" applyProtection="1">
      <alignment horizontal="center" vertical="top"/>
    </xf>
    <xf numFmtId="166" fontId="58" fillId="0" borderId="60" xfId="0" applyNumberFormat="1" applyFont="1" applyFill="1" applyBorder="1" applyAlignment="1" applyProtection="1">
      <alignment horizontal="center" vertical="top"/>
      <protection locked="0"/>
    </xf>
    <xf numFmtId="166" fontId="58" fillId="0" borderId="0" xfId="0" applyNumberFormat="1" applyFont="1" applyFill="1" applyBorder="1" applyAlignment="1" applyProtection="1">
      <alignment horizontal="center" vertical="top"/>
      <protection locked="0"/>
    </xf>
    <xf numFmtId="0" fontId="28" fillId="0" borderId="0" xfId="0" applyFont="1" applyFill="1" applyBorder="1" applyAlignment="1" applyProtection="1">
      <alignment vertical="top"/>
      <protection locked="0"/>
    </xf>
    <xf numFmtId="0" fontId="59" fillId="17" borderId="4" xfId="0" applyFont="1" applyFill="1" applyBorder="1" applyAlignment="1" applyProtection="1">
      <alignment vertical="top"/>
      <protection locked="0"/>
    </xf>
    <xf numFmtId="0" fontId="58" fillId="0" borderId="1" xfId="0" applyFont="1" applyFill="1" applyBorder="1" applyAlignment="1" applyProtection="1">
      <alignment horizontal="center" vertical="top"/>
      <protection locked="0"/>
    </xf>
    <xf numFmtId="0" fontId="58" fillId="0" borderId="61" xfId="0" applyFont="1" applyFill="1" applyBorder="1" applyAlignment="1" applyProtection="1">
      <alignment horizontal="center" vertical="top"/>
      <protection locked="0"/>
    </xf>
    <xf numFmtId="0" fontId="7" fillId="0" borderId="0" xfId="0" applyFont="1" applyFill="1" applyProtection="1">
      <protection locked="0"/>
    </xf>
    <xf numFmtId="0" fontId="59" fillId="17" borderId="8" xfId="0" applyFont="1" applyFill="1" applyBorder="1" applyAlignment="1" applyProtection="1">
      <alignment vertical="top"/>
      <protection locked="0"/>
    </xf>
    <xf numFmtId="41" fontId="56" fillId="8" borderId="4" xfId="0" applyNumberFormat="1" applyFont="1" applyFill="1" applyBorder="1" applyAlignment="1" applyProtection="1">
      <alignment vertical="top" wrapText="1"/>
      <protection locked="0"/>
    </xf>
    <xf numFmtId="0" fontId="7" fillId="0" borderId="4" xfId="0" applyNumberFormat="1" applyFont="1" applyFill="1" applyBorder="1" applyAlignment="1" applyProtection="1">
      <alignment vertical="top"/>
      <protection locked="0"/>
    </xf>
    <xf numFmtId="9" fontId="7" fillId="8" borderId="1" xfId="2" applyFont="1" applyFill="1" applyBorder="1" applyAlignment="1" applyProtection="1">
      <alignment horizontal="right" vertical="top"/>
    </xf>
    <xf numFmtId="41" fontId="7" fillId="0" borderId="5" xfId="0" applyNumberFormat="1" applyFont="1" applyFill="1" applyBorder="1" applyAlignment="1" applyProtection="1">
      <alignment horizontal="right" vertical="top"/>
      <protection locked="0"/>
    </xf>
    <xf numFmtId="0" fontId="28" fillId="8" borderId="4" xfId="0" applyFont="1" applyFill="1" applyBorder="1" applyAlignment="1" applyProtection="1">
      <alignment vertical="top"/>
    </xf>
    <xf numFmtId="166" fontId="28" fillId="8" borderId="1" xfId="0" applyNumberFormat="1" applyFont="1" applyFill="1" applyBorder="1" applyAlignment="1" applyProtection="1">
      <alignment vertical="top"/>
    </xf>
    <xf numFmtId="166" fontId="28" fillId="8" borderId="5" xfId="0" applyNumberFormat="1" applyFont="1" applyFill="1" applyBorder="1" applyAlignment="1" applyProtection="1">
      <alignment vertical="top"/>
    </xf>
    <xf numFmtId="0" fontId="7" fillId="0" borderId="4" xfId="0" applyNumberFormat="1" applyFont="1" applyFill="1" applyBorder="1" applyAlignment="1" applyProtection="1">
      <alignment vertical="top" wrapText="1"/>
      <protection locked="0"/>
    </xf>
    <xf numFmtId="41" fontId="7" fillId="0" borderId="1" xfId="0" applyNumberFormat="1" applyFont="1" applyFill="1" applyBorder="1" applyAlignment="1" applyProtection="1">
      <alignment horizontal="right" vertical="top"/>
      <protection locked="0"/>
    </xf>
    <xf numFmtId="167" fontId="7" fillId="8" borderId="1" xfId="0" applyNumberFormat="1" applyFont="1" applyFill="1" applyBorder="1" applyProtection="1"/>
    <xf numFmtId="167" fontId="7" fillId="8" borderId="5" xfId="0" applyNumberFormat="1" applyFont="1" applyFill="1" applyBorder="1" applyProtection="1"/>
    <xf numFmtId="41" fontId="7" fillId="8" borderId="1" xfId="0" applyNumberFormat="1" applyFont="1" applyFill="1" applyBorder="1" applyAlignment="1" applyProtection="1">
      <alignment horizontal="right" vertical="top"/>
    </xf>
    <xf numFmtId="0" fontId="7" fillId="8" borderId="1" xfId="0" applyFont="1" applyFill="1" applyBorder="1" applyProtection="1"/>
    <xf numFmtId="10" fontId="7" fillId="8" borderId="5" xfId="2" applyNumberFormat="1" applyFont="1" applyFill="1" applyBorder="1" applyProtection="1"/>
    <xf numFmtId="0" fontId="30" fillId="0" borderId="4" xfId="0" applyNumberFormat="1" applyFont="1" applyFill="1" applyBorder="1" applyAlignment="1" applyProtection="1">
      <alignment vertical="top" wrapText="1"/>
      <protection locked="0"/>
    </xf>
    <xf numFmtId="41" fontId="7" fillId="0" borderId="0" xfId="0" applyNumberFormat="1" applyFont="1" applyFill="1" applyBorder="1" applyProtection="1">
      <protection locked="0"/>
    </xf>
    <xf numFmtId="1" fontId="7" fillId="8" borderId="1" xfId="0" applyNumberFormat="1" applyFont="1" applyFill="1" applyBorder="1" applyProtection="1"/>
    <xf numFmtId="1" fontId="7" fillId="8" borderId="5" xfId="0" applyNumberFormat="1" applyFont="1" applyFill="1" applyBorder="1" applyProtection="1"/>
    <xf numFmtId="0" fontId="56" fillId="8" borderId="4" xfId="0" applyNumberFormat="1" applyFont="1" applyFill="1" applyBorder="1" applyAlignment="1" applyProtection="1">
      <alignment vertical="top" wrapText="1"/>
      <protection locked="0"/>
    </xf>
    <xf numFmtId="41" fontId="58" fillId="8" borderId="1" xfId="0" applyNumberFormat="1" applyFont="1" applyFill="1" applyBorder="1" applyAlignment="1" applyProtection="1">
      <alignment vertical="top"/>
    </xf>
    <xf numFmtId="9" fontId="7" fillId="8" borderId="1" xfId="2" applyNumberFormat="1" applyFont="1" applyFill="1" applyBorder="1" applyProtection="1"/>
    <xf numFmtId="9" fontId="7" fillId="8" borderId="5" xfId="2" applyNumberFormat="1" applyFont="1" applyFill="1" applyBorder="1" applyProtection="1"/>
    <xf numFmtId="9" fontId="7" fillId="8" borderId="1" xfId="2" applyFont="1" applyFill="1" applyBorder="1" applyProtection="1"/>
    <xf numFmtId="9" fontId="7" fillId="8" borderId="5" xfId="2" applyFont="1" applyFill="1" applyBorder="1" applyProtection="1"/>
    <xf numFmtId="1" fontId="7" fillId="8" borderId="1" xfId="0" applyNumberFormat="1" applyFont="1" applyFill="1" applyBorder="1" applyAlignment="1" applyProtection="1">
      <alignment horizontal="center"/>
    </xf>
    <xf numFmtId="1" fontId="7" fillId="8" borderId="5" xfId="0" applyNumberFormat="1" applyFont="1" applyFill="1" applyBorder="1" applyAlignment="1" applyProtection="1">
      <alignment horizontal="center"/>
    </xf>
    <xf numFmtId="41" fontId="56" fillId="8" borderId="1" xfId="0" applyNumberFormat="1" applyFont="1" applyFill="1" applyBorder="1" applyAlignment="1" applyProtection="1">
      <alignment vertical="top" wrapText="1"/>
    </xf>
    <xf numFmtId="0" fontId="58" fillId="8" borderId="8" xfId="0" applyNumberFormat="1" applyFont="1" applyFill="1" applyBorder="1" applyAlignment="1" applyProtection="1">
      <alignment vertical="top" wrapText="1"/>
      <protection locked="0"/>
    </xf>
    <xf numFmtId="41" fontId="28" fillId="8" borderId="1" xfId="0" applyNumberFormat="1" applyFont="1" applyFill="1" applyBorder="1" applyAlignment="1" applyProtection="1">
      <alignment horizontal="right" vertical="top"/>
    </xf>
    <xf numFmtId="0" fontId="7" fillId="8" borderId="1" xfId="0" applyNumberFormat="1" applyFont="1" applyFill="1" applyBorder="1" applyAlignment="1" applyProtection="1">
      <alignment horizontal="center"/>
    </xf>
    <xf numFmtId="0" fontId="7" fillId="8" borderId="5" xfId="0" applyNumberFormat="1" applyFont="1" applyFill="1" applyBorder="1" applyAlignment="1" applyProtection="1">
      <alignment horizontal="center"/>
    </xf>
    <xf numFmtId="41" fontId="58" fillId="8" borderId="14" xfId="0" applyNumberFormat="1" applyFont="1" applyFill="1" applyBorder="1" applyAlignment="1" applyProtection="1">
      <alignment vertical="top"/>
    </xf>
    <xf numFmtId="165" fontId="7" fillId="0" borderId="9" xfId="0" applyNumberFormat="1" applyFont="1" applyFill="1" applyBorder="1" applyAlignment="1" applyProtection="1">
      <alignment horizontal="right" vertical="top"/>
      <protection locked="0"/>
    </xf>
    <xf numFmtId="0" fontId="7" fillId="0" borderId="35" xfId="0" applyFont="1" applyBorder="1" applyProtection="1">
      <protection locked="0"/>
    </xf>
    <xf numFmtId="0" fontId="7" fillId="0" borderId="23" xfId="0" applyFont="1" applyBorder="1" applyProtection="1">
      <protection locked="0"/>
    </xf>
    <xf numFmtId="2" fontId="7" fillId="8" borderId="1" xfId="0" applyNumberFormat="1" applyFont="1" applyFill="1" applyBorder="1" applyAlignment="1" applyProtection="1">
      <alignment horizontal="center"/>
    </xf>
    <xf numFmtId="2" fontId="7" fillId="8" borderId="5" xfId="0" applyNumberFormat="1" applyFont="1" applyFill="1" applyBorder="1" applyAlignment="1" applyProtection="1">
      <alignment horizontal="center"/>
    </xf>
    <xf numFmtId="0" fontId="7" fillId="0" borderId="50" xfId="0" applyFont="1" applyBorder="1" applyProtection="1"/>
    <xf numFmtId="0" fontId="7" fillId="0" borderId="54" xfId="0" applyFont="1" applyBorder="1" applyProtection="1"/>
    <xf numFmtId="0" fontId="7" fillId="0" borderId="7" xfId="0" applyFont="1" applyBorder="1" applyProtection="1"/>
    <xf numFmtId="0" fontId="7" fillId="0" borderId="3" xfId="0" applyFont="1" applyBorder="1" applyProtection="1"/>
    <xf numFmtId="166" fontId="58" fillId="8" borderId="4" xfId="0" applyNumberFormat="1" applyFont="1" applyFill="1" applyBorder="1" applyAlignment="1" applyProtection="1">
      <alignment horizontal="center" vertical="top"/>
      <protection locked="0"/>
    </xf>
    <xf numFmtId="166" fontId="58" fillId="8" borderId="1" xfId="0" applyNumberFormat="1" applyFont="1" applyFill="1" applyBorder="1" applyAlignment="1" applyProtection="1">
      <alignment horizontal="center" vertical="top"/>
    </xf>
    <xf numFmtId="166" fontId="58" fillId="8" borderId="5" xfId="0" applyNumberFormat="1" applyFont="1" applyFill="1" applyBorder="1" applyAlignment="1" applyProtection="1">
      <alignment horizontal="center" vertical="top"/>
    </xf>
    <xf numFmtId="0" fontId="7" fillId="8" borderId="8" xfId="0" applyFont="1" applyFill="1" applyBorder="1" applyProtection="1"/>
    <xf numFmtId="2" fontId="7" fillId="8" borderId="14" xfId="0" applyNumberFormat="1" applyFont="1" applyFill="1" applyBorder="1" applyAlignment="1" applyProtection="1">
      <alignment horizontal="center"/>
    </xf>
    <xf numFmtId="2" fontId="7" fillId="8" borderId="9" xfId="0" applyNumberFormat="1" applyFont="1" applyFill="1" applyBorder="1" applyAlignment="1" applyProtection="1">
      <alignment horizontal="center"/>
    </xf>
    <xf numFmtId="0" fontId="62" fillId="0" borderId="4" xfId="0" applyNumberFormat="1" applyFont="1" applyFill="1" applyBorder="1" applyAlignment="1" applyProtection="1">
      <alignment vertical="top" wrapText="1"/>
      <protection locked="0"/>
    </xf>
    <xf numFmtId="0" fontId="7" fillId="0" borderId="5" xfId="0" applyFont="1" applyBorder="1" applyProtection="1">
      <protection locked="0"/>
    </xf>
    <xf numFmtId="0" fontId="7" fillId="0" borderId="0" xfId="0" applyFont="1" applyFill="1" applyProtection="1"/>
    <xf numFmtId="0" fontId="7" fillId="0" borderId="0" xfId="0" applyFont="1" applyFill="1" applyBorder="1" applyAlignment="1" applyProtection="1">
      <alignment horizontal="center"/>
      <protection locked="0"/>
    </xf>
    <xf numFmtId="41" fontId="28" fillId="0" borderId="0" xfId="0" applyNumberFormat="1" applyFont="1" applyFill="1" applyBorder="1" applyAlignment="1" applyProtection="1">
      <alignment horizontal="center" vertical="top" wrapText="1"/>
      <protection locked="0"/>
    </xf>
    <xf numFmtId="41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65" fontId="7" fillId="0" borderId="0" xfId="0" applyNumberFormat="1" applyFont="1" applyFill="1" applyProtection="1">
      <protection locked="0"/>
    </xf>
    <xf numFmtId="9" fontId="7" fillId="0" borderId="0" xfId="2" applyFont="1" applyProtection="1">
      <protection locked="0"/>
    </xf>
    <xf numFmtId="9" fontId="7" fillId="0" borderId="0" xfId="2" applyFont="1" applyFill="1" applyProtection="1">
      <protection locked="0"/>
    </xf>
    <xf numFmtId="0" fontId="28" fillId="8" borderId="4" xfId="0" applyNumberFormat="1" applyFont="1" applyFill="1" applyBorder="1" applyAlignment="1" applyProtection="1">
      <alignment vertical="top" wrapText="1"/>
      <protection locked="0"/>
    </xf>
    <xf numFmtId="3" fontId="60" fillId="0" borderId="1" xfId="23" applyNumberFormat="1" applyFont="1" applyFill="1" applyBorder="1" applyProtection="1">
      <protection locked="0"/>
    </xf>
    <xf numFmtId="3" fontId="60" fillId="0" borderId="1" xfId="24" applyNumberFormat="1" applyFont="1" applyBorder="1" applyAlignment="1" applyProtection="1">
      <alignment horizontal="right"/>
      <protection locked="0"/>
    </xf>
    <xf numFmtId="3" fontId="60" fillId="0" borderId="1" xfId="24" applyNumberFormat="1" applyFont="1" applyFill="1" applyBorder="1" applyProtection="1">
      <protection locked="0"/>
    </xf>
    <xf numFmtId="0" fontId="58" fillId="8" borderId="4" xfId="0" applyNumberFormat="1" applyFont="1" applyFill="1" applyBorder="1" applyAlignment="1" applyProtection="1">
      <alignment vertical="top" wrapText="1"/>
      <protection locked="0"/>
    </xf>
    <xf numFmtId="41" fontId="58" fillId="8" borderId="1" xfId="0" applyNumberFormat="1" applyFont="1" applyFill="1" applyBorder="1" applyAlignment="1" applyProtection="1">
      <alignment horizontal="right" vertical="top"/>
    </xf>
    <xf numFmtId="16" fontId="7" fillId="0" borderId="0" xfId="0" quotePrefix="1" applyNumberFormat="1" applyFont="1" applyFill="1" applyBorder="1" applyProtection="1">
      <protection locked="0"/>
    </xf>
    <xf numFmtId="0" fontId="7" fillId="0" borderId="0" xfId="0" quotePrefix="1" applyFont="1" applyFill="1" applyBorder="1" applyProtection="1">
      <protection locked="0"/>
    </xf>
    <xf numFmtId="41" fontId="7" fillId="0" borderId="1" xfId="0" applyNumberFormat="1" applyFont="1" applyFill="1" applyBorder="1" applyAlignment="1" applyProtection="1">
      <alignment horizontal="center" vertical="top"/>
      <protection locked="0"/>
    </xf>
    <xf numFmtId="0" fontId="30" fillId="3" borderId="4" xfId="0" applyNumberFormat="1" applyFont="1" applyFill="1" applyBorder="1" applyAlignment="1" applyProtection="1">
      <alignment vertical="top" wrapText="1"/>
      <protection locked="0"/>
    </xf>
    <xf numFmtId="41" fontId="30" fillId="0" borderId="4" xfId="0" applyNumberFormat="1" applyFont="1" applyFill="1" applyBorder="1" applyAlignment="1" applyProtection="1">
      <alignment horizontal="center" vertical="top" wrapText="1"/>
      <protection locked="0"/>
    </xf>
    <xf numFmtId="41" fontId="30" fillId="2" borderId="4" xfId="0" applyNumberFormat="1" applyFont="1" applyFill="1" applyBorder="1" applyAlignment="1" applyProtection="1">
      <alignment horizontal="center" vertical="top" wrapText="1"/>
      <protection locked="0"/>
    </xf>
    <xf numFmtId="41" fontId="7" fillId="2" borderId="1" xfId="0" applyNumberFormat="1" applyFont="1" applyFill="1" applyBorder="1" applyAlignment="1" applyProtection="1">
      <alignment horizontal="right" vertical="top"/>
      <protection locked="0"/>
    </xf>
    <xf numFmtId="3" fontId="60" fillId="21" borderId="1" xfId="24" applyNumberFormat="1" applyFont="1" applyFill="1" applyBorder="1" applyProtection="1">
      <protection locked="0"/>
    </xf>
    <xf numFmtId="0" fontId="29" fillId="0" borderId="4" xfId="0" applyNumberFormat="1" applyFont="1" applyFill="1" applyBorder="1" applyAlignment="1" applyProtection="1">
      <alignment vertical="top" wrapText="1"/>
      <protection locked="0"/>
    </xf>
    <xf numFmtId="0" fontId="63" fillId="3" borderId="8" xfId="0" applyFont="1" applyFill="1" applyBorder="1" applyAlignment="1" applyProtection="1">
      <alignment vertical="top" wrapText="1"/>
      <protection locked="0"/>
    </xf>
    <xf numFmtId="2" fontId="63" fillId="3" borderId="14" xfId="0" applyNumberFormat="1" applyFont="1" applyFill="1" applyBorder="1" applyAlignment="1" applyProtection="1">
      <alignment horizontal="right" vertical="top"/>
    </xf>
    <xf numFmtId="41" fontId="7" fillId="0" borderId="14" xfId="0" applyNumberFormat="1" applyFont="1" applyFill="1" applyBorder="1" applyAlignment="1" applyProtection="1">
      <alignment horizontal="right" vertical="top"/>
    </xf>
    <xf numFmtId="41" fontId="7" fillId="0" borderId="9" xfId="0" applyNumberFormat="1" applyFont="1" applyFill="1" applyBorder="1" applyAlignment="1" applyProtection="1">
      <alignment horizontal="right" vertical="top"/>
      <protection locked="0"/>
    </xf>
    <xf numFmtId="0" fontId="56" fillId="0" borderId="0" xfId="0" applyFont="1" applyFill="1" applyBorder="1" applyAlignment="1" applyProtection="1">
      <alignment horizontal="center" vertical="top"/>
      <protection locked="0"/>
    </xf>
    <xf numFmtId="166" fontId="28" fillId="0" borderId="0" xfId="0" applyNumberFormat="1" applyFont="1" applyFill="1" applyBorder="1" applyAlignment="1" applyProtection="1">
      <alignment vertical="top"/>
      <protection locked="0"/>
    </xf>
    <xf numFmtId="43" fontId="7" fillId="0" borderId="0" xfId="0" applyNumberFormat="1" applyFont="1" applyFill="1" applyBorder="1" applyProtection="1">
      <protection locked="0"/>
    </xf>
    <xf numFmtId="10" fontId="7" fillId="0" borderId="0" xfId="2" applyNumberFormat="1" applyFont="1" applyFill="1" applyBorder="1" applyProtection="1">
      <protection locked="0"/>
    </xf>
    <xf numFmtId="2" fontId="7" fillId="0" borderId="0" xfId="0" applyNumberFormat="1" applyFont="1" applyFill="1" applyBorder="1" applyProtection="1"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</xf>
    <xf numFmtId="0" fontId="56" fillId="0" borderId="0" xfId="0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7" fillId="0" borderId="0" xfId="0" applyFont="1" applyBorder="1" applyProtection="1"/>
    <xf numFmtId="166" fontId="58" fillId="17" borderId="4" xfId="0" applyNumberFormat="1" applyFont="1" applyFill="1" applyBorder="1" applyAlignment="1" applyProtection="1">
      <alignment horizontal="center" vertical="top"/>
    </xf>
    <xf numFmtId="166" fontId="58" fillId="0" borderId="0" xfId="0" applyNumberFormat="1" applyFont="1" applyFill="1" applyBorder="1" applyAlignment="1" applyProtection="1">
      <alignment horizontal="center" vertical="top"/>
    </xf>
    <xf numFmtId="0" fontId="28" fillId="0" borderId="0" xfId="0" applyFont="1" applyFill="1" applyBorder="1" applyAlignment="1" applyProtection="1">
      <alignment vertical="top"/>
    </xf>
    <xf numFmtId="0" fontId="59" fillId="17" borderId="4" xfId="0" applyFont="1" applyFill="1" applyBorder="1" applyAlignment="1" applyProtection="1">
      <alignment vertical="top"/>
    </xf>
    <xf numFmtId="0" fontId="58" fillId="0" borderId="1" xfId="0" applyFont="1" applyFill="1" applyBorder="1" applyAlignment="1" applyProtection="1">
      <alignment horizontal="center" vertical="top"/>
    </xf>
    <xf numFmtId="0" fontId="58" fillId="0" borderId="5" xfId="0" applyFont="1" applyFill="1" applyBorder="1" applyAlignment="1" applyProtection="1">
      <alignment horizontal="center" vertical="top"/>
    </xf>
    <xf numFmtId="0" fontId="59" fillId="17" borderId="8" xfId="0" applyFont="1" applyFill="1" applyBorder="1" applyAlignment="1" applyProtection="1">
      <alignment vertical="top"/>
    </xf>
    <xf numFmtId="41" fontId="56" fillId="8" borderId="4" xfId="0" applyNumberFormat="1" applyFont="1" applyFill="1" applyBorder="1" applyAlignment="1" applyProtection="1">
      <alignment vertical="top" wrapText="1"/>
    </xf>
    <xf numFmtId="0" fontId="7" fillId="0" borderId="4" xfId="0" applyNumberFormat="1" applyFont="1" applyFill="1" applyBorder="1" applyAlignment="1" applyProtection="1">
      <alignment vertical="top"/>
    </xf>
    <xf numFmtId="3" fontId="60" fillId="0" borderId="1" xfId="23" applyNumberFormat="1" applyFont="1" applyBorder="1" applyAlignment="1" applyProtection="1">
      <alignment horizontal="right"/>
    </xf>
    <xf numFmtId="41" fontId="7" fillId="0" borderId="5" xfId="0" applyNumberFormat="1" applyFont="1" applyFill="1" applyBorder="1" applyAlignment="1" applyProtection="1">
      <alignment horizontal="right" vertical="top"/>
    </xf>
    <xf numFmtId="0" fontId="7" fillId="0" borderId="4" xfId="0" applyNumberFormat="1" applyFont="1" applyFill="1" applyBorder="1" applyAlignment="1" applyProtection="1">
      <alignment vertical="top" wrapText="1"/>
    </xf>
    <xf numFmtId="0" fontId="56" fillId="8" borderId="4" xfId="0" applyNumberFormat="1" applyFont="1" applyFill="1" applyBorder="1" applyAlignment="1" applyProtection="1">
      <alignment vertical="top" wrapText="1"/>
    </xf>
    <xf numFmtId="0" fontId="30" fillId="0" borderId="4" xfId="0" applyNumberFormat="1" applyFont="1" applyFill="1" applyBorder="1" applyAlignment="1" applyProtection="1">
      <alignment vertical="top" wrapText="1"/>
    </xf>
    <xf numFmtId="41" fontId="7" fillId="0" borderId="1" xfId="0" applyNumberFormat="1" applyFont="1" applyFill="1" applyBorder="1" applyAlignment="1" applyProtection="1">
      <alignment horizontal="right" vertical="top"/>
    </xf>
    <xf numFmtId="41" fontId="7" fillId="0" borderId="0" xfId="0" applyNumberFormat="1" applyFont="1" applyFill="1" applyBorder="1" applyProtection="1"/>
    <xf numFmtId="1" fontId="7" fillId="8" borderId="14" xfId="0" applyNumberFormat="1" applyFont="1" applyFill="1" applyBorder="1" applyProtection="1"/>
    <xf numFmtId="1" fontId="7" fillId="8" borderId="9" xfId="0" applyNumberFormat="1" applyFont="1" applyFill="1" applyBorder="1" applyProtection="1"/>
    <xf numFmtId="0" fontId="58" fillId="8" borderId="8" xfId="0" applyNumberFormat="1" applyFont="1" applyFill="1" applyBorder="1" applyAlignment="1" applyProtection="1">
      <alignment vertical="top" wrapText="1"/>
    </xf>
    <xf numFmtId="165" fontId="7" fillId="0" borderId="9" xfId="0" applyNumberFormat="1" applyFont="1" applyFill="1" applyBorder="1" applyAlignment="1" applyProtection="1">
      <alignment horizontal="right" vertical="top"/>
    </xf>
    <xf numFmtId="0" fontId="7" fillId="0" borderId="23" xfId="0" applyFont="1" applyBorder="1" applyProtection="1"/>
    <xf numFmtId="0" fontId="7" fillId="0" borderId="25" xfId="0" applyFont="1" applyBorder="1" applyProtection="1"/>
    <xf numFmtId="41" fontId="7" fillId="0" borderId="0" xfId="0" applyNumberFormat="1" applyFont="1" applyProtection="1"/>
    <xf numFmtId="0" fontId="7" fillId="0" borderId="51" xfId="0" applyFont="1" applyBorder="1" applyProtection="1"/>
    <xf numFmtId="166" fontId="58" fillId="8" borderId="4" xfId="0" applyNumberFormat="1" applyFont="1" applyFill="1" applyBorder="1" applyAlignment="1" applyProtection="1">
      <alignment horizontal="center" vertical="top"/>
    </xf>
    <xf numFmtId="0" fontId="62" fillId="0" borderId="4" xfId="0" applyNumberFormat="1" applyFont="1" applyFill="1" applyBorder="1" applyAlignment="1" applyProtection="1">
      <alignment vertical="top" wrapText="1"/>
    </xf>
    <xf numFmtId="0" fontId="7" fillId="0" borderId="5" xfId="0" applyFont="1" applyBorder="1" applyProtection="1"/>
    <xf numFmtId="0" fontId="7" fillId="0" borderId="0" xfId="0" applyFont="1" applyFill="1" applyBorder="1" applyAlignment="1" applyProtection="1">
      <alignment horizontal="center"/>
    </xf>
    <xf numFmtId="41" fontId="28" fillId="0" borderId="0" xfId="0" applyNumberFormat="1" applyFont="1" applyFill="1" applyBorder="1" applyAlignment="1" applyProtection="1">
      <alignment horizontal="center" vertical="top" wrapText="1"/>
    </xf>
    <xf numFmtId="165" fontId="7" fillId="0" borderId="0" xfId="0" applyNumberFormat="1" applyFont="1" applyProtection="1"/>
    <xf numFmtId="165" fontId="7" fillId="0" borderId="0" xfId="0" applyNumberFormat="1" applyFont="1" applyFill="1" applyProtection="1"/>
    <xf numFmtId="9" fontId="7" fillId="0" borderId="0" xfId="2" applyFont="1" applyProtection="1"/>
    <xf numFmtId="9" fontId="7" fillId="0" borderId="0" xfId="2" applyFont="1" applyFill="1" applyProtection="1"/>
    <xf numFmtId="0" fontId="28" fillId="8" borderId="4" xfId="0" applyNumberFormat="1" applyFont="1" applyFill="1" applyBorder="1" applyAlignment="1" applyProtection="1">
      <alignment vertical="top" wrapText="1"/>
    </xf>
    <xf numFmtId="3" fontId="60" fillId="0" borderId="1" xfId="23" applyNumberFormat="1" applyFont="1" applyFill="1" applyBorder="1" applyProtection="1"/>
    <xf numFmtId="3" fontId="60" fillId="0" borderId="1" xfId="24" applyNumberFormat="1" applyFont="1" applyBorder="1" applyAlignment="1" applyProtection="1">
      <alignment horizontal="right"/>
    </xf>
    <xf numFmtId="3" fontId="60" fillId="0" borderId="1" xfId="24" applyNumberFormat="1" applyFont="1" applyFill="1" applyBorder="1" applyProtection="1"/>
    <xf numFmtId="0" fontId="58" fillId="8" borderId="4" xfId="0" applyNumberFormat="1" applyFont="1" applyFill="1" applyBorder="1" applyAlignment="1" applyProtection="1">
      <alignment vertical="top" wrapText="1"/>
    </xf>
    <xf numFmtId="16" fontId="7" fillId="0" borderId="0" xfId="0" quotePrefix="1" applyNumberFormat="1" applyFont="1" applyFill="1" applyBorder="1" applyProtection="1"/>
    <xf numFmtId="0" fontId="7" fillId="0" borderId="0" xfId="0" quotePrefix="1" applyFont="1" applyFill="1" applyBorder="1" applyProtection="1"/>
    <xf numFmtId="41" fontId="7" fillId="0" borderId="1" xfId="0" applyNumberFormat="1" applyFont="1" applyFill="1" applyBorder="1" applyAlignment="1" applyProtection="1">
      <alignment horizontal="center" vertical="top"/>
    </xf>
    <xf numFmtId="0" fontId="30" fillId="3" borderId="4" xfId="0" applyNumberFormat="1" applyFont="1" applyFill="1" applyBorder="1" applyAlignment="1" applyProtection="1">
      <alignment vertical="top" wrapText="1"/>
    </xf>
    <xf numFmtId="41" fontId="30" fillId="0" borderId="4" xfId="0" applyNumberFormat="1" applyFont="1" applyFill="1" applyBorder="1" applyAlignment="1" applyProtection="1">
      <alignment horizontal="center" vertical="top" wrapText="1"/>
    </xf>
    <xf numFmtId="41" fontId="30" fillId="2" borderId="4" xfId="0" applyNumberFormat="1" applyFont="1" applyFill="1" applyBorder="1" applyAlignment="1" applyProtection="1">
      <alignment horizontal="center" vertical="top" wrapText="1"/>
    </xf>
    <xf numFmtId="41" fontId="7" fillId="2" borderId="1" xfId="0" applyNumberFormat="1" applyFont="1" applyFill="1" applyBorder="1" applyAlignment="1" applyProtection="1">
      <alignment horizontal="right" vertical="top"/>
    </xf>
    <xf numFmtId="0" fontId="29" fillId="0" borderId="4" xfId="0" applyNumberFormat="1" applyFont="1" applyFill="1" applyBorder="1" applyAlignment="1" applyProtection="1">
      <alignment vertical="top" wrapText="1"/>
    </xf>
    <xf numFmtId="0" fontId="63" fillId="3" borderId="8" xfId="0" applyFont="1" applyFill="1" applyBorder="1" applyAlignment="1" applyProtection="1">
      <alignment vertical="top" wrapText="1"/>
    </xf>
    <xf numFmtId="41" fontId="7" fillId="0" borderId="9" xfId="0" applyNumberFormat="1" applyFont="1" applyFill="1" applyBorder="1" applyAlignment="1" applyProtection="1">
      <alignment horizontal="right" vertical="top"/>
    </xf>
    <xf numFmtId="0" fontId="56" fillId="0" borderId="0" xfId="0" applyFont="1" applyFill="1" applyBorder="1" applyAlignment="1" applyProtection="1">
      <alignment horizontal="center" vertical="top"/>
    </xf>
    <xf numFmtId="166" fontId="28" fillId="0" borderId="0" xfId="0" applyNumberFormat="1" applyFont="1" applyFill="1" applyBorder="1" applyAlignment="1" applyProtection="1">
      <alignment vertical="top"/>
    </xf>
    <xf numFmtId="43" fontId="7" fillId="0" borderId="0" xfId="0" applyNumberFormat="1" applyFont="1" applyFill="1" applyBorder="1" applyProtection="1"/>
    <xf numFmtId="10" fontId="7" fillId="0" borderId="0" xfId="2" applyNumberFormat="1" applyFont="1" applyFill="1" applyBorder="1" applyProtection="1"/>
    <xf numFmtId="2" fontId="7" fillId="0" borderId="0" xfId="0" applyNumberFormat="1" applyFont="1" applyFill="1" applyBorder="1" applyProtection="1"/>
    <xf numFmtId="174" fontId="0" fillId="0" borderId="1" xfId="0" applyNumberFormat="1" applyBorder="1" applyProtection="1"/>
    <xf numFmtId="0" fontId="7" fillId="0" borderId="1" xfId="0" applyFont="1" applyBorder="1" applyProtection="1">
      <protection locked="0"/>
    </xf>
    <xf numFmtId="41" fontId="28" fillId="0" borderId="0" xfId="0" applyNumberFormat="1" applyFont="1" applyFill="1" applyBorder="1" applyAlignment="1" applyProtection="1">
      <alignment horizontal="center" vertical="top" wrapText="1"/>
      <protection locked="0"/>
    </xf>
    <xf numFmtId="41" fontId="28" fillId="0" borderId="0" xfId="0" applyNumberFormat="1" applyFont="1" applyFill="1" applyBorder="1" applyAlignment="1" applyProtection="1">
      <alignment horizontal="center" vertical="top" wrapText="1"/>
    </xf>
    <xf numFmtId="0" fontId="0" fillId="0" borderId="1" xfId="0" applyFont="1" applyFill="1" applyBorder="1" applyAlignment="1" applyProtection="1">
      <protection locked="0"/>
    </xf>
    <xf numFmtId="0" fontId="28" fillId="8" borderId="12" xfId="0" applyFont="1" applyFill="1" applyBorder="1" applyAlignment="1">
      <alignment horizontal="center"/>
    </xf>
    <xf numFmtId="15" fontId="28" fillId="0" borderId="1" xfId="0" applyNumberFormat="1" applyFont="1" applyBorder="1" applyAlignment="1" applyProtection="1">
      <alignment horizontal="center"/>
      <protection locked="0"/>
    </xf>
    <xf numFmtId="0" fontId="0" fillId="28" borderId="1" xfId="0" applyFill="1" applyBorder="1" applyProtection="1"/>
    <xf numFmtId="167" fontId="0" fillId="28" borderId="1" xfId="0" applyNumberFormat="1" applyFill="1" applyBorder="1" applyProtection="1"/>
    <xf numFmtId="0" fontId="45" fillId="16" borderId="8" xfId="0" applyFont="1" applyFill="1" applyBorder="1" applyAlignment="1" applyProtection="1">
      <alignment vertical="center" wrapText="1"/>
    </xf>
    <xf numFmtId="0" fontId="6" fillId="16" borderId="1" xfId="0" applyFont="1" applyFill="1" applyBorder="1" applyProtection="1"/>
    <xf numFmtId="0" fontId="28" fillId="20" borderId="4" xfId="0" applyFont="1" applyFill="1" applyBorder="1" applyProtection="1">
      <protection hidden="1"/>
    </xf>
    <xf numFmtId="0" fontId="28" fillId="20" borderId="4" xfId="0" applyFont="1" applyFill="1" applyBorder="1" applyAlignment="1" applyProtection="1">
      <alignment wrapText="1"/>
      <protection hidden="1"/>
    </xf>
    <xf numFmtId="0" fontId="28" fillId="20" borderId="8" xfId="0" applyFont="1" applyFill="1" applyBorder="1" applyAlignment="1" applyProtection="1">
      <alignment wrapText="1"/>
      <protection hidden="1"/>
    </xf>
    <xf numFmtId="0" fontId="6" fillId="0" borderId="4" xfId="0" applyNumberFormat="1" applyFont="1" applyFill="1" applyBorder="1" applyAlignment="1" applyProtection="1">
      <alignment vertical="top" wrapText="1"/>
    </xf>
    <xf numFmtId="0" fontId="6" fillId="0" borderId="0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58" fillId="0" borderId="5" xfId="0" applyFont="1" applyFill="1" applyBorder="1" applyAlignment="1" applyProtection="1">
      <alignment horizontal="center" vertical="top"/>
      <protection locked="0"/>
    </xf>
    <xf numFmtId="0" fontId="6" fillId="0" borderId="0" xfId="0" applyFont="1" applyFill="1" applyProtection="1">
      <protection locked="0"/>
    </xf>
    <xf numFmtId="41" fontId="6" fillId="0" borderId="4" xfId="0" applyNumberFormat="1" applyFont="1" applyFill="1" applyBorder="1" applyAlignment="1" applyProtection="1">
      <alignment vertical="top"/>
      <protection locked="0"/>
    </xf>
    <xf numFmtId="9" fontId="6" fillId="8" borderId="1" xfId="2" applyFont="1" applyFill="1" applyBorder="1" applyAlignment="1" applyProtection="1">
      <alignment horizontal="right" vertical="top"/>
    </xf>
    <xf numFmtId="41" fontId="6" fillId="0" borderId="5" xfId="0" applyNumberFormat="1" applyFont="1" applyFill="1" applyBorder="1" applyAlignment="1" applyProtection="1">
      <alignment horizontal="right" vertical="top"/>
      <protection locked="0"/>
    </xf>
    <xf numFmtId="41" fontId="6" fillId="0" borderId="4" xfId="0" applyNumberFormat="1" applyFont="1" applyFill="1" applyBorder="1" applyAlignment="1" applyProtection="1">
      <alignment vertical="top" wrapText="1"/>
      <protection locked="0"/>
    </xf>
    <xf numFmtId="41" fontId="6" fillId="0" borderId="1" xfId="0" applyNumberFormat="1" applyFont="1" applyFill="1" applyBorder="1" applyAlignment="1" applyProtection="1">
      <alignment horizontal="right" vertical="top"/>
      <protection locked="0"/>
    </xf>
    <xf numFmtId="0" fontId="6" fillId="8" borderId="4" xfId="0" applyFont="1" applyFill="1" applyBorder="1" applyProtection="1"/>
    <xf numFmtId="167" fontId="6" fillId="8" borderId="1" xfId="0" applyNumberFormat="1" applyFont="1" applyFill="1" applyBorder="1" applyProtection="1"/>
    <xf numFmtId="167" fontId="6" fillId="8" borderId="5" xfId="0" applyNumberFormat="1" applyFont="1" applyFill="1" applyBorder="1" applyProtection="1"/>
    <xf numFmtId="41" fontId="6" fillId="8" borderId="1" xfId="0" applyNumberFormat="1" applyFont="1" applyFill="1" applyBorder="1" applyAlignment="1" applyProtection="1">
      <alignment horizontal="right" vertical="top"/>
    </xf>
    <xf numFmtId="0" fontId="6" fillId="8" borderId="1" xfId="0" applyFont="1" applyFill="1" applyBorder="1" applyProtection="1"/>
    <xf numFmtId="10" fontId="6" fillId="8" borderId="5" xfId="2" applyNumberFormat="1" applyFont="1" applyFill="1" applyBorder="1" applyProtection="1"/>
    <xf numFmtId="41" fontId="30" fillId="0" borderId="4" xfId="0" applyNumberFormat="1" applyFont="1" applyFill="1" applyBorder="1" applyAlignment="1" applyProtection="1">
      <alignment vertical="top" wrapText="1"/>
      <protection locked="0"/>
    </xf>
    <xf numFmtId="41" fontId="6" fillId="0" borderId="0" xfId="0" applyNumberFormat="1" applyFont="1" applyFill="1" applyBorder="1" applyProtection="1">
      <protection locked="0"/>
    </xf>
    <xf numFmtId="1" fontId="6" fillId="8" borderId="1" xfId="0" applyNumberFormat="1" applyFont="1" applyFill="1" applyBorder="1" applyProtection="1"/>
    <xf numFmtId="1" fontId="6" fillId="8" borderId="5" xfId="0" applyNumberFormat="1" applyFont="1" applyFill="1" applyBorder="1" applyProtection="1"/>
    <xf numFmtId="9" fontId="6" fillId="8" borderId="1" xfId="2" applyNumberFormat="1" applyFont="1" applyFill="1" applyBorder="1" applyProtection="1"/>
    <xf numFmtId="9" fontId="6" fillId="8" borderId="5" xfId="2" applyNumberFormat="1" applyFont="1" applyFill="1" applyBorder="1" applyProtection="1"/>
    <xf numFmtId="9" fontId="6" fillId="8" borderId="1" xfId="2" applyFont="1" applyFill="1" applyBorder="1" applyProtection="1"/>
    <xf numFmtId="9" fontId="6" fillId="8" borderId="5" xfId="2" applyFont="1" applyFill="1" applyBorder="1" applyProtection="1"/>
    <xf numFmtId="0" fontId="6" fillId="8" borderId="8" xfId="0" applyFont="1" applyFill="1" applyBorder="1" applyProtection="1"/>
    <xf numFmtId="1" fontId="6" fillId="8" borderId="14" xfId="0" applyNumberFormat="1" applyFont="1" applyFill="1" applyBorder="1" applyProtection="1"/>
    <xf numFmtId="1" fontId="6" fillId="8" borderId="9" xfId="0" applyNumberFormat="1" applyFont="1" applyFill="1" applyBorder="1" applyProtection="1"/>
    <xf numFmtId="1" fontId="6" fillId="8" borderId="1" xfId="0" applyNumberFormat="1" applyFont="1" applyFill="1" applyBorder="1" applyAlignment="1" applyProtection="1">
      <alignment horizontal="center"/>
    </xf>
    <xf numFmtId="1" fontId="6" fillId="8" borderId="5" xfId="0" applyNumberFormat="1" applyFont="1" applyFill="1" applyBorder="1" applyAlignment="1" applyProtection="1">
      <alignment horizontal="center"/>
    </xf>
    <xf numFmtId="41" fontId="58" fillId="8" borderId="8" xfId="0" applyNumberFormat="1" applyFont="1" applyFill="1" applyBorder="1" applyAlignment="1" applyProtection="1">
      <alignment vertical="top" wrapText="1"/>
      <protection locked="0"/>
    </xf>
    <xf numFmtId="0" fontId="6" fillId="8" borderId="1" xfId="0" applyNumberFormat="1" applyFont="1" applyFill="1" applyBorder="1" applyAlignment="1" applyProtection="1">
      <alignment horizontal="center"/>
    </xf>
    <xf numFmtId="0" fontId="6" fillId="8" borderId="5" xfId="0" applyNumberFormat="1" applyFont="1" applyFill="1" applyBorder="1" applyAlignment="1" applyProtection="1">
      <alignment horizontal="center"/>
    </xf>
    <xf numFmtId="165" fontId="6" fillId="0" borderId="9" xfId="0" applyNumberFormat="1" applyFont="1" applyFill="1" applyBorder="1" applyAlignment="1" applyProtection="1">
      <alignment horizontal="right" vertical="top"/>
      <protection locked="0"/>
    </xf>
    <xf numFmtId="0" fontId="6" fillId="0" borderId="35" xfId="0" applyFont="1" applyBorder="1" applyProtection="1">
      <protection locked="0"/>
    </xf>
    <xf numFmtId="0" fontId="6" fillId="0" borderId="39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6" fillId="0" borderId="25" xfId="0" applyFont="1" applyBorder="1" applyProtection="1">
      <protection locked="0"/>
    </xf>
    <xf numFmtId="2" fontId="6" fillId="8" borderId="1" xfId="0" applyNumberFormat="1" applyFont="1" applyFill="1" applyBorder="1" applyAlignment="1" applyProtection="1">
      <alignment horizontal="center"/>
    </xf>
    <xf numFmtId="2" fontId="6" fillId="8" borderId="5" xfId="0" applyNumberFormat="1" applyFont="1" applyFill="1" applyBorder="1" applyAlignment="1" applyProtection="1">
      <alignment horizontal="center"/>
    </xf>
    <xf numFmtId="0" fontId="6" fillId="0" borderId="50" xfId="0" applyFont="1" applyBorder="1" applyProtection="1"/>
    <xf numFmtId="0" fontId="6" fillId="0" borderId="54" xfId="0" applyFont="1" applyBorder="1" applyProtection="1"/>
    <xf numFmtId="0" fontId="6" fillId="0" borderId="7" xfId="0" applyFont="1" applyBorder="1" applyProtection="1"/>
    <xf numFmtId="0" fontId="6" fillId="0" borderId="3" xfId="0" applyFont="1" applyBorder="1" applyProtection="1"/>
    <xf numFmtId="2" fontId="6" fillId="8" borderId="14" xfId="0" applyNumberFormat="1" applyFont="1" applyFill="1" applyBorder="1" applyAlignment="1" applyProtection="1">
      <alignment horizontal="center"/>
    </xf>
    <xf numFmtId="2" fontId="6" fillId="8" borderId="9" xfId="0" applyNumberFormat="1" applyFont="1" applyFill="1" applyBorder="1" applyAlignment="1" applyProtection="1">
      <alignment horizontal="center"/>
    </xf>
    <xf numFmtId="41" fontId="62" fillId="0" borderId="4" xfId="0" applyNumberFormat="1" applyFont="1" applyFill="1" applyBorder="1" applyAlignment="1" applyProtection="1">
      <alignment vertical="top" wrapText="1"/>
      <protection locked="0"/>
    </xf>
    <xf numFmtId="0" fontId="6" fillId="0" borderId="5" xfId="0" applyFont="1" applyBorder="1" applyProtection="1">
      <protection locked="0"/>
    </xf>
    <xf numFmtId="0" fontId="6" fillId="0" borderId="0" xfId="0" applyFont="1" applyFill="1" applyProtection="1"/>
    <xf numFmtId="0" fontId="6" fillId="0" borderId="0" xfId="0" applyFont="1" applyFill="1" applyBorder="1" applyAlignment="1" applyProtection="1">
      <alignment horizontal="center"/>
      <protection locked="0"/>
    </xf>
    <xf numFmtId="41" fontId="6" fillId="0" borderId="0" xfId="0" applyNumberFormat="1" applyFont="1" applyProtection="1">
      <protection locked="0"/>
    </xf>
    <xf numFmtId="165" fontId="6" fillId="0" borderId="0" xfId="0" applyNumberFormat="1" applyFont="1" applyProtection="1">
      <protection locked="0"/>
    </xf>
    <xf numFmtId="165" fontId="6" fillId="0" borderId="0" xfId="0" applyNumberFormat="1" applyFont="1" applyFill="1" applyProtection="1">
      <protection locked="0"/>
    </xf>
    <xf numFmtId="9" fontId="6" fillId="0" borderId="0" xfId="2" applyFont="1" applyProtection="1">
      <protection locked="0"/>
    </xf>
    <xf numFmtId="9" fontId="6" fillId="0" borderId="0" xfId="2" applyFont="1" applyFill="1" applyProtection="1">
      <protection locked="0"/>
    </xf>
    <xf numFmtId="41" fontId="28" fillId="8" borderId="4" xfId="0" applyNumberFormat="1" applyFont="1" applyFill="1" applyBorder="1" applyAlignment="1" applyProtection="1">
      <alignment vertical="top" wrapText="1"/>
      <protection locked="0"/>
    </xf>
    <xf numFmtId="41" fontId="58" fillId="8" borderId="4" xfId="0" applyNumberFormat="1" applyFont="1" applyFill="1" applyBorder="1" applyAlignment="1" applyProtection="1">
      <alignment vertical="top" wrapText="1"/>
      <protection locked="0"/>
    </xf>
    <xf numFmtId="16" fontId="6" fillId="0" borderId="0" xfId="0" quotePrefix="1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41" fontId="6" fillId="0" borderId="1" xfId="0" applyNumberFormat="1" applyFont="1" applyFill="1" applyBorder="1" applyAlignment="1" applyProtection="1">
      <alignment horizontal="center" vertical="top"/>
      <protection locked="0"/>
    </xf>
    <xf numFmtId="41" fontId="30" fillId="3" borderId="4" xfId="0" applyNumberFormat="1" applyFont="1" applyFill="1" applyBorder="1" applyAlignment="1" applyProtection="1">
      <alignment vertical="top" wrapText="1"/>
      <protection locked="0"/>
    </xf>
    <xf numFmtId="41" fontId="6" fillId="2" borderId="1" xfId="0" applyNumberFormat="1" applyFont="1" applyFill="1" applyBorder="1" applyAlignment="1" applyProtection="1">
      <alignment horizontal="right" vertical="top"/>
      <protection locked="0"/>
    </xf>
    <xf numFmtId="41" fontId="29" fillId="0" borderId="4" xfId="0" applyNumberFormat="1" applyFont="1" applyFill="1" applyBorder="1" applyAlignment="1" applyProtection="1">
      <alignment vertical="top" wrapText="1"/>
      <protection locked="0"/>
    </xf>
    <xf numFmtId="41" fontId="6" fillId="0" borderId="14" xfId="0" applyNumberFormat="1" applyFont="1" applyFill="1" applyBorder="1" applyAlignment="1" applyProtection="1">
      <alignment horizontal="right" vertical="top"/>
    </xf>
    <xf numFmtId="41" fontId="6" fillId="0" borderId="9" xfId="0" applyNumberFormat="1" applyFont="1" applyFill="1" applyBorder="1" applyAlignment="1" applyProtection="1">
      <alignment horizontal="right" vertical="top"/>
      <protection locked="0"/>
    </xf>
    <xf numFmtId="43" fontId="6" fillId="0" borderId="0" xfId="0" applyNumberFormat="1" applyFont="1" applyFill="1" applyBorder="1" applyProtection="1">
      <protection locked="0"/>
    </xf>
    <xf numFmtId="10" fontId="6" fillId="0" borderId="0" xfId="2" applyNumberFormat="1" applyFont="1" applyFill="1" applyBorder="1" applyProtection="1">
      <protection locked="0"/>
    </xf>
    <xf numFmtId="2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Fill="1" applyBorder="1" applyProtection="1"/>
    <xf numFmtId="2" fontId="6" fillId="0" borderId="0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vertical="top" wrapText="1"/>
      <protection locked="0"/>
    </xf>
    <xf numFmtId="0" fontId="5" fillId="0" borderId="4" xfId="0" applyNumberFormat="1" applyFont="1" applyFill="1" applyBorder="1" applyAlignment="1" applyProtection="1">
      <alignment vertical="top" wrapText="1"/>
      <protection locked="0"/>
    </xf>
    <xf numFmtId="169" fontId="52" fillId="24" borderId="40" xfId="0" applyNumberFormat="1" applyFont="1" applyFill="1" applyBorder="1" applyAlignment="1" applyProtection="1">
      <alignment horizontal="center"/>
    </xf>
    <xf numFmtId="0" fontId="29" fillId="27" borderId="21" xfId="3" applyFont="1" applyFill="1" applyBorder="1" applyAlignment="1" applyProtection="1">
      <alignment vertical="center"/>
      <protection locked="0"/>
    </xf>
    <xf numFmtId="165" fontId="7" fillId="0" borderId="0" xfId="0" applyNumberFormat="1" applyFont="1" applyFill="1" applyBorder="1" applyProtection="1">
      <protection locked="0"/>
    </xf>
    <xf numFmtId="165" fontId="5" fillId="0" borderId="0" xfId="0" applyNumberFormat="1" applyFont="1" applyProtection="1"/>
    <xf numFmtId="0" fontId="28" fillId="8" borderId="1" xfId="0" applyFont="1" applyFill="1" applyBorder="1" applyAlignment="1" applyProtection="1">
      <alignment horizontal="center"/>
    </xf>
    <xf numFmtId="17" fontId="52" fillId="0" borderId="41" xfId="0" applyNumberFormat="1" applyFont="1" applyBorder="1" applyAlignment="1" applyProtection="1">
      <alignment horizontal="center"/>
      <protection locked="0"/>
    </xf>
    <xf numFmtId="17" fontId="52" fillId="24" borderId="41" xfId="0" applyNumberFormat="1" applyFont="1" applyFill="1" applyBorder="1" applyAlignment="1">
      <alignment horizontal="center"/>
    </xf>
    <xf numFmtId="0" fontId="42" fillId="8" borderId="52" xfId="0" applyFont="1" applyFill="1" applyBorder="1" applyProtection="1"/>
    <xf numFmtId="167" fontId="30" fillId="29" borderId="1" xfId="1" applyNumberFormat="1" applyFont="1" applyFill="1" applyBorder="1" applyAlignment="1">
      <alignment horizontal="right" vertical="center" wrapText="1"/>
    </xf>
    <xf numFmtId="3" fontId="68" fillId="0" borderId="1" xfId="23" applyNumberFormat="1" applyFont="1" applyBorder="1" applyAlignment="1" applyProtection="1">
      <alignment horizontal="right"/>
      <protection locked="0"/>
    </xf>
    <xf numFmtId="3" fontId="68" fillId="0" borderId="1" xfId="24" applyNumberFormat="1" applyFont="1" applyBorder="1" applyAlignment="1" applyProtection="1">
      <alignment horizontal="right"/>
      <protection locked="0"/>
    </xf>
    <xf numFmtId="3" fontId="69" fillId="0" borderId="1" xfId="23" applyNumberFormat="1" applyFont="1" applyBorder="1" applyAlignment="1" applyProtection="1">
      <alignment horizontal="right"/>
      <protection locked="0"/>
    </xf>
    <xf numFmtId="3" fontId="69" fillId="0" borderId="1" xfId="24" applyNumberFormat="1" applyFont="1" applyBorder="1" applyAlignment="1" applyProtection="1">
      <alignment horizontal="right"/>
      <protection locked="0"/>
    </xf>
    <xf numFmtId="3" fontId="70" fillId="0" borderId="1" xfId="24" applyNumberFormat="1" applyFont="1" applyFill="1" applyBorder="1" applyProtection="1">
      <protection locked="0"/>
    </xf>
    <xf numFmtId="3" fontId="69" fillId="0" borderId="1" xfId="24" applyNumberFormat="1" applyFont="1" applyFill="1" applyBorder="1" applyProtection="1">
      <protection locked="0"/>
    </xf>
    <xf numFmtId="3" fontId="69" fillId="21" borderId="1" xfId="24" applyNumberFormat="1" applyFont="1" applyFill="1" applyBorder="1" applyProtection="1">
      <protection locked="0"/>
    </xf>
    <xf numFmtId="3" fontId="69" fillId="0" borderId="1" xfId="23" applyNumberFormat="1" applyFont="1" applyFill="1" applyBorder="1" applyProtection="1">
      <protection locked="0"/>
    </xf>
    <xf numFmtId="43" fontId="0" fillId="0" borderId="1" xfId="1" applyNumberFormat="1" applyFont="1" applyFill="1" applyBorder="1" applyProtection="1">
      <protection locked="0"/>
    </xf>
    <xf numFmtId="43" fontId="0" fillId="0" borderId="1" xfId="22" applyFont="1" applyFill="1" applyBorder="1" applyProtection="1">
      <protection locked="0"/>
    </xf>
    <xf numFmtId="169" fontId="52" fillId="23" borderId="1" xfId="0" applyNumberFormat="1" applyFont="1" applyFill="1" applyBorder="1" applyAlignment="1">
      <alignment horizontal="right"/>
    </xf>
    <xf numFmtId="169" fontId="52" fillId="23" borderId="20" xfId="0" applyNumberFormat="1" applyFont="1" applyFill="1" applyBorder="1" applyAlignment="1">
      <alignment horizontal="right"/>
    </xf>
    <xf numFmtId="167" fontId="51" fillId="25" borderId="24" xfId="0" applyNumberFormat="1" applyFont="1" applyFill="1" applyBorder="1" applyAlignment="1">
      <alignment horizontal="right"/>
    </xf>
    <xf numFmtId="43" fontId="52" fillId="25" borderId="18" xfId="0" applyNumberFormat="1" applyFont="1" applyFill="1" applyBorder="1" applyAlignment="1">
      <alignment horizontal="right"/>
    </xf>
    <xf numFmtId="167" fontId="30" fillId="23" borderId="1" xfId="1" applyNumberFormat="1" applyFont="1" applyFill="1" applyBorder="1" applyAlignment="1">
      <alignment vertical="center"/>
    </xf>
    <xf numFmtId="169" fontId="51" fillId="23" borderId="18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wrapText="1"/>
    </xf>
    <xf numFmtId="0" fontId="0" fillId="7" borderId="0" xfId="0" applyFill="1"/>
    <xf numFmtId="169" fontId="52" fillId="24" borderId="42" xfId="0" applyNumberFormat="1" applyFont="1" applyFill="1" applyBorder="1" applyAlignment="1">
      <alignment horizontal="center"/>
    </xf>
    <xf numFmtId="167" fontId="52" fillId="0" borderId="41" xfId="0" applyNumberFormat="1" applyFont="1" applyBorder="1"/>
    <xf numFmtId="167" fontId="52" fillId="31" borderId="45" xfId="0" applyNumberFormat="1" applyFont="1" applyFill="1" applyBorder="1" applyAlignment="1">
      <alignment horizontal="center"/>
    </xf>
    <xf numFmtId="167" fontId="52" fillId="24" borderId="1" xfId="0" applyNumberFormat="1" applyFont="1" applyFill="1" applyBorder="1" applyAlignment="1">
      <alignment horizontal="center" vertical="center"/>
    </xf>
    <xf numFmtId="43" fontId="52" fillId="0" borderId="67" xfId="0" applyNumberFormat="1" applyFont="1" applyBorder="1" applyAlignment="1"/>
    <xf numFmtId="2" fontId="30" fillId="0" borderId="1" xfId="1" applyNumberFormat="1" applyFont="1" applyBorder="1" applyAlignment="1" applyProtection="1">
      <alignment horizontal="right" vertical="center"/>
      <protection locked="0"/>
    </xf>
    <xf numFmtId="2" fontId="30" fillId="0" borderId="1" xfId="3" applyNumberFormat="1" applyFont="1" applyBorder="1" applyAlignment="1" applyProtection="1">
      <alignment vertical="center"/>
      <protection locked="0"/>
    </xf>
    <xf numFmtId="0" fontId="71" fillId="32" borderId="0" xfId="64" applyFont="1" applyFill="1"/>
    <xf numFmtId="0" fontId="36" fillId="32" borderId="0" xfId="64" applyFont="1" applyFill="1"/>
    <xf numFmtId="0" fontId="36" fillId="32" borderId="68" xfId="64" applyFont="1" applyFill="1" applyBorder="1"/>
    <xf numFmtId="0" fontId="71" fillId="32" borderId="0" xfId="64" applyFont="1" applyFill="1" applyAlignment="1">
      <alignment vertical="center"/>
    </xf>
    <xf numFmtId="0" fontId="36" fillId="32" borderId="0" xfId="64" applyFont="1" applyFill="1" applyAlignment="1">
      <alignment vertical="center"/>
    </xf>
    <xf numFmtId="0" fontId="36" fillId="32" borderId="68" xfId="64" applyFont="1" applyFill="1" applyBorder="1" applyAlignment="1">
      <alignment vertical="center"/>
    </xf>
    <xf numFmtId="0" fontId="73" fillId="32" borderId="0" xfId="64" applyFont="1" applyFill="1"/>
    <xf numFmtId="0" fontId="56" fillId="32" borderId="0" xfId="64" applyFont="1" applyFill="1"/>
    <xf numFmtId="0" fontId="56" fillId="32" borderId="68" xfId="64" applyFont="1" applyFill="1" applyBorder="1"/>
    <xf numFmtId="17" fontId="28" fillId="37" borderId="55" xfId="64" applyNumberFormat="1" applyFont="1" applyFill="1" applyBorder="1" applyAlignment="1">
      <alignment horizontal="center" vertical="center" wrapText="1"/>
    </xf>
    <xf numFmtId="0" fontId="28" fillId="37" borderId="20" xfId="64" applyFont="1" applyFill="1" applyBorder="1" applyAlignment="1">
      <alignment horizontal="center" vertical="center" wrapText="1"/>
    </xf>
    <xf numFmtId="0" fontId="28" fillId="37" borderId="56" xfId="64" applyFont="1" applyFill="1" applyBorder="1" applyAlignment="1">
      <alignment horizontal="center" vertical="center" wrapText="1"/>
    </xf>
    <xf numFmtId="17" fontId="28" fillId="37" borderId="55" xfId="64" applyNumberFormat="1" applyFont="1" applyFill="1" applyBorder="1" applyAlignment="1">
      <alignment horizontal="center" vertical="center"/>
    </xf>
    <xf numFmtId="0" fontId="28" fillId="37" borderId="20" xfId="64" applyFont="1" applyFill="1" applyBorder="1" applyAlignment="1">
      <alignment horizontal="center" vertical="center"/>
    </xf>
    <xf numFmtId="17" fontId="28" fillId="37" borderId="6" xfId="64" applyNumberFormat="1" applyFont="1" applyFill="1" applyBorder="1" applyAlignment="1">
      <alignment horizontal="center" vertical="center"/>
    </xf>
    <xf numFmtId="0" fontId="28" fillId="37" borderId="56" xfId="64" applyFont="1" applyFill="1" applyBorder="1" applyAlignment="1">
      <alignment horizontal="center" vertical="center"/>
    </xf>
    <xf numFmtId="0" fontId="36" fillId="32" borderId="30" xfId="64" applyFont="1" applyFill="1" applyBorder="1" applyAlignment="1">
      <alignment vertical="center"/>
    </xf>
    <xf numFmtId="0" fontId="36" fillId="32" borderId="18" xfId="64" applyFont="1" applyFill="1" applyBorder="1" applyAlignment="1">
      <alignment vertical="center"/>
    </xf>
    <xf numFmtId="3" fontId="36" fillId="32" borderId="18" xfId="64" applyNumberFormat="1" applyFont="1" applyFill="1" applyBorder="1" applyAlignment="1">
      <alignment vertical="center"/>
    </xf>
    <xf numFmtId="3" fontId="60" fillId="0" borderId="77" xfId="64" applyNumberFormat="1" applyFont="1" applyBorder="1" applyAlignment="1">
      <alignment vertical="center"/>
    </xf>
    <xf numFmtId="14" fontId="36" fillId="32" borderId="18" xfId="64" applyNumberFormat="1" applyFont="1" applyFill="1" applyBorder="1" applyAlignment="1">
      <alignment vertical="center"/>
    </xf>
    <xf numFmtId="1" fontId="36" fillId="38" borderId="18" xfId="64" applyNumberFormat="1" applyFont="1" applyFill="1" applyBorder="1" applyAlignment="1">
      <alignment vertical="center"/>
    </xf>
    <xf numFmtId="0" fontId="36" fillId="32" borderId="18" xfId="64" applyFont="1" applyFill="1" applyBorder="1" applyAlignment="1">
      <alignment horizontal="center" vertical="center"/>
    </xf>
    <xf numFmtId="0" fontId="36" fillId="38" borderId="18" xfId="64" applyFont="1" applyFill="1" applyBorder="1" applyAlignment="1">
      <alignment vertical="center"/>
    </xf>
    <xf numFmtId="178" fontId="36" fillId="38" borderId="18" xfId="64" applyNumberFormat="1" applyFont="1" applyFill="1" applyBorder="1" applyAlignment="1">
      <alignment vertical="center"/>
    </xf>
    <xf numFmtId="3" fontId="36" fillId="38" borderId="18" xfId="64" applyNumberFormat="1" applyFont="1" applyFill="1" applyBorder="1" applyAlignment="1">
      <alignment vertical="center"/>
    </xf>
    <xf numFmtId="3" fontId="36" fillId="38" borderId="76" xfId="64" applyNumberFormat="1" applyFont="1" applyFill="1" applyBorder="1" applyAlignment="1">
      <alignment vertical="center"/>
    </xf>
    <xf numFmtId="0" fontId="36" fillId="32" borderId="78" xfId="64" applyFont="1" applyFill="1" applyBorder="1" applyAlignment="1">
      <alignment vertical="center"/>
    </xf>
    <xf numFmtId="0" fontId="36" fillId="32" borderId="76" xfId="64" applyFont="1" applyFill="1" applyBorder="1" applyAlignment="1">
      <alignment vertical="center"/>
    </xf>
    <xf numFmtId="3" fontId="36" fillId="32" borderId="76" xfId="64" applyNumberFormat="1" applyFont="1" applyFill="1" applyBorder="1" applyAlignment="1">
      <alignment vertical="center"/>
    </xf>
    <xf numFmtId="3" fontId="60" fillId="0" borderId="0" xfId="64" applyNumberFormat="1" applyFont="1" applyAlignment="1">
      <alignment vertical="center"/>
    </xf>
    <xf numFmtId="14" fontId="36" fillId="32" borderId="76" xfId="64" applyNumberFormat="1" applyFont="1" applyFill="1" applyBorder="1" applyAlignment="1">
      <alignment vertical="center"/>
    </xf>
    <xf numFmtId="0" fontId="36" fillId="32" borderId="76" xfId="64" applyFont="1" applyFill="1" applyBorder="1" applyAlignment="1">
      <alignment horizontal="center" vertical="center"/>
    </xf>
    <xf numFmtId="0" fontId="36" fillId="32" borderId="73" xfId="64" applyFont="1" applyFill="1" applyBorder="1" applyAlignment="1">
      <alignment vertical="center"/>
    </xf>
    <xf numFmtId="0" fontId="2" fillId="35" borderId="79" xfId="64" applyFill="1" applyBorder="1" applyAlignment="1">
      <alignment vertical="center"/>
    </xf>
    <xf numFmtId="0" fontId="2" fillId="35" borderId="80" xfId="64" applyFill="1" applyBorder="1" applyAlignment="1">
      <alignment vertical="center"/>
    </xf>
    <xf numFmtId="178" fontId="2" fillId="35" borderId="80" xfId="64" applyNumberFormat="1" applyFill="1" applyBorder="1" applyAlignment="1">
      <alignment vertical="center"/>
    </xf>
    <xf numFmtId="3" fontId="2" fillId="35" borderId="80" xfId="64" applyNumberFormat="1" applyFill="1" applyBorder="1" applyAlignment="1">
      <alignment vertical="center"/>
    </xf>
    <xf numFmtId="3" fontId="2" fillId="35" borderId="70" xfId="64" applyNumberFormat="1" applyFill="1" applyBorder="1" applyAlignment="1">
      <alignment vertical="center"/>
    </xf>
    <xf numFmtId="178" fontId="2" fillId="35" borderId="81" xfId="64" applyNumberFormat="1" applyFill="1" applyBorder="1" applyAlignment="1">
      <alignment vertical="center"/>
    </xf>
    <xf numFmtId="0" fontId="28" fillId="8" borderId="12" xfId="0" applyFont="1" applyFill="1" applyBorder="1" applyAlignment="1">
      <alignment horizontal="center"/>
    </xf>
    <xf numFmtId="173" fontId="28" fillId="0" borderId="1" xfId="0" applyNumberFormat="1" applyFont="1" applyBorder="1" applyProtection="1"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36" fillId="0" borderId="26" xfId="66" applyFont="1" applyBorder="1" applyAlignment="1" applyProtection="1">
      <alignment vertical="center"/>
      <protection locked="0"/>
    </xf>
    <xf numFmtId="0" fontId="36" fillId="0" borderId="18" xfId="66" applyFont="1" applyBorder="1" applyAlignment="1" applyProtection="1">
      <alignment vertical="center"/>
      <protection locked="0"/>
    </xf>
    <xf numFmtId="167" fontId="28" fillId="0" borderId="1" xfId="67" applyNumberFormat="1" applyFont="1" applyBorder="1" applyProtection="1">
      <protection locked="0"/>
    </xf>
    <xf numFmtId="167" fontId="0" fillId="0" borderId="1" xfId="67" applyNumberFormat="1" applyFont="1" applyBorder="1" applyProtection="1">
      <protection locked="0"/>
    </xf>
    <xf numFmtId="0" fontId="0" fillId="28" borderId="1" xfId="0" applyFill="1" applyBorder="1"/>
    <xf numFmtId="0" fontId="1" fillId="0" borderId="1" xfId="0" applyFont="1" applyBorder="1" applyProtection="1">
      <protection locked="0"/>
    </xf>
    <xf numFmtId="167" fontId="0" fillId="28" borderId="1" xfId="0" applyNumberFormat="1" applyFill="1" applyBorder="1"/>
    <xf numFmtId="10" fontId="0" fillId="28" borderId="1" xfId="68" applyNumberFormat="1" applyFont="1" applyFill="1" applyBorder="1" applyProtection="1"/>
    <xf numFmtId="167" fontId="0" fillId="0" borderId="1" xfId="67" applyNumberFormat="1" applyFont="1" applyFill="1" applyBorder="1" applyProtection="1">
      <protection locked="0"/>
    </xf>
    <xf numFmtId="167" fontId="0" fillId="0" borderId="1" xfId="67" applyNumberFormat="1" applyFont="1" applyBorder="1"/>
    <xf numFmtId="0" fontId="1" fillId="0" borderId="1" xfId="0" applyFont="1" applyBorder="1"/>
    <xf numFmtId="0" fontId="0" fillId="0" borderId="0" xfId="0" applyAlignment="1" applyProtection="1">
      <alignment horizontal="center" wrapText="1"/>
    </xf>
    <xf numFmtId="0" fontId="28" fillId="22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56" fillId="17" borderId="2" xfId="0" applyFont="1" applyFill="1" applyBorder="1" applyAlignment="1" applyProtection="1">
      <alignment horizontal="center" vertical="top"/>
    </xf>
    <xf numFmtId="0" fontId="56" fillId="17" borderId="7" xfId="0" applyFont="1" applyFill="1" applyBorder="1" applyAlignment="1" applyProtection="1">
      <alignment horizontal="center" vertical="top"/>
    </xf>
    <xf numFmtId="0" fontId="56" fillId="17" borderId="39" xfId="0" applyFont="1" applyFill="1" applyBorder="1" applyAlignment="1" applyProtection="1">
      <alignment horizontal="center" vertical="top"/>
    </xf>
    <xf numFmtId="0" fontId="56" fillId="8" borderId="2" xfId="0" applyFont="1" applyFill="1" applyBorder="1" applyAlignment="1" applyProtection="1">
      <alignment horizontal="center" vertical="top"/>
    </xf>
    <xf numFmtId="0" fontId="56" fillId="8" borderId="7" xfId="0" applyFont="1" applyFill="1" applyBorder="1" applyAlignment="1" applyProtection="1">
      <alignment horizontal="center" vertical="top"/>
    </xf>
    <xf numFmtId="0" fontId="56" fillId="8" borderId="3" xfId="0" applyFont="1" applyFill="1" applyBorder="1" applyAlignment="1" applyProtection="1">
      <alignment horizontal="center" vertical="top"/>
    </xf>
    <xf numFmtId="0" fontId="56" fillId="8" borderId="53" xfId="0" applyFont="1" applyFill="1" applyBorder="1" applyAlignment="1" applyProtection="1">
      <alignment horizontal="center" vertical="top"/>
    </xf>
    <xf numFmtId="0" fontId="56" fillId="8" borderId="18" xfId="0" applyFont="1" applyFill="1" applyBorder="1" applyAlignment="1" applyProtection="1">
      <alignment horizontal="center" vertical="top"/>
    </xf>
    <xf numFmtId="41" fontId="7" fillId="3" borderId="1" xfId="0" applyNumberFormat="1" applyFont="1" applyFill="1" applyBorder="1" applyAlignment="1" applyProtection="1">
      <alignment horizontal="center" vertical="top"/>
    </xf>
    <xf numFmtId="41" fontId="61" fillId="8" borderId="1" xfId="1" applyNumberFormat="1" applyFont="1" applyFill="1" applyBorder="1" applyAlignment="1" applyProtection="1">
      <alignment horizontal="center" vertical="top"/>
    </xf>
    <xf numFmtId="41" fontId="56" fillId="8" borderId="15" xfId="0" applyNumberFormat="1" applyFont="1" applyFill="1" applyBorder="1" applyAlignment="1" applyProtection="1">
      <alignment horizontal="center" vertical="top" wrapText="1"/>
    </xf>
    <xf numFmtId="41" fontId="56" fillId="8" borderId="16" xfId="0" applyNumberFormat="1" applyFont="1" applyFill="1" applyBorder="1" applyAlignment="1" applyProtection="1">
      <alignment horizontal="center" vertical="top" wrapText="1"/>
    </xf>
    <xf numFmtId="41" fontId="56" fillId="8" borderId="28" xfId="0" applyNumberFormat="1" applyFont="1" applyFill="1" applyBorder="1" applyAlignment="1" applyProtection="1">
      <alignment horizontal="center" vertical="top" wrapText="1"/>
    </xf>
    <xf numFmtId="41" fontId="28" fillId="0" borderId="0" xfId="0" applyNumberFormat="1" applyFont="1" applyFill="1" applyBorder="1" applyAlignment="1" applyProtection="1">
      <alignment horizontal="center" vertical="top" wrapText="1"/>
      <protection locked="0"/>
    </xf>
    <xf numFmtId="41" fontId="28" fillId="8" borderId="4" xfId="0" applyNumberFormat="1" applyFont="1" applyFill="1" applyBorder="1" applyAlignment="1" applyProtection="1">
      <alignment horizontal="center" vertical="top" wrapText="1"/>
    </xf>
    <xf numFmtId="41" fontId="28" fillId="8" borderId="1" xfId="0" applyNumberFormat="1" applyFont="1" applyFill="1" applyBorder="1" applyAlignment="1" applyProtection="1">
      <alignment horizontal="center" vertical="top" wrapText="1"/>
    </xf>
    <xf numFmtId="41" fontId="28" fillId="8" borderId="5" xfId="0" applyNumberFormat="1" applyFont="1" applyFill="1" applyBorder="1" applyAlignment="1" applyProtection="1">
      <alignment horizontal="center" vertical="top" wrapText="1"/>
    </xf>
    <xf numFmtId="0" fontId="56" fillId="17" borderId="3" xfId="0" applyFont="1" applyFill="1" applyBorder="1" applyAlignment="1" applyProtection="1">
      <alignment horizontal="center" vertical="top"/>
    </xf>
    <xf numFmtId="0" fontId="28" fillId="0" borderId="0" xfId="0" applyFont="1" applyFill="1" applyBorder="1" applyAlignment="1" applyProtection="1">
      <alignment horizontal="center" vertical="top"/>
      <protection locked="0"/>
    </xf>
    <xf numFmtId="0" fontId="56" fillId="8" borderId="15" xfId="0" applyFont="1" applyFill="1" applyBorder="1" applyAlignment="1" applyProtection="1">
      <alignment horizontal="center" vertical="top"/>
    </xf>
    <xf numFmtId="0" fontId="56" fillId="8" borderId="16" xfId="0" applyFont="1" applyFill="1" applyBorder="1" applyAlignment="1" applyProtection="1">
      <alignment horizontal="center" vertical="top"/>
    </xf>
    <xf numFmtId="0" fontId="56" fillId="8" borderId="17" xfId="0" applyFont="1" applyFill="1" applyBorder="1" applyAlignment="1" applyProtection="1">
      <alignment horizontal="center" vertical="top"/>
    </xf>
    <xf numFmtId="41" fontId="6" fillId="3" borderId="1" xfId="0" applyNumberFormat="1" applyFont="1" applyFill="1" applyBorder="1" applyAlignment="1" applyProtection="1">
      <alignment horizontal="center" vertical="top"/>
      <protection locked="0"/>
    </xf>
    <xf numFmtId="41" fontId="28" fillId="8" borderId="15" xfId="0" applyNumberFormat="1" applyFont="1" applyFill="1" applyBorder="1" applyAlignment="1" applyProtection="1">
      <alignment horizontal="center" vertical="top" wrapText="1"/>
    </xf>
    <xf numFmtId="41" fontId="28" fillId="8" borderId="16" xfId="0" applyNumberFormat="1" applyFont="1" applyFill="1" applyBorder="1" applyAlignment="1" applyProtection="1">
      <alignment horizontal="center" vertical="top" wrapText="1"/>
    </xf>
    <xf numFmtId="41" fontId="28" fillId="8" borderId="17" xfId="0" applyNumberFormat="1" applyFont="1" applyFill="1" applyBorder="1" applyAlignment="1" applyProtection="1">
      <alignment horizontal="center" vertical="top" wrapText="1"/>
    </xf>
    <xf numFmtId="0" fontId="28" fillId="0" borderId="0" xfId="0" applyFont="1" applyFill="1" applyBorder="1" applyAlignment="1" applyProtection="1">
      <alignment horizontal="center" vertical="top"/>
    </xf>
    <xf numFmtId="41" fontId="28" fillId="0" borderId="0" xfId="0" applyNumberFormat="1" applyFont="1" applyFill="1" applyBorder="1" applyAlignment="1" applyProtection="1">
      <alignment horizontal="center" vertical="top" wrapText="1"/>
    </xf>
    <xf numFmtId="169" fontId="39" fillId="13" borderId="10" xfId="16" applyNumberFormat="1" applyFont="1" applyFill="1" applyBorder="1" applyAlignment="1" applyProtection="1">
      <alignment horizontal="left" vertical="top"/>
    </xf>
    <xf numFmtId="169" fontId="39" fillId="13" borderId="11" xfId="16" applyNumberFormat="1" applyFont="1" applyFill="1" applyBorder="1" applyAlignment="1" applyProtection="1">
      <alignment horizontal="left" vertical="top"/>
    </xf>
    <xf numFmtId="169" fontId="39" fillId="13" borderId="12" xfId="16" applyNumberFormat="1" applyFont="1" applyFill="1" applyBorder="1" applyAlignment="1" applyProtection="1">
      <alignment horizontal="left" vertical="top"/>
    </xf>
    <xf numFmtId="0" fontId="28" fillId="0" borderId="23" xfId="0" applyFont="1" applyBorder="1" applyAlignment="1" applyProtection="1">
      <alignment horizontal="center"/>
      <protection locked="0"/>
    </xf>
    <xf numFmtId="0" fontId="28" fillId="0" borderId="24" xfId="0" applyFont="1" applyBorder="1" applyAlignment="1" applyProtection="1">
      <alignment horizontal="center"/>
      <protection locked="0"/>
    </xf>
    <xf numFmtId="0" fontId="28" fillId="0" borderId="25" xfId="0" applyFont="1" applyBorder="1" applyAlignment="1" applyProtection="1">
      <alignment horizontal="center"/>
      <protection locked="0"/>
    </xf>
    <xf numFmtId="0" fontId="11" fillId="13" borderId="10" xfId="0" applyFont="1" applyFill="1" applyBorder="1" applyAlignment="1" applyProtection="1">
      <alignment horizontal="left"/>
    </xf>
    <xf numFmtId="0" fontId="0" fillId="13" borderId="11" xfId="0" applyFill="1" applyBorder="1" applyAlignment="1" applyProtection="1">
      <alignment horizontal="left"/>
    </xf>
    <xf numFmtId="0" fontId="0" fillId="13" borderId="12" xfId="0" applyFill="1" applyBorder="1" applyAlignment="1" applyProtection="1">
      <alignment horizontal="left"/>
    </xf>
    <xf numFmtId="0" fontId="38" fillId="14" borderId="10" xfId="15" applyFont="1" applyFill="1" applyBorder="1" applyAlignment="1" applyProtection="1">
      <alignment horizontal="center" vertical="center"/>
    </xf>
    <xf numFmtId="0" fontId="38" fillId="14" borderId="11" xfId="15" applyFont="1" applyFill="1" applyBorder="1" applyAlignment="1" applyProtection="1">
      <alignment horizontal="center" vertical="center"/>
    </xf>
    <xf numFmtId="0" fontId="38" fillId="14" borderId="12" xfId="15" applyFont="1" applyFill="1" applyBorder="1" applyAlignment="1" applyProtection="1">
      <alignment horizontal="center" vertical="center"/>
    </xf>
    <xf numFmtId="169" fontId="39" fillId="5" borderId="10" xfId="16" applyNumberFormat="1" applyFont="1" applyFill="1" applyBorder="1" applyAlignment="1" applyProtection="1">
      <alignment horizontal="left" vertical="top" wrapText="1"/>
      <protection locked="0"/>
    </xf>
    <xf numFmtId="169" fontId="39" fillId="5" borderId="11" xfId="16" applyNumberFormat="1" applyFont="1" applyFill="1" applyBorder="1" applyAlignment="1" applyProtection="1">
      <alignment horizontal="left" vertical="top" wrapText="1"/>
      <protection locked="0"/>
    </xf>
    <xf numFmtId="169" fontId="39" fillId="5" borderId="12" xfId="16" applyNumberFormat="1" applyFont="1" applyFill="1" applyBorder="1" applyAlignment="1" applyProtection="1">
      <alignment horizontal="left" vertical="top" wrapText="1"/>
      <protection locked="0"/>
    </xf>
    <xf numFmtId="169" fontId="39" fillId="12" borderId="11" xfId="16" applyNumberFormat="1" applyFont="1" applyFill="1" applyBorder="1" applyAlignment="1" applyProtection="1">
      <alignment horizontal="left" vertical="top" wrapText="1"/>
    </xf>
    <xf numFmtId="169" fontId="39" fillId="12" borderId="12" xfId="16" applyNumberFormat="1" applyFont="1" applyFill="1" applyBorder="1" applyAlignment="1" applyProtection="1">
      <alignment horizontal="left" vertical="top" wrapText="1"/>
    </xf>
    <xf numFmtId="1" fontId="0" fillId="16" borderId="1" xfId="0" applyNumberFormat="1" applyFill="1" applyBorder="1" applyAlignment="1" applyProtection="1">
      <alignment horizontal="center"/>
    </xf>
    <xf numFmtId="0" fontId="10" fillId="13" borderId="10" xfId="0" applyFont="1" applyFill="1" applyBorder="1" applyAlignment="1" applyProtection="1">
      <alignment horizontal="left"/>
    </xf>
    <xf numFmtId="0" fontId="23" fillId="13" borderId="11" xfId="0" applyFont="1" applyFill="1" applyBorder="1" applyAlignment="1" applyProtection="1">
      <alignment horizontal="left"/>
    </xf>
    <xf numFmtId="0" fontId="23" fillId="13" borderId="12" xfId="0" applyFont="1" applyFill="1" applyBorder="1" applyAlignment="1" applyProtection="1">
      <alignment horizontal="left"/>
    </xf>
    <xf numFmtId="0" fontId="38" fillId="15" borderId="34" xfId="15" applyFont="1" applyFill="1" applyBorder="1" applyAlignment="1" applyProtection="1">
      <alignment horizontal="center" vertical="center"/>
    </xf>
    <xf numFmtId="0" fontId="38" fillId="15" borderId="21" xfId="15" applyFont="1" applyFill="1" applyBorder="1" applyAlignment="1" applyProtection="1">
      <alignment horizontal="center" vertical="center"/>
    </xf>
    <xf numFmtId="0" fontId="38" fillId="15" borderId="22" xfId="15" applyFont="1" applyFill="1" applyBorder="1" applyAlignment="1" applyProtection="1">
      <alignment horizontal="center" vertical="center"/>
    </xf>
    <xf numFmtId="0" fontId="38" fillId="15" borderId="10" xfId="15" applyFont="1" applyFill="1" applyBorder="1" applyAlignment="1" applyProtection="1">
      <alignment horizontal="center" vertical="center"/>
    </xf>
    <xf numFmtId="0" fontId="38" fillId="15" borderId="11" xfId="15" applyFont="1" applyFill="1" applyBorder="1" applyAlignment="1" applyProtection="1">
      <alignment horizontal="center" vertical="center"/>
    </xf>
    <xf numFmtId="0" fontId="38" fillId="15" borderId="12" xfId="15" applyFont="1" applyFill="1" applyBorder="1" applyAlignment="1" applyProtection="1">
      <alignment horizontal="center" vertical="center"/>
    </xf>
    <xf numFmtId="169" fontId="39" fillId="16" borderId="1" xfId="16" applyNumberFormat="1" applyFont="1" applyFill="1" applyBorder="1" applyAlignment="1" applyProtection="1">
      <alignment horizontal="center" vertical="top"/>
    </xf>
    <xf numFmtId="4" fontId="39" fillId="16" borderId="1" xfId="16" applyNumberFormat="1" applyFont="1" applyFill="1" applyBorder="1" applyAlignment="1" applyProtection="1">
      <alignment horizontal="center" vertical="top"/>
    </xf>
    <xf numFmtId="169" fontId="39" fillId="0" borderId="1" xfId="16" applyNumberFormat="1" applyFont="1" applyFill="1" applyBorder="1" applyAlignment="1" applyProtection="1">
      <alignment horizontal="center" vertical="top"/>
      <protection locked="0"/>
    </xf>
    <xf numFmtId="9" fontId="31" fillId="16" borderId="1" xfId="2" applyNumberFormat="1" applyFont="1" applyFill="1" applyBorder="1" applyAlignment="1" applyProtection="1">
      <alignment horizontal="center"/>
    </xf>
    <xf numFmtId="1" fontId="28" fillId="16" borderId="10" xfId="0" applyNumberFormat="1" applyFont="1" applyFill="1" applyBorder="1" applyAlignment="1" applyProtection="1">
      <alignment horizontal="center"/>
    </xf>
    <xf numFmtId="1" fontId="28" fillId="16" borderId="12" xfId="0" applyNumberFormat="1" applyFont="1" applyFill="1" applyBorder="1" applyAlignment="1" applyProtection="1">
      <alignment horizontal="center"/>
    </xf>
    <xf numFmtId="0" fontId="23" fillId="13" borderId="10" xfId="0" applyFont="1" applyFill="1" applyBorder="1" applyAlignment="1" applyProtection="1">
      <alignment horizontal="left"/>
    </xf>
    <xf numFmtId="0" fontId="38" fillId="15" borderId="35" xfId="15" applyFont="1" applyFill="1" applyBorder="1" applyAlignment="1">
      <alignment horizontal="center" vertical="center"/>
    </xf>
    <xf numFmtId="0" fontId="38" fillId="15" borderId="39" xfId="15" applyFont="1" applyFill="1" applyBorder="1" applyAlignment="1">
      <alignment horizontal="center" vertical="center"/>
    </xf>
    <xf numFmtId="0" fontId="38" fillId="15" borderId="52" xfId="15" applyFont="1" applyFill="1" applyBorder="1" applyAlignment="1">
      <alignment horizontal="center" vertical="center"/>
    </xf>
    <xf numFmtId="0" fontId="38" fillId="15" borderId="63" xfId="15" applyFont="1" applyFill="1" applyBorder="1" applyAlignment="1">
      <alignment horizontal="center" vertical="center"/>
    </xf>
    <xf numFmtId="0" fontId="8" fillId="0" borderId="16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42" fillId="8" borderId="1" xfId="0" applyFont="1" applyFill="1" applyBorder="1" applyAlignment="1" applyProtection="1">
      <alignment horizontal="center" wrapText="1"/>
    </xf>
    <xf numFmtId="0" fontId="42" fillId="8" borderId="20" xfId="0" applyFont="1" applyFill="1" applyBorder="1" applyAlignment="1" applyProtection="1">
      <alignment horizontal="center" wrapText="1"/>
    </xf>
    <xf numFmtId="0" fontId="28" fillId="8" borderId="1" xfId="0" applyFont="1" applyFill="1" applyBorder="1" applyAlignment="1" applyProtection="1">
      <alignment horizontal="center"/>
    </xf>
    <xf numFmtId="0" fontId="28" fillId="8" borderId="10" xfId="0" applyFont="1" applyFill="1" applyBorder="1" applyAlignment="1" applyProtection="1">
      <alignment horizontal="center"/>
    </xf>
    <xf numFmtId="0" fontId="28" fillId="8" borderId="11" xfId="0" applyFont="1" applyFill="1" applyBorder="1" applyAlignment="1" applyProtection="1">
      <alignment horizontal="center"/>
    </xf>
    <xf numFmtId="0" fontId="28" fillId="0" borderId="10" xfId="0" applyFont="1" applyFill="1" applyBorder="1" applyAlignment="1" applyProtection="1">
      <alignment horizontal="center"/>
      <protection locked="0"/>
    </xf>
    <xf numFmtId="0" fontId="28" fillId="0" borderId="11" xfId="0" applyFont="1" applyFill="1" applyBorder="1" applyAlignment="1" applyProtection="1">
      <alignment horizontal="center"/>
      <protection locked="0"/>
    </xf>
    <xf numFmtId="0" fontId="28" fillId="0" borderId="12" xfId="0" applyFont="1" applyFill="1" applyBorder="1" applyAlignment="1" applyProtection="1">
      <alignment horizontal="center"/>
      <protection locked="0"/>
    </xf>
    <xf numFmtId="0" fontId="28" fillId="8" borderId="12" xfId="0" applyFont="1" applyFill="1" applyBorder="1" applyAlignment="1" applyProtection="1">
      <alignment horizontal="center"/>
    </xf>
    <xf numFmtId="0" fontId="28" fillId="8" borderId="10" xfId="0" applyFont="1" applyFill="1" applyBorder="1" applyAlignment="1">
      <alignment horizontal="center"/>
    </xf>
    <xf numFmtId="0" fontId="28" fillId="8" borderId="12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51" fillId="18" borderId="41" xfId="0" applyFont="1" applyFill="1" applyBorder="1" applyAlignment="1">
      <alignment horizontal="center"/>
    </xf>
    <xf numFmtId="0" fontId="32" fillId="0" borderId="42" xfId="0" applyFont="1" applyBorder="1"/>
    <xf numFmtId="0" fontId="51" fillId="18" borderId="43" xfId="0" applyFont="1" applyFill="1" applyBorder="1" applyAlignment="1">
      <alignment horizontal="center" wrapText="1"/>
    </xf>
    <xf numFmtId="0" fontId="32" fillId="0" borderId="46" xfId="0" applyFont="1" applyBorder="1" applyAlignment="1">
      <alignment wrapText="1"/>
    </xf>
    <xf numFmtId="0" fontId="32" fillId="0" borderId="44" xfId="0" applyFont="1" applyBorder="1"/>
    <xf numFmtId="0" fontId="51" fillId="18" borderId="45" xfId="0" applyFont="1" applyFill="1" applyBorder="1" applyAlignment="1">
      <alignment horizontal="center" wrapText="1"/>
    </xf>
    <xf numFmtId="0" fontId="32" fillId="0" borderId="47" xfId="0" applyFont="1" applyBorder="1" applyAlignment="1">
      <alignment wrapText="1"/>
    </xf>
    <xf numFmtId="0" fontId="29" fillId="0" borderId="27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2" fontId="29" fillId="0" borderId="11" xfId="0" quotePrefix="1" applyNumberFormat="1" applyFont="1" applyBorder="1" applyAlignment="1" applyProtection="1">
      <alignment horizontal="center" vertical="center" wrapText="1"/>
      <protection locked="0"/>
    </xf>
    <xf numFmtId="2" fontId="29" fillId="0" borderId="11" xfId="0" applyNumberFormat="1" applyFont="1" applyBorder="1" applyAlignment="1" applyProtection="1">
      <alignment horizontal="center" vertical="center" wrapText="1"/>
      <protection locked="0"/>
    </xf>
    <xf numFmtId="2" fontId="29" fillId="0" borderId="12" xfId="0" applyNumberFormat="1" applyFont="1" applyBorder="1" applyAlignment="1" applyProtection="1">
      <alignment horizontal="center" vertical="center" wrapText="1"/>
      <protection locked="0"/>
    </xf>
    <xf numFmtId="0" fontId="29" fillId="0" borderId="10" xfId="0" applyFont="1" applyBorder="1" applyAlignment="1">
      <alignment vertical="center" wrapText="1"/>
    </xf>
    <xf numFmtId="0" fontId="29" fillId="0" borderId="10" xfId="0" applyFont="1" applyBorder="1" applyAlignment="1" applyProtection="1">
      <alignment horizontal="center" vertical="center" wrapText="1"/>
      <protection locked="0"/>
    </xf>
    <xf numFmtId="0" fontId="29" fillId="0" borderId="11" xfId="0" applyFont="1" applyBorder="1" applyAlignment="1" applyProtection="1">
      <alignment horizontal="center" vertical="center" wrapText="1"/>
      <protection locked="0"/>
    </xf>
    <xf numFmtId="0" fontId="29" fillId="0" borderId="19" xfId="0" applyFont="1" applyBorder="1" applyAlignment="1" applyProtection="1">
      <alignment horizontal="center" vertical="center" wrapText="1"/>
      <protection locked="0"/>
    </xf>
    <xf numFmtId="0" fontId="29" fillId="0" borderId="12" xfId="0" applyFont="1" applyBorder="1" applyAlignment="1" applyProtection="1">
      <alignment horizontal="center" vertical="center" wrapText="1"/>
      <protection locked="0"/>
    </xf>
    <xf numFmtId="171" fontId="29" fillId="0" borderId="1" xfId="0" applyNumberFormat="1" applyFont="1" applyBorder="1" applyAlignment="1" applyProtection="1">
      <alignment horizontal="center" vertical="center" wrapText="1"/>
      <protection locked="0"/>
    </xf>
    <xf numFmtId="171" fontId="29" fillId="0" borderId="5" xfId="0" applyNumberFormat="1" applyFont="1" applyBorder="1" applyAlignment="1" applyProtection="1">
      <alignment horizontal="center" vertical="center" wrapText="1"/>
      <protection locked="0"/>
    </xf>
    <xf numFmtId="0" fontId="29" fillId="0" borderId="27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171" fontId="29" fillId="0" borderId="11" xfId="0" applyNumberFormat="1" applyFont="1" applyBorder="1" applyAlignment="1" applyProtection="1">
      <alignment horizontal="right" vertical="center"/>
      <protection locked="0"/>
    </xf>
    <xf numFmtId="171" fontId="29" fillId="0" borderId="12" xfId="0" applyNumberFormat="1" applyFont="1" applyBorder="1" applyAlignment="1" applyProtection="1">
      <alignment horizontal="right" vertical="center"/>
      <protection locked="0"/>
    </xf>
    <xf numFmtId="0" fontId="29" fillId="0" borderId="10" xfId="0" applyFont="1" applyBorder="1" applyAlignment="1" applyProtection="1">
      <alignment horizontal="center" vertical="center" wrapText="1"/>
    </xf>
    <xf numFmtId="0" fontId="29" fillId="0" borderId="12" xfId="0" applyFont="1" applyBorder="1" applyAlignment="1" applyProtection="1">
      <alignment horizontal="center" vertical="center" wrapText="1"/>
    </xf>
    <xf numFmtId="0" fontId="29" fillId="0" borderId="64" xfId="0" applyFont="1" applyBorder="1" applyAlignment="1" applyProtection="1">
      <alignment horizontal="center" vertical="center" wrapText="1"/>
    </xf>
    <xf numFmtId="0" fontId="29" fillId="0" borderId="65" xfId="0" applyFont="1" applyBorder="1" applyAlignment="1" applyProtection="1">
      <alignment horizontal="center" vertical="center" wrapText="1"/>
    </xf>
    <xf numFmtId="0" fontId="29" fillId="0" borderId="66" xfId="0" applyFont="1" applyBorder="1" applyAlignment="1" applyProtection="1">
      <alignment horizontal="center" vertical="center" wrapText="1"/>
    </xf>
    <xf numFmtId="0" fontId="29" fillId="19" borderId="15" xfId="3" applyFont="1" applyFill="1" applyBorder="1" applyAlignment="1">
      <alignment horizontal="left" vertical="center"/>
    </xf>
    <xf numFmtId="0" fontId="29" fillId="19" borderId="16" xfId="3" applyFont="1" applyFill="1" applyBorder="1" applyAlignment="1">
      <alignment horizontal="left" vertical="center"/>
    </xf>
    <xf numFmtId="0" fontId="29" fillId="19" borderId="28" xfId="3" applyFont="1" applyFill="1" applyBorder="1" applyAlignment="1">
      <alignment horizontal="left" vertical="center"/>
    </xf>
    <xf numFmtId="0" fontId="29" fillId="0" borderId="16" xfId="3" applyFont="1" applyBorder="1" applyAlignment="1">
      <alignment horizontal="left" vertical="center"/>
    </xf>
    <xf numFmtId="0" fontId="29" fillId="0" borderId="17" xfId="3" applyFont="1" applyBorder="1" applyAlignment="1">
      <alignment horizontal="left" vertical="center"/>
    </xf>
    <xf numFmtId="0" fontId="29" fillId="0" borderId="29" xfId="3" applyFont="1" applyBorder="1" applyAlignment="1">
      <alignment horizontal="left" vertical="center"/>
    </xf>
    <xf numFmtId="0" fontId="29" fillId="0" borderId="13" xfId="3" applyFont="1" applyBorder="1" applyAlignment="1">
      <alignment horizontal="left" vertical="center"/>
    </xf>
    <xf numFmtId="0" fontId="29" fillId="0" borderId="30" xfId="3" applyFont="1" applyBorder="1" applyAlignment="1">
      <alignment horizontal="left" vertical="center"/>
    </xf>
    <xf numFmtId="0" fontId="29" fillId="0" borderId="13" xfId="3" applyFont="1" applyBorder="1" applyAlignment="1" applyProtection="1">
      <alignment horizontal="left" vertical="center"/>
      <protection locked="0"/>
    </xf>
    <xf numFmtId="0" fontId="29" fillId="0" borderId="31" xfId="3" applyFont="1" applyBorder="1" applyAlignment="1" applyProtection="1">
      <alignment horizontal="left" vertical="center"/>
      <protection locked="0"/>
    </xf>
    <xf numFmtId="49" fontId="29" fillId="0" borderId="10" xfId="0" applyNumberFormat="1" applyFont="1" applyBorder="1" applyAlignment="1" applyProtection="1">
      <alignment horizontal="center" vertical="center" wrapText="1"/>
      <protection locked="0"/>
    </xf>
    <xf numFmtId="49" fontId="29" fillId="0" borderId="11" xfId="0" applyNumberFormat="1" applyFont="1" applyBorder="1" applyAlignment="1" applyProtection="1">
      <alignment horizontal="center" vertical="center" wrapText="1"/>
      <protection locked="0"/>
    </xf>
    <xf numFmtId="49" fontId="29" fillId="0" borderId="19" xfId="0" applyNumberFormat="1" applyFont="1" applyBorder="1" applyAlignment="1" applyProtection="1">
      <alignment horizontal="center" vertical="center" wrapText="1"/>
      <protection locked="0"/>
    </xf>
    <xf numFmtId="43" fontId="29" fillId="23" borderId="1" xfId="1" applyFont="1" applyFill="1" applyBorder="1" applyAlignment="1">
      <alignment horizontal="center" vertical="center" wrapText="1"/>
    </xf>
    <xf numFmtId="9" fontId="30" fillId="23" borderId="1" xfId="2" applyFont="1" applyFill="1" applyBorder="1" applyAlignment="1">
      <alignment horizontal="center" vertical="center" wrapText="1"/>
    </xf>
    <xf numFmtId="0" fontId="51" fillId="25" borderId="1" xfId="0" applyFont="1" applyFill="1" applyBorder="1" applyAlignment="1">
      <alignment horizontal="center"/>
    </xf>
    <xf numFmtId="0" fontId="32" fillId="23" borderId="1" xfId="0" applyFont="1" applyFill="1" applyBorder="1"/>
    <xf numFmtId="0" fontId="51" fillId="25" borderId="1" xfId="0" applyFont="1" applyFill="1" applyBorder="1" applyAlignment="1">
      <alignment horizontal="center" wrapText="1"/>
    </xf>
    <xf numFmtId="0" fontId="32" fillId="23" borderId="1" xfId="0" applyFont="1" applyFill="1" applyBorder="1" applyAlignment="1">
      <alignment wrapText="1"/>
    </xf>
    <xf numFmtId="0" fontId="29" fillId="0" borderId="34" xfId="3" applyFont="1" applyBorder="1" applyAlignment="1">
      <alignment horizontal="left" vertical="center"/>
    </xf>
    <xf numFmtId="0" fontId="29" fillId="0" borderId="21" xfId="3" applyFont="1" applyBorder="1" applyAlignment="1">
      <alignment horizontal="left" vertical="center"/>
    </xf>
    <xf numFmtId="0" fontId="29" fillId="0" borderId="57" xfId="3" applyFont="1" applyBorder="1" applyAlignment="1">
      <alignment horizontal="left" vertical="center"/>
    </xf>
    <xf numFmtId="0" fontId="29" fillId="28" borderId="48" xfId="3" applyFont="1" applyFill="1" applyBorder="1" applyAlignment="1">
      <alignment horizontal="center" vertical="center"/>
    </xf>
    <xf numFmtId="0" fontId="29" fillId="28" borderId="16" xfId="3" applyFont="1" applyFill="1" applyBorder="1" applyAlignment="1">
      <alignment horizontal="center" vertical="center"/>
    </xf>
    <xf numFmtId="0" fontId="29" fillId="23" borderId="10" xfId="0" applyFont="1" applyFill="1" applyBorder="1" applyAlignment="1">
      <alignment horizontal="center" vertical="center" wrapText="1"/>
    </xf>
    <xf numFmtId="0" fontId="29" fillId="23" borderId="11" xfId="0" applyFont="1" applyFill="1" applyBorder="1" applyAlignment="1">
      <alignment horizontal="center" vertical="center" wrapText="1"/>
    </xf>
    <xf numFmtId="0" fontId="29" fillId="23" borderId="12" xfId="0" applyFont="1" applyFill="1" applyBorder="1" applyAlignment="1">
      <alignment horizontal="center" vertical="center" wrapText="1"/>
    </xf>
    <xf numFmtId="0" fontId="29" fillId="30" borderId="13" xfId="3" applyFont="1" applyFill="1" applyBorder="1" applyAlignment="1">
      <alignment horizontal="center" vertical="center"/>
    </xf>
    <xf numFmtId="0" fontId="29" fillId="30" borderId="31" xfId="3" applyFont="1" applyFill="1" applyBorder="1" applyAlignment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48" xfId="3" applyFont="1" applyBorder="1" applyAlignment="1">
      <alignment horizontal="left" vertical="center"/>
    </xf>
    <xf numFmtId="177" fontId="28" fillId="37" borderId="53" xfId="64" applyNumberFormat="1" applyFont="1" applyFill="1" applyBorder="1" applyAlignment="1">
      <alignment horizontal="center" vertical="center"/>
    </xf>
    <xf numFmtId="177" fontId="28" fillId="37" borderId="18" xfId="64" applyNumberFormat="1" applyFont="1" applyFill="1" applyBorder="1" applyAlignment="1">
      <alignment horizontal="center" vertical="center"/>
    </xf>
    <xf numFmtId="177" fontId="28" fillId="37" borderId="61" xfId="64" applyNumberFormat="1" applyFont="1" applyFill="1" applyBorder="1" applyAlignment="1">
      <alignment horizontal="center" vertical="center"/>
    </xf>
    <xf numFmtId="0" fontId="28" fillId="37" borderId="18" xfId="64" applyFont="1" applyFill="1" applyBorder="1" applyAlignment="1">
      <alignment horizontal="center" vertical="center"/>
    </xf>
    <xf numFmtId="0" fontId="28" fillId="37" borderId="20" xfId="64" applyFont="1" applyFill="1" applyBorder="1" applyAlignment="1">
      <alignment horizontal="center" vertical="center"/>
    </xf>
    <xf numFmtId="0" fontId="28" fillId="37" borderId="18" xfId="64" applyFont="1" applyFill="1" applyBorder="1" applyAlignment="1">
      <alignment horizontal="center" vertical="center" wrapText="1"/>
    </xf>
    <xf numFmtId="0" fontId="28" fillId="37" borderId="20" xfId="64" applyFont="1" applyFill="1" applyBorder="1" applyAlignment="1">
      <alignment horizontal="center" vertical="center" wrapText="1"/>
    </xf>
    <xf numFmtId="0" fontId="28" fillId="37" borderId="73" xfId="64" applyFont="1" applyFill="1" applyBorder="1" applyAlignment="1">
      <alignment horizontal="center" vertical="center" wrapText="1"/>
    </xf>
    <xf numFmtId="0" fontId="28" fillId="37" borderId="74" xfId="64" applyFont="1" applyFill="1" applyBorder="1" applyAlignment="1">
      <alignment horizontal="center" vertical="center" wrapText="1"/>
    </xf>
    <xf numFmtId="0" fontId="28" fillId="37" borderId="61" xfId="64" applyFont="1" applyFill="1" applyBorder="1" applyAlignment="1">
      <alignment horizontal="center" vertical="center" wrapText="1"/>
    </xf>
    <xf numFmtId="0" fontId="28" fillId="37" borderId="56" xfId="64" applyFont="1" applyFill="1" applyBorder="1" applyAlignment="1">
      <alignment horizontal="center" vertical="center" wrapText="1"/>
    </xf>
    <xf numFmtId="17" fontId="28" fillId="37" borderId="30" xfId="64" applyNumberFormat="1" applyFont="1" applyFill="1" applyBorder="1" applyAlignment="1">
      <alignment horizontal="center" vertical="center"/>
    </xf>
    <xf numFmtId="17" fontId="28" fillId="37" borderId="18" xfId="64" applyNumberFormat="1" applyFont="1" applyFill="1" applyBorder="1" applyAlignment="1">
      <alignment horizontal="center" vertical="center"/>
    </xf>
    <xf numFmtId="17" fontId="28" fillId="37" borderId="61" xfId="64" applyNumberFormat="1" applyFont="1" applyFill="1" applyBorder="1" applyAlignment="1">
      <alignment horizontal="center" vertical="center"/>
    </xf>
    <xf numFmtId="177" fontId="28" fillId="37" borderId="30" xfId="64" applyNumberFormat="1" applyFont="1" applyFill="1" applyBorder="1" applyAlignment="1">
      <alignment horizontal="center" vertical="center"/>
    </xf>
    <xf numFmtId="0" fontId="75" fillId="33" borderId="69" xfId="64" applyFont="1" applyFill="1" applyBorder="1" applyAlignment="1">
      <alignment horizontal="center" vertical="center"/>
    </xf>
    <xf numFmtId="0" fontId="75" fillId="33" borderId="70" xfId="64" applyFont="1" applyFill="1" applyBorder="1" applyAlignment="1">
      <alignment horizontal="center" vertical="center"/>
    </xf>
    <xf numFmtId="0" fontId="75" fillId="33" borderId="71" xfId="64" applyFont="1" applyFill="1" applyBorder="1" applyAlignment="1">
      <alignment horizontal="center" vertical="center"/>
    </xf>
    <xf numFmtId="0" fontId="28" fillId="37" borderId="53" xfId="64" applyFont="1" applyFill="1" applyBorder="1" applyAlignment="1">
      <alignment horizontal="center" vertical="center" wrapText="1"/>
    </xf>
    <xf numFmtId="0" fontId="28" fillId="37" borderId="6" xfId="64" applyFont="1" applyFill="1" applyBorder="1" applyAlignment="1">
      <alignment horizontal="center" vertical="center" wrapText="1"/>
    </xf>
    <xf numFmtId="0" fontId="28" fillId="37" borderId="72" xfId="64" applyFont="1" applyFill="1" applyBorder="1" applyAlignment="1">
      <alignment horizontal="center" vertical="center"/>
    </xf>
    <xf numFmtId="0" fontId="28" fillId="37" borderId="76" xfId="64" applyFont="1" applyFill="1" applyBorder="1" applyAlignment="1">
      <alignment horizontal="center" vertical="center"/>
    </xf>
    <xf numFmtId="0" fontId="28" fillId="37" borderId="72" xfId="64" applyFont="1" applyFill="1" applyBorder="1" applyAlignment="1">
      <alignment horizontal="center" vertical="center" wrapText="1"/>
    </xf>
    <xf numFmtId="0" fontId="28" fillId="37" borderId="76" xfId="64" applyFont="1" applyFill="1" applyBorder="1" applyAlignment="1">
      <alignment horizontal="center" vertical="center" wrapText="1"/>
    </xf>
    <xf numFmtId="0" fontId="28" fillId="37" borderId="75" xfId="64" applyFont="1" applyFill="1" applyBorder="1" applyAlignment="1">
      <alignment horizontal="center" vertical="center"/>
    </xf>
    <xf numFmtId="49" fontId="36" fillId="32" borderId="1" xfId="64" applyNumberFormat="1" applyFont="1" applyFill="1" applyBorder="1" applyAlignment="1">
      <alignment horizontal="right" vertical="center"/>
    </xf>
    <xf numFmtId="49" fontId="36" fillId="32" borderId="5" xfId="64" applyNumberFormat="1" applyFont="1" applyFill="1" applyBorder="1" applyAlignment="1">
      <alignment horizontal="right" vertical="center"/>
    </xf>
    <xf numFmtId="0" fontId="74" fillId="35" borderId="8" xfId="64" applyFont="1" applyFill="1" applyBorder="1" applyAlignment="1">
      <alignment vertical="center"/>
    </xf>
    <xf numFmtId="0" fontId="74" fillId="35" borderId="14" xfId="64" applyFont="1" applyFill="1" applyBorder="1" applyAlignment="1">
      <alignment vertical="center"/>
    </xf>
    <xf numFmtId="0" fontId="36" fillId="32" borderId="14" xfId="64" applyFont="1" applyFill="1" applyBorder="1" applyAlignment="1">
      <alignment horizontal="right" vertical="center"/>
    </xf>
    <xf numFmtId="0" fontId="36" fillId="32" borderId="9" xfId="64" applyFont="1" applyFill="1" applyBorder="1" applyAlignment="1">
      <alignment horizontal="right" vertical="center"/>
    </xf>
    <xf numFmtId="0" fontId="74" fillId="35" borderId="4" xfId="64" applyFont="1" applyFill="1" applyBorder="1" applyAlignment="1">
      <alignment vertical="center"/>
    </xf>
    <xf numFmtId="0" fontId="74" fillId="35" borderId="1" xfId="64" applyFont="1" applyFill="1" applyBorder="1" applyAlignment="1">
      <alignment vertical="center"/>
    </xf>
    <xf numFmtId="0" fontId="36" fillId="32" borderId="1" xfId="64" applyFont="1" applyFill="1" applyBorder="1" applyAlignment="1">
      <alignment horizontal="right" vertical="center"/>
    </xf>
    <xf numFmtId="0" fontId="36" fillId="32" borderId="5" xfId="64" applyFont="1" applyFill="1" applyBorder="1" applyAlignment="1">
      <alignment horizontal="right" vertical="center"/>
    </xf>
    <xf numFmtId="3" fontId="36" fillId="32" borderId="1" xfId="64" applyNumberFormat="1" applyFont="1" applyFill="1" applyBorder="1" applyAlignment="1">
      <alignment horizontal="right" vertical="center"/>
    </xf>
    <xf numFmtId="3" fontId="36" fillId="32" borderId="5" xfId="64" applyNumberFormat="1" applyFont="1" applyFill="1" applyBorder="1" applyAlignment="1">
      <alignment horizontal="right" vertical="center"/>
    </xf>
    <xf numFmtId="9" fontId="36" fillId="36" borderId="1" xfId="65" applyFont="1" applyFill="1" applyBorder="1" applyAlignment="1">
      <alignment horizontal="right" vertical="center"/>
    </xf>
    <xf numFmtId="9" fontId="36" fillId="36" borderId="5" xfId="65" applyFont="1" applyFill="1" applyBorder="1" applyAlignment="1">
      <alignment horizontal="right" vertical="center"/>
    </xf>
    <xf numFmtId="0" fontId="56" fillId="32" borderId="1" xfId="64" applyFont="1" applyFill="1" applyBorder="1" applyAlignment="1">
      <alignment horizontal="right" vertical="center"/>
    </xf>
    <xf numFmtId="0" fontId="56" fillId="32" borderId="5" xfId="64" applyFont="1" applyFill="1" applyBorder="1" applyAlignment="1">
      <alignment horizontal="right" vertical="center"/>
    </xf>
    <xf numFmtId="176" fontId="36" fillId="32" borderId="1" xfId="64" applyNumberFormat="1" applyFont="1" applyFill="1" applyBorder="1" applyAlignment="1">
      <alignment horizontal="right" vertical="center"/>
    </xf>
    <xf numFmtId="176" fontId="36" fillId="32" borderId="5" xfId="64" applyNumberFormat="1" applyFont="1" applyFill="1" applyBorder="1" applyAlignment="1">
      <alignment horizontal="right" vertical="center"/>
    </xf>
    <xf numFmtId="0" fontId="72" fillId="33" borderId="23" xfId="64" applyFont="1" applyFill="1" applyBorder="1" applyAlignment="1">
      <alignment horizontal="center" vertical="center"/>
    </xf>
    <xf numFmtId="0" fontId="72" fillId="33" borderId="24" xfId="64" applyFont="1" applyFill="1" applyBorder="1" applyAlignment="1">
      <alignment horizontal="center" vertical="center"/>
    </xf>
    <xf numFmtId="0" fontId="72" fillId="33" borderId="25" xfId="64" applyFont="1" applyFill="1" applyBorder="1" applyAlignment="1">
      <alignment horizontal="center" vertical="center"/>
    </xf>
    <xf numFmtId="0" fontId="73" fillId="34" borderId="53" xfId="64" applyFont="1" applyFill="1" applyBorder="1" applyAlignment="1">
      <alignment vertical="center"/>
    </xf>
    <xf numFmtId="0" fontId="73" fillId="34" borderId="18" xfId="64" applyFont="1" applyFill="1" applyBorder="1" applyAlignment="1">
      <alignment vertical="center"/>
    </xf>
    <xf numFmtId="0" fontId="73" fillId="34" borderId="18" xfId="64" applyFont="1" applyFill="1" applyBorder="1" applyAlignment="1">
      <alignment horizontal="center" vertical="center"/>
    </xf>
    <xf numFmtId="0" fontId="73" fillId="34" borderId="61" xfId="64" applyFont="1" applyFill="1" applyBorder="1" applyAlignment="1">
      <alignment horizontal="center" vertical="center"/>
    </xf>
  </cellXfs>
  <cellStyles count="69">
    <cellStyle name="Comma" xfId="1" builtinId="3"/>
    <cellStyle name="Comma 2" xfId="14" xr:uid="{00000000-0005-0000-0000-000001000000}"/>
    <cellStyle name="Comma 2 2" xfId="36" xr:uid="{00000000-0005-0000-0000-000002000000}"/>
    <cellStyle name="Comma 2 2 2" xfId="21" xr:uid="{00000000-0005-0000-0000-000003000000}"/>
    <cellStyle name="Comma 2 2 2 2" xfId="38" xr:uid="{00000000-0005-0000-0000-000004000000}"/>
    <cellStyle name="Comma 2 3" xfId="37" xr:uid="{00000000-0005-0000-0000-000005000000}"/>
    <cellStyle name="Comma 3" xfId="16" xr:uid="{00000000-0005-0000-0000-000006000000}"/>
    <cellStyle name="Comma 4" xfId="39" xr:uid="{00000000-0005-0000-0000-000007000000}"/>
    <cellStyle name="Comma 4 2" xfId="23" xr:uid="{00000000-0005-0000-0000-000008000000}"/>
    <cellStyle name="Comma 4 2 2" xfId="33" xr:uid="{00000000-0005-0000-0000-000009000000}"/>
    <cellStyle name="Comma 4 3" xfId="22" xr:uid="{00000000-0005-0000-0000-00000A000000}"/>
    <cellStyle name="Comma 5" xfId="19" xr:uid="{00000000-0005-0000-0000-00000B000000}"/>
    <cellStyle name="Comma 5 2" xfId="40" xr:uid="{00000000-0005-0000-0000-00000C000000}"/>
    <cellStyle name="Comma 6" xfId="18" xr:uid="{00000000-0005-0000-0000-00000D000000}"/>
    <cellStyle name="Comma 6 2" xfId="32" xr:uid="{00000000-0005-0000-0000-00000E000000}"/>
    <cellStyle name="Comma 7" xfId="41" xr:uid="{00000000-0005-0000-0000-00000F000000}"/>
    <cellStyle name="Comma 8" xfId="26" xr:uid="{00000000-0005-0000-0000-000010000000}"/>
    <cellStyle name="Comma 9" xfId="67" xr:uid="{BB10C7B9-62EE-4670-93BA-AEA01C95914A}"/>
    <cellStyle name="Currency" xfId="20" builtinId="4"/>
    <cellStyle name="Excel Built-in Normal" xfId="42" xr:uid="{00000000-0005-0000-0000-000012000000}"/>
    <cellStyle name="Hyperlink 2" xfId="6" xr:uid="{00000000-0005-0000-0000-000013000000}"/>
    <cellStyle name="Hyperlink 2 2" xfId="43" xr:uid="{00000000-0005-0000-0000-000014000000}"/>
    <cellStyle name="Nor}al" xfId="4" xr:uid="{00000000-0005-0000-0000-000015000000}"/>
    <cellStyle name="Nor}al 2" xfId="13" xr:uid="{00000000-0005-0000-0000-000016000000}"/>
    <cellStyle name="Normal" xfId="0" builtinId="0"/>
    <cellStyle name="Normal 10" xfId="25" xr:uid="{00000000-0005-0000-0000-000018000000}"/>
    <cellStyle name="Normal 2" xfId="8" xr:uid="{00000000-0005-0000-0000-000019000000}"/>
    <cellStyle name="Normal 2 2" xfId="9" xr:uid="{00000000-0005-0000-0000-00001A000000}"/>
    <cellStyle name="Normal 2 2 2" xfId="31" xr:uid="{00000000-0005-0000-0000-00001B000000}"/>
    <cellStyle name="Normal 2 2 2 2" xfId="35" xr:uid="{00000000-0005-0000-0000-00001C000000}"/>
    <cellStyle name="Normal 2 2 3" xfId="45" xr:uid="{00000000-0005-0000-0000-00001D000000}"/>
    <cellStyle name="Normal 2 2 4" xfId="44" xr:uid="{00000000-0005-0000-0000-00001E000000}"/>
    <cellStyle name="Normal 2 3" xfId="46" xr:uid="{00000000-0005-0000-0000-00001F000000}"/>
    <cellStyle name="Normal 2 4" xfId="47" xr:uid="{00000000-0005-0000-0000-000020000000}"/>
    <cellStyle name="Normal 2 5" xfId="48" xr:uid="{00000000-0005-0000-0000-000021000000}"/>
    <cellStyle name="Normal 2 6" xfId="34" xr:uid="{00000000-0005-0000-0000-000022000000}"/>
    <cellStyle name="Normal 3" xfId="7" xr:uid="{00000000-0005-0000-0000-000023000000}"/>
    <cellStyle name="Normal 3 2" xfId="17" xr:uid="{00000000-0005-0000-0000-000024000000}"/>
    <cellStyle name="Normal 3 2 2" xfId="51" xr:uid="{00000000-0005-0000-0000-000025000000}"/>
    <cellStyle name="Normal 3 2 3" xfId="50" xr:uid="{00000000-0005-0000-0000-000026000000}"/>
    <cellStyle name="Normal 3 2 4" xfId="64" xr:uid="{C82EBF51-C836-4150-911F-47CA7441BF54}"/>
    <cellStyle name="Normal 3 2 5" xfId="66" xr:uid="{0C4D1903-7318-49DA-BA59-AF987CF249F3}"/>
    <cellStyle name="Normal 3 3" xfId="52" xr:uid="{00000000-0005-0000-0000-000027000000}"/>
    <cellStyle name="Normal 3 4" xfId="49" xr:uid="{00000000-0005-0000-0000-000028000000}"/>
    <cellStyle name="Normal 4" xfId="10" xr:uid="{00000000-0005-0000-0000-000029000000}"/>
    <cellStyle name="Normal 4 2" xfId="12" xr:uid="{00000000-0005-0000-0000-00002A000000}"/>
    <cellStyle name="Normal 4 3" xfId="53" xr:uid="{00000000-0005-0000-0000-00002B000000}"/>
    <cellStyle name="Normal 5" xfId="5" xr:uid="{00000000-0005-0000-0000-00002C000000}"/>
    <cellStyle name="Normal 5 2" xfId="24" xr:uid="{00000000-0005-0000-0000-00002D000000}"/>
    <cellStyle name="Normal 5 3" xfId="54" xr:uid="{00000000-0005-0000-0000-00002E000000}"/>
    <cellStyle name="Normal 58" xfId="30" xr:uid="{00000000-0005-0000-0000-00002F000000}"/>
    <cellStyle name="Normal 58 2" xfId="55" xr:uid="{00000000-0005-0000-0000-000030000000}"/>
    <cellStyle name="Normal 6" xfId="56" xr:uid="{00000000-0005-0000-0000-000031000000}"/>
    <cellStyle name="Normal 7" xfId="57" xr:uid="{00000000-0005-0000-0000-000032000000}"/>
    <cellStyle name="Normal 7 2" xfId="29" xr:uid="{00000000-0005-0000-0000-000033000000}"/>
    <cellStyle name="Normal 8" xfId="15" xr:uid="{00000000-0005-0000-0000-000034000000}"/>
    <cellStyle name="Normal 9" xfId="58" xr:uid="{00000000-0005-0000-0000-000035000000}"/>
    <cellStyle name="Normal_GPR CAM" xfId="3" xr:uid="{00000000-0005-0000-0000-000036000000}"/>
    <cellStyle name="Percent" xfId="2" builtinId="5"/>
    <cellStyle name="Percent 2" xfId="11" xr:uid="{00000000-0005-0000-0000-000038000000}"/>
    <cellStyle name="Percent 2 2" xfId="59" xr:uid="{00000000-0005-0000-0000-000039000000}"/>
    <cellStyle name="Percent 2 2 2" xfId="27" xr:uid="{00000000-0005-0000-0000-00003A000000}"/>
    <cellStyle name="Percent 2 3" xfId="60" xr:uid="{00000000-0005-0000-0000-00003B000000}"/>
    <cellStyle name="Percent 3" xfId="61" xr:uid="{00000000-0005-0000-0000-00003C000000}"/>
    <cellStyle name="Percent 4" xfId="62" xr:uid="{00000000-0005-0000-0000-00003D000000}"/>
    <cellStyle name="Percent 5" xfId="28" xr:uid="{00000000-0005-0000-0000-00003E000000}"/>
    <cellStyle name="Percent 5 2" xfId="63" xr:uid="{00000000-0005-0000-0000-00003F000000}"/>
    <cellStyle name="Percent 6" xfId="65" xr:uid="{DB039A66-186B-42B9-AF70-A4B30D896040}"/>
    <cellStyle name="Percent 7" xfId="68" xr:uid="{216057A6-5D7A-4D07-B77B-8051B457FA72}"/>
  </cellStyles>
  <dxfs count="3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A3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Macros/Formats/Financials/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A76FC-2447-4D5D-93B2-687444260F02}" name="LoanTrack" displayName="LoanTrack" ref="B26:BC30" headerRowCount="0" totalsRowCount="1" headerRowDxfId="167" dataDxfId="165" totalsRowDxfId="163" headerRowBorderDxfId="166" tableBorderDxfId="164" totalsRowBorderDxfId="162">
  <tableColumns count="54">
    <tableColumn id="1" xr3:uid="{8B54B3EA-95FB-405B-A9B9-14B5478A03C8}" name="Column1" totalsRowLabel="Total" headerRowDxfId="161" dataDxfId="160" totalsRowDxfId="159"/>
    <tableColumn id="2" xr3:uid="{6A19ED5F-B9CD-4858-A373-083FCE4DBB33}" name="Column2" headerRowDxfId="158" dataDxfId="157" totalsRowDxfId="156"/>
    <tableColumn id="3" xr3:uid="{DC4E07C6-C2D1-4121-B49E-E50D796333FD}" name="Column3" totalsRowFunction="count" headerRowDxfId="155" dataDxfId="154" totalsRowDxfId="153"/>
    <tableColumn id="4" xr3:uid="{4D21054E-F830-4C81-88AC-81BF374337D7}" name="Column4" totalsRowFunction="sum" headerRowDxfId="152" dataDxfId="151" totalsRowDxfId="150"/>
    <tableColumn id="53" xr3:uid="{5629B5A8-9D41-4BA4-8894-21742FEF2F4D}" name="Column52" totalsRowFunction="sum" headerRowDxfId="149" dataDxfId="148" totalsRowDxfId="147"/>
    <tableColumn id="5" xr3:uid="{65BA8E45-60D6-468B-A619-06E788E28614}" name="Column5" totalsRowFunction="sum" headerRowDxfId="146" dataDxfId="145" totalsRowDxfId="144"/>
    <tableColumn id="6" xr3:uid="{0D0B6EB4-04E8-49F6-B2B2-2D9B585A7154}" name="Column6" headerRowDxfId="143" dataDxfId="142" totalsRowDxfId="141"/>
    <tableColumn id="54" xr3:uid="{1219DFFA-C041-481D-8248-4637C7193194}" name="Column54" totalsRowFunction="sum" headerRowDxfId="140" dataDxfId="139" totalsRowDxfId="138" dataCellStyle="Normal 3 2"/>
    <tableColumn id="7" xr3:uid="{F51D27DA-D43F-44CA-8654-9E7AE6FF7CF2}" name="Column7" headerRowDxfId="137" dataDxfId="136" totalsRowDxfId="135"/>
    <tableColumn id="8" xr3:uid="{73CF112C-DCF8-4629-9ED5-6A9D08C00B34}" name="Column8" headerRowDxfId="134" dataDxfId="133" totalsRowDxfId="132">
      <calculatedColumnFormula>IFERROR(IF(J26&lt;(TODAY()-H26)/30,"",J26-((TODAY()-H26)/30)+1),"")</calculatedColumnFormula>
    </tableColumn>
    <tableColumn id="9" xr3:uid="{433B30D6-B588-4FBC-88B6-F55B268BE69F}" name="Column9" totalsRowFunction="custom" headerRowDxfId="131" dataDxfId="130" totalsRowDxfId="129">
      <totalsRowFormula>COUNTIF(L26:L29,"Yes")</totalsRowFormula>
    </tableColumn>
    <tableColumn id="10" xr3:uid="{2442352B-4503-48EB-8B9A-71F8A387D713}" name="Column10" totalsRowFunction="sum" headerRowDxfId="128" dataDxfId="127" totalsRowDxfId="126">
      <calculatedColumnFormula>IF(OR(L26="Yes",AND(K26&gt;1,K26&lt;&gt;"")),G26,"")</calculatedColumnFormula>
    </tableColumn>
    <tableColumn id="11" xr3:uid="{19CA982A-9A7D-4B55-BA3C-7E2775445763}" name="Column11" totalsRowFunction="custom" headerRowDxfId="125" dataDxfId="124" totalsRowDxfId="123">
      <totalsRowFormula>SUMPRODUCT((N26:N29&lt;&gt;"")/COUNTIF(N26:N29,N26:N29&amp;""))</totalsRowFormula>
    </tableColumn>
    <tableColumn id="52" xr3:uid="{90179A0D-B56C-4A01-BFC2-5D8B32B0E3F1}" name="Column51" totalsRowFunction="sum" headerRowDxfId="122" dataDxfId="121" totalsRowDxfId="120" dataCellStyle="Normal 3 2">
      <calculatedColumnFormula>IF($G26&lt;&gt;"",COUNT($S26,$V26,$Y26,$AB26,$AE26,$AH26,$AK26,$AN26,$AQ26,$AT26,$AW26,$AZ26),"")</calculatedColumnFormula>
    </tableColumn>
    <tableColumn id="55" xr3:uid="{80006C3F-D92D-4AF4-A7D2-6C9A308BC988}" name="Column53" headerRowDxfId="119" dataDxfId="118" totalsRowDxfId="117" dataCellStyle="Normal 3 2"/>
    <tableColumn id="51" xr3:uid="{0EC83BFF-0D3F-4330-8DDC-3C928B0B10C1}" name="Column50" totalsRowFunction="sum" headerRowDxfId="116" dataDxfId="115" totalsRowDxfId="114" dataCellStyle="Normal 3 2">
      <calculatedColumnFormula>IF($G26&lt;&gt;"",SUM($T26,$W26,$Z26,$AC26,$AF26,$AI26,$AL26,$AO26,$AR26,$AU26,$AX26,$BA26),"")</calculatedColumnFormula>
    </tableColumn>
    <tableColumn id="50" xr3:uid="{215A9343-6A0E-4A4B-82B8-29B5EB7D992F}" name="Column49" totalsRowFunction="custom" headerRowDxfId="113" dataDxfId="112" totalsRowDxfId="111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1547776F-FE9E-4E71-A0F7-D50D43FB2E46}" name="Column12" totalsRowFunction="count" headerRowDxfId="110" dataDxfId="109" totalsRowDxfId="108"/>
    <tableColumn id="13" xr3:uid="{64AE0087-3EBC-4762-855A-F77EBCAB18C5}" name="Column13" totalsRowFunction="sum" headerRowDxfId="107" dataDxfId="106" totalsRowDxfId="105"/>
    <tableColumn id="14" xr3:uid="{F2EC4947-699B-4346-83F3-0BBC9AEC12D0}" name="Column14" totalsRowFunction="custom" headerRowDxfId="104" dataDxfId="103" totalsRowDxfId="102">
      <totalsRowFormula>IFERROR(SUBTOTAL(101,U26:U29),"")</totalsRowFormula>
    </tableColumn>
    <tableColumn id="15" xr3:uid="{4BE52B86-BA60-43E6-AD33-E43BEAF15A47}" name="Column15" totalsRowFunction="count" headerRowDxfId="101" dataDxfId="100" totalsRowDxfId="99"/>
    <tableColumn id="16" xr3:uid="{4D1D3CDA-1BFD-49AF-8E55-4DC3D23049D2}" name="Column16" totalsRowFunction="sum" headerRowDxfId="98" dataDxfId="97" totalsRowDxfId="96"/>
    <tableColumn id="17" xr3:uid="{C8D60FB9-32F3-4197-913D-E07170D584E3}" name="Column17" totalsRowFunction="custom" headerRowDxfId="95" dataDxfId="94" totalsRowDxfId="93">
      <totalsRowFormula>IFERROR(SUBTOTAL(101,X26:X29),"")</totalsRowFormula>
    </tableColumn>
    <tableColumn id="18" xr3:uid="{832B75C9-4CC6-45C7-81F3-459473D6BCF0}" name="Column18" totalsRowFunction="count" headerRowDxfId="92" dataDxfId="91" totalsRowDxfId="90"/>
    <tableColumn id="19" xr3:uid="{042EADC4-42C7-4621-8593-E5CD19254354}" name="Column19" totalsRowFunction="sum" headerRowDxfId="89" dataDxfId="88" totalsRowDxfId="87"/>
    <tableColumn id="20" xr3:uid="{FABF69F8-2EA8-4C49-A348-DFE3856A863F}" name="Column20" totalsRowFunction="custom" headerRowDxfId="86" dataDxfId="85" totalsRowDxfId="84">
      <totalsRowFormula>IFERROR(SUBTOTAL(101,AA26:AA29),"")</totalsRowFormula>
    </tableColumn>
    <tableColumn id="21" xr3:uid="{E7ABD931-702E-471E-B782-9F42CA02BA8E}" name="Column21" totalsRowFunction="count" headerRowDxfId="83" dataDxfId="82" totalsRowDxfId="81"/>
    <tableColumn id="22" xr3:uid="{D1CB8039-A673-4D04-8422-D57F69B00008}" name="Column22" totalsRowFunction="sum" headerRowDxfId="80" dataDxfId="79" totalsRowDxfId="78"/>
    <tableColumn id="23" xr3:uid="{2B84A91C-0E8F-46EB-A788-B3B6A7362851}" name="Column23" totalsRowFunction="custom" headerRowDxfId="77" dataDxfId="76" totalsRowDxfId="75">
      <totalsRowFormula>IFERROR(SUBTOTAL(101,AD26:AD29),"")</totalsRowFormula>
    </tableColumn>
    <tableColumn id="24" xr3:uid="{68610B15-01AA-493D-9A87-3D352FB321D6}" name="Column24" totalsRowFunction="count" headerRowDxfId="74" dataDxfId="73" totalsRowDxfId="72"/>
    <tableColumn id="25" xr3:uid="{5707E2E4-105F-4332-8C22-0DDD0184982D}" name="Column25" totalsRowFunction="sum" headerRowDxfId="71" dataDxfId="70" totalsRowDxfId="69"/>
    <tableColumn id="26" xr3:uid="{9FECC2DC-0D29-4F9C-AD99-D3663EAE9C46}" name="Column26" totalsRowFunction="custom" headerRowDxfId="68" dataDxfId="67" totalsRowDxfId="66">
      <totalsRowFormula>IFERROR(SUBTOTAL(101,AG26:AG29),"")</totalsRowFormula>
    </tableColumn>
    <tableColumn id="27" xr3:uid="{A2356575-CFA7-4004-BD36-868FA936D300}" name="Column27" totalsRowFunction="count" headerRowDxfId="65" dataDxfId="64" totalsRowDxfId="63"/>
    <tableColumn id="28" xr3:uid="{42A0797A-89BF-4425-9684-2F50B51DAEC4}" name="Column28" totalsRowFunction="sum" headerRowDxfId="62" dataDxfId="61" totalsRowDxfId="60"/>
    <tableColumn id="29" xr3:uid="{1EEC1591-ACCE-4ED5-AEEA-369C10FF4E3C}" name="Column29" totalsRowFunction="custom" headerRowDxfId="59" dataDxfId="58" totalsRowDxfId="57">
      <totalsRowFormula>IFERROR(SUBTOTAL(101,AJ26:AJ29),"")</totalsRowFormula>
    </tableColumn>
    <tableColumn id="30" xr3:uid="{350FAF4A-7FEA-481F-B46D-D0A116AD79AD}" name="Column30" totalsRowFunction="count" headerRowDxfId="56" dataDxfId="55" totalsRowDxfId="54"/>
    <tableColumn id="31" xr3:uid="{101F65D6-EF82-4C93-A6D9-7AA188E62710}" name="Column31" totalsRowFunction="sum" headerRowDxfId="53" dataDxfId="52" totalsRowDxfId="51"/>
    <tableColumn id="32" xr3:uid="{DEC0D079-D2F7-4F8F-8BCF-02E38309EA2A}" name="Column32" totalsRowFunction="custom" headerRowDxfId="50" dataDxfId="49" totalsRowDxfId="48">
      <totalsRowFormula>IFERROR(SUBTOTAL(101,AM26:AM29),"")</totalsRowFormula>
    </tableColumn>
    <tableColumn id="33" xr3:uid="{34E31489-AC72-45A0-AF41-276083C5BCD7}" name="Column33" totalsRowFunction="count" headerRowDxfId="47" dataDxfId="46" totalsRowDxfId="45"/>
    <tableColumn id="34" xr3:uid="{B61A8C51-5B8D-4142-BA36-4AA5880A63C0}" name="Column34" totalsRowFunction="sum" headerRowDxfId="44" dataDxfId="43" totalsRowDxfId="42"/>
    <tableColumn id="35" xr3:uid="{C7EEC75B-FF90-4230-B1AD-97790FC78973}" name="Column35" totalsRowFunction="custom" headerRowDxfId="41" dataDxfId="40" totalsRowDxfId="39">
      <totalsRowFormula>IFERROR(SUBTOTAL(101,AP26:AP29),"")</totalsRowFormula>
    </tableColumn>
    <tableColumn id="36" xr3:uid="{E3B96023-CC00-4963-8F32-AE9F0D200502}" name="Column36" totalsRowFunction="count" headerRowDxfId="38" dataDxfId="37" totalsRowDxfId="36"/>
    <tableColumn id="37" xr3:uid="{4F0FAA06-C14A-4BDE-BC98-D7BE8D2908B7}" name="Column37" totalsRowFunction="sum" headerRowDxfId="35" dataDxfId="34" totalsRowDxfId="33"/>
    <tableColumn id="38" xr3:uid="{075ADB71-2FA1-472B-B154-9501B929CB2F}" name="Column38" totalsRowFunction="custom" headerRowDxfId="32" dataDxfId="31" totalsRowDxfId="30">
      <totalsRowFormula>IFERROR(SUBTOTAL(101,AS26:AS29),"")</totalsRowFormula>
    </tableColumn>
    <tableColumn id="39" xr3:uid="{B26B899C-1400-4CFA-ABF6-5AF467B3E5F3}" name="Column39" totalsRowFunction="count" headerRowDxfId="29" dataDxfId="28" totalsRowDxfId="27"/>
    <tableColumn id="40" xr3:uid="{854C81F6-C73B-4F62-96B9-9899CE20A57B}" name="Column40" totalsRowFunction="sum" headerRowDxfId="26" dataDxfId="25" totalsRowDxfId="24"/>
    <tableColumn id="41" xr3:uid="{4F6951E7-F287-48F8-BD84-9ECFD3DF05C5}" name="Column41" totalsRowFunction="custom" headerRowDxfId="23" dataDxfId="22" totalsRowDxfId="21">
      <totalsRowFormula>IFERROR(SUBTOTAL(101,AV26:AV29),"")</totalsRowFormula>
    </tableColumn>
    <tableColumn id="42" xr3:uid="{0641027F-3469-43CD-897D-DD3989B86062}" name="Column42" totalsRowFunction="count" headerRowDxfId="20" dataDxfId="19" totalsRowDxfId="18"/>
    <tableColumn id="43" xr3:uid="{F82E7191-5D79-4FDF-92E3-0C9A1E1C2F27}" name="Column43" totalsRowFunction="sum" headerRowDxfId="17" dataDxfId="16" totalsRowDxfId="15"/>
    <tableColumn id="44" xr3:uid="{F923BE90-932D-4D4A-B94C-90D7C364EF5E}" name="Column44" totalsRowFunction="custom" headerRowDxfId="14" dataDxfId="13" totalsRowDxfId="12">
      <totalsRowFormula>IFERROR(SUBTOTAL(101,AY26:AY29),"")</totalsRowFormula>
    </tableColumn>
    <tableColumn id="45" xr3:uid="{909CA98E-E80A-4FBC-97B2-54DFCAE56858}" name="Column45" totalsRowFunction="count" headerRowDxfId="11" dataDxfId="10" totalsRowDxfId="9"/>
    <tableColumn id="46" xr3:uid="{77C268C8-7AD0-4EC3-AB8C-D7CA18F953C3}" name="Column46" totalsRowFunction="sum" headerRowDxfId="8" dataDxfId="7" totalsRowDxfId="6"/>
    <tableColumn id="47" xr3:uid="{5D5D588E-0813-40C9-A7AC-FFEADDBE9C26}" name="Column47" totalsRowFunction="custom" headerRowDxfId="5" dataDxfId="4" totalsRowDxfId="3">
      <totalsRowFormula>IFERROR(SUBTOTAL(101,BB26:BB29),"")</totalsRowFormula>
    </tableColumn>
    <tableColumn id="48" xr3:uid="{EB8EE395-3F1E-4771-9D2A-5B6D4D38E4E7}" name="Column48" totalsRowFunction="count" headerRowDxfId="2" dataDxfId="1" totalsRow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S20"/>
  <sheetViews>
    <sheetView zoomScaleNormal="100" workbookViewId="0">
      <selection activeCell="B11" sqref="B11"/>
    </sheetView>
  </sheetViews>
  <sheetFormatPr defaultColWidth="0" defaultRowHeight="15"/>
  <cols>
    <col min="1" max="1" width="99.5703125" customWidth="1"/>
    <col min="2" max="2" width="33.85546875" customWidth="1"/>
    <col min="3" max="12" width="9.140625" hidden="1" customWidth="1"/>
    <col min="13" max="13" width="23.7109375" hidden="1" customWidth="1"/>
    <col min="14" max="14" width="30.7109375" hidden="1" customWidth="1"/>
    <col min="15" max="16" width="18.140625" hidden="1" customWidth="1"/>
    <col min="17" max="17" width="19.140625" hidden="1" customWidth="1"/>
    <col min="18" max="18" width="18.7109375" hidden="1" customWidth="1"/>
    <col min="19" max="19" width="35.28515625" hidden="1" customWidth="1"/>
    <col min="20" max="16384" width="9.140625" hidden="1"/>
  </cols>
  <sheetData>
    <row r="1" spans="1:19" ht="18.75">
      <c r="A1" s="260" t="s">
        <v>403</v>
      </c>
      <c r="B1" s="258" t="s">
        <v>404</v>
      </c>
      <c r="M1" s="19" t="s">
        <v>349</v>
      </c>
      <c r="N1" s="19" t="s">
        <v>350</v>
      </c>
      <c r="O1" s="19" t="s">
        <v>351</v>
      </c>
      <c r="P1" s="19" t="s">
        <v>360</v>
      </c>
      <c r="Q1" s="19" t="s">
        <v>250</v>
      </c>
      <c r="R1" s="19" t="s">
        <v>368</v>
      </c>
      <c r="S1" s="19" t="s">
        <v>352</v>
      </c>
    </row>
    <row r="2" spans="1:19">
      <c r="A2" s="427" t="s">
        <v>356</v>
      </c>
      <c r="B2" s="28" t="s">
        <v>353</v>
      </c>
      <c r="M2" s="238" t="s">
        <v>260</v>
      </c>
      <c r="N2" s="238" t="s">
        <v>345</v>
      </c>
      <c r="O2" s="238" t="s">
        <v>248</v>
      </c>
      <c r="P2" s="238" t="s">
        <v>361</v>
      </c>
      <c r="Q2" s="238" t="s">
        <v>363</v>
      </c>
      <c r="R2" s="238" t="s">
        <v>369</v>
      </c>
      <c r="S2" s="238" t="s">
        <v>258</v>
      </c>
    </row>
    <row r="3" spans="1:19" ht="30.75" customHeight="1">
      <c r="A3" s="427" t="s">
        <v>251</v>
      </c>
      <c r="B3" s="28" t="s">
        <v>257</v>
      </c>
      <c r="M3" s="238" t="s">
        <v>344</v>
      </c>
      <c r="N3" s="238" t="s">
        <v>257</v>
      </c>
      <c r="O3" s="238" t="s">
        <v>378</v>
      </c>
      <c r="P3" s="238" t="s">
        <v>347</v>
      </c>
      <c r="Q3" t="s">
        <v>364</v>
      </c>
      <c r="R3" t="s">
        <v>370</v>
      </c>
      <c r="S3" t="s">
        <v>371</v>
      </c>
    </row>
    <row r="4" spans="1:19" ht="30">
      <c r="A4" s="428" t="s">
        <v>346</v>
      </c>
      <c r="B4" s="28" t="s">
        <v>129</v>
      </c>
      <c r="M4" s="238" t="s">
        <v>353</v>
      </c>
      <c r="N4" s="238" t="s">
        <v>359</v>
      </c>
      <c r="O4" s="238" t="s">
        <v>379</v>
      </c>
      <c r="P4" t="s">
        <v>362</v>
      </c>
      <c r="Q4" s="238" t="s">
        <v>365</v>
      </c>
      <c r="R4" s="238" t="s">
        <v>375</v>
      </c>
      <c r="S4" t="s">
        <v>372</v>
      </c>
    </row>
    <row r="5" spans="1:19">
      <c r="A5" s="427" t="s">
        <v>247</v>
      </c>
      <c r="B5" s="28" t="s">
        <v>248</v>
      </c>
      <c r="M5" s="238" t="s">
        <v>354</v>
      </c>
      <c r="O5" s="238" t="s">
        <v>380</v>
      </c>
      <c r="P5" s="238" t="s">
        <v>348</v>
      </c>
      <c r="Q5" s="238" t="s">
        <v>366</v>
      </c>
      <c r="S5" t="s">
        <v>373</v>
      </c>
    </row>
    <row r="6" spans="1:19">
      <c r="A6" s="427" t="s">
        <v>360</v>
      </c>
      <c r="B6" s="28" t="s">
        <v>361</v>
      </c>
      <c r="C6" s="40"/>
      <c r="M6" s="238" t="s">
        <v>357</v>
      </c>
      <c r="P6" s="238" t="s">
        <v>249</v>
      </c>
      <c r="Q6" t="s">
        <v>367</v>
      </c>
      <c r="S6" t="s">
        <v>374</v>
      </c>
    </row>
    <row r="7" spans="1:19">
      <c r="A7" s="428" t="str">
        <f>IF(B6=P6,"Whether Directors/Shareholders holding morethan 51% stake in the company joined as party to the loan",IF(B6=P5,"Whether Designated Partners holding morethan 51% stake in the LLP joined as party to the loan",IF(B6=P4,"Whether all the partners are joined as party to the loan",IF(B6=P7,"Whether all joined as party to loan","Indvidual/Proprietorship"))))</f>
        <v>Indvidual/Proprietorship</v>
      </c>
      <c r="B7" s="28" t="s">
        <v>129</v>
      </c>
      <c r="C7" s="40"/>
      <c r="M7" s="238" t="s">
        <v>358</v>
      </c>
      <c r="P7" s="238" t="s">
        <v>119</v>
      </c>
      <c r="Q7" s="238" t="s">
        <v>263</v>
      </c>
    </row>
    <row r="8" spans="1:19">
      <c r="A8" s="427" t="s">
        <v>252</v>
      </c>
      <c r="B8" s="28" t="s">
        <v>369</v>
      </c>
      <c r="M8" s="238" t="s">
        <v>355</v>
      </c>
      <c r="Q8" s="238" t="s">
        <v>119</v>
      </c>
    </row>
    <row r="9" spans="1:19">
      <c r="A9" s="427" t="s">
        <v>253</v>
      </c>
      <c r="B9" s="28" t="s">
        <v>382</v>
      </c>
      <c r="E9" s="40"/>
      <c r="M9" s="238" t="s">
        <v>381</v>
      </c>
    </row>
    <row r="10" spans="1:19">
      <c r="A10" s="427" t="s">
        <v>250</v>
      </c>
      <c r="B10" s="28" t="s">
        <v>363</v>
      </c>
    </row>
    <row r="11" spans="1:19">
      <c r="A11" s="427" t="s">
        <v>254</v>
      </c>
      <c r="B11" s="28" t="s">
        <v>129</v>
      </c>
    </row>
    <row r="12" spans="1:19">
      <c r="A12" s="427" t="s">
        <v>376</v>
      </c>
      <c r="B12" s="28" t="s">
        <v>377</v>
      </c>
    </row>
    <row r="13" spans="1:19">
      <c r="A13" s="427" t="str">
        <f>IF(OR(B2=M2,B2=M6,B2=M7,B2=M8,B2=M9),"Consumer CIBIL score &gt;=700",IF(OR(B2=M3,B2=M4,B2=M5),"Consumer CIBIL score &gt;=720",""))</f>
        <v>Consumer CIBIL score &gt;=720</v>
      </c>
      <c r="B13" s="28" t="s">
        <v>129</v>
      </c>
    </row>
    <row r="14" spans="1:19">
      <c r="A14" s="427" t="s">
        <v>255</v>
      </c>
      <c r="B14" s="28" t="s">
        <v>155</v>
      </c>
    </row>
    <row r="15" spans="1:19">
      <c r="A15" s="427" t="s">
        <v>259</v>
      </c>
      <c r="B15" s="28" t="s">
        <v>258</v>
      </c>
    </row>
    <row r="16" spans="1:19" ht="27" customHeight="1">
      <c r="A16" s="427" t="str">
        <f>IF(B2=M4,"Annualised banking transactions are &gt;=75%",IF(B2=M3,"Annualised banking transactions are &gt;=100%",IF(OR(B5=O4,B5=O5),"Annualised banking transactions are &gt;=70%",IF(OR(B2=M6,B2=M7,B2=M8,B2=M9),"","Annualised banking transactions are &gt;=70%"))))</f>
        <v>Annualised banking transactions are &gt;=75%</v>
      </c>
      <c r="B16" s="28"/>
    </row>
    <row r="17" spans="1:2" ht="15.75" thickBot="1">
      <c r="A17" s="429" t="str">
        <f>IF(B2=M4,"Is Current Account vintage &gt;=2 years","")</f>
        <v>Is Current Account vintage &gt;=2 years</v>
      </c>
      <c r="B17" s="259"/>
    </row>
    <row r="19" spans="1:2">
      <c r="A19" s="19"/>
    </row>
    <row r="20" spans="1:2">
      <c r="B20" s="529" t="s">
        <v>427</v>
      </c>
    </row>
  </sheetData>
  <sheetProtection algorithmName="SHA-512" hashValue="rMVqqujLiG8s8GLuMq5UYSalXxdAGjItuYp5zx69aRBNsJqRcpGLmIqMKTlC0qL9D0/61bsI9nlDFCHg1mSmvA==" saltValue="2YZxKrOtbx8m5dveVQ/U2g==" spinCount="100000" sheet="1" objects="1" scenarios="1"/>
  <conditionalFormatting sqref="B12:B15 B7:B10">
    <cfRule type="cellIs" dxfId="313" priority="44" operator="equal">
      <formula>"No"</formula>
    </cfRule>
    <cfRule type="cellIs" dxfId="312" priority="45" operator="equal">
      <formula>"Yes"</formula>
    </cfRule>
  </conditionalFormatting>
  <conditionalFormatting sqref="B12:B15 B8:B10">
    <cfRule type="cellIs" dxfId="311" priority="43" operator="equal">
      <formula>"No Property"</formula>
    </cfRule>
  </conditionalFormatting>
  <conditionalFormatting sqref="B8:B9 B12:B15">
    <cfRule type="cellIs" dxfId="310" priority="42" operator="equal">
      <formula>"Less than 5 years"</formula>
    </cfRule>
  </conditionalFormatting>
  <conditionalFormatting sqref="B9 B12:B15">
    <cfRule type="cellIs" dxfId="309" priority="40" operator="equal">
      <formula>"Lessthan 3 years"</formula>
    </cfRule>
    <cfRule type="cellIs" dxfId="308" priority="41" operator="equal">
      <formula>"Less than 3 years"</formula>
    </cfRule>
  </conditionalFormatting>
  <conditionalFormatting sqref="B12:B15">
    <cfRule type="cellIs" dxfId="307" priority="37" operator="equal">
      <formula>"Not Available"</formula>
    </cfRule>
  </conditionalFormatting>
  <conditionalFormatting sqref="B11">
    <cfRule type="cellIs" dxfId="306" priority="35" operator="equal">
      <formula>"No"</formula>
    </cfRule>
    <cfRule type="cellIs" dxfId="305" priority="36" operator="equal">
      <formula>"Yes"</formula>
    </cfRule>
  </conditionalFormatting>
  <conditionalFormatting sqref="B11">
    <cfRule type="cellIs" dxfId="304" priority="34" operator="equal">
      <formula>"No Property"</formula>
    </cfRule>
  </conditionalFormatting>
  <conditionalFormatting sqref="B11">
    <cfRule type="cellIs" dxfId="303" priority="33" operator="equal">
      <formula>"Less than 5 years"</formula>
    </cfRule>
  </conditionalFormatting>
  <conditionalFormatting sqref="B11">
    <cfRule type="cellIs" dxfId="302" priority="31" operator="equal">
      <formula>"Lessthan 3 years"</formula>
    </cfRule>
    <cfRule type="cellIs" dxfId="301" priority="32" operator="equal">
      <formula>"Less than 3 years"</formula>
    </cfRule>
  </conditionalFormatting>
  <conditionalFormatting sqref="B11">
    <cfRule type="cellIs" dxfId="300" priority="30" operator="equal">
      <formula>"Not Available"</formula>
    </cfRule>
  </conditionalFormatting>
  <conditionalFormatting sqref="B4">
    <cfRule type="cellIs" dxfId="299" priority="28" operator="equal">
      <formula>"No"</formula>
    </cfRule>
    <cfRule type="cellIs" dxfId="298" priority="29" operator="equal">
      <formula>"Yes"</formula>
    </cfRule>
  </conditionalFormatting>
  <conditionalFormatting sqref="B4">
    <cfRule type="cellIs" dxfId="297" priority="27" operator="equal">
      <formula>"No Property"</formula>
    </cfRule>
  </conditionalFormatting>
  <conditionalFormatting sqref="B4">
    <cfRule type="cellIs" dxfId="296" priority="26" operator="equal">
      <formula>"Less than 5 years"</formula>
    </cfRule>
  </conditionalFormatting>
  <conditionalFormatting sqref="B4">
    <cfRule type="cellIs" dxfId="295" priority="24" operator="equal">
      <formula>"Lessthan 3 years"</formula>
    </cfRule>
    <cfRule type="cellIs" dxfId="294" priority="25" operator="equal">
      <formula>"Less than 3 years"</formula>
    </cfRule>
  </conditionalFormatting>
  <conditionalFormatting sqref="B4">
    <cfRule type="cellIs" dxfId="293" priority="23" operator="equal">
      <formula>"Not Available"</formula>
    </cfRule>
  </conditionalFormatting>
  <conditionalFormatting sqref="B17">
    <cfRule type="cellIs" dxfId="292" priority="21" operator="equal">
      <formula>"No"</formula>
    </cfRule>
    <cfRule type="cellIs" dxfId="291" priority="22" operator="equal">
      <formula>"Yes"</formula>
    </cfRule>
  </conditionalFormatting>
  <conditionalFormatting sqref="B17">
    <cfRule type="cellIs" dxfId="290" priority="20" operator="equal">
      <formula>"No Property"</formula>
    </cfRule>
  </conditionalFormatting>
  <conditionalFormatting sqref="B17">
    <cfRule type="cellIs" dxfId="289" priority="19" operator="equal">
      <formula>"Less than 5 years"</formula>
    </cfRule>
  </conditionalFormatting>
  <conditionalFormatting sqref="B17">
    <cfRule type="cellIs" dxfId="288" priority="17" operator="equal">
      <formula>"Lessthan 3 years"</formula>
    </cfRule>
    <cfRule type="cellIs" dxfId="287" priority="18" operator="equal">
      <formula>"Less than 3 years"</formula>
    </cfRule>
  </conditionalFormatting>
  <conditionalFormatting sqref="B17">
    <cfRule type="cellIs" dxfId="286" priority="16" operator="equal">
      <formula>"Not Available"</formula>
    </cfRule>
  </conditionalFormatting>
  <conditionalFormatting sqref="B16">
    <cfRule type="cellIs" dxfId="285" priority="14" operator="equal">
      <formula>"No"</formula>
    </cfRule>
    <cfRule type="cellIs" dxfId="284" priority="15" operator="equal">
      <formula>"Yes"</formula>
    </cfRule>
  </conditionalFormatting>
  <conditionalFormatting sqref="B16">
    <cfRule type="cellIs" dxfId="283" priority="13" operator="equal">
      <formula>"No Property"</formula>
    </cfRule>
  </conditionalFormatting>
  <conditionalFormatting sqref="B16">
    <cfRule type="cellIs" dxfId="282" priority="12" operator="equal">
      <formula>"Less than 5 years"</formula>
    </cfRule>
  </conditionalFormatting>
  <conditionalFormatting sqref="B16">
    <cfRule type="cellIs" dxfId="281" priority="10" operator="equal">
      <formula>"Lessthan 3 years"</formula>
    </cfRule>
    <cfRule type="cellIs" dxfId="280" priority="11" operator="equal">
      <formula>"Less than 3 years"</formula>
    </cfRule>
  </conditionalFormatting>
  <conditionalFormatting sqref="B16">
    <cfRule type="cellIs" dxfId="279" priority="9" operator="equal">
      <formula>"Not Available"</formula>
    </cfRule>
  </conditionalFormatting>
  <conditionalFormatting sqref="B6">
    <cfRule type="containsText" dxfId="278" priority="1" operator="containsText" text="Others">
      <formula>NOT(ISERROR(SEARCH("Others",B6)))</formula>
    </cfRule>
  </conditionalFormatting>
  <dataValidations count="12">
    <dataValidation type="list" allowBlank="1" showInputMessage="1" showErrorMessage="1" sqref="B5" xr:uid="{00000000-0002-0000-0000-000000000000}">
      <formula1>$O$2:$O$5</formula1>
    </dataValidation>
    <dataValidation type="list" allowBlank="1" showInputMessage="1" showErrorMessage="1" sqref="B6" xr:uid="{00000000-0002-0000-0000-000001000000}">
      <formula1>$P$2:$P$7</formula1>
    </dataValidation>
    <dataValidation type="list" allowBlank="1" showInputMessage="1" showErrorMessage="1" sqref="B7" xr:uid="{00000000-0002-0000-0000-000002000000}">
      <formula1>"Yes,No"</formula1>
    </dataValidation>
    <dataValidation type="list" allowBlank="1" showInputMessage="1" showErrorMessage="1" sqref="B10" xr:uid="{00000000-0002-0000-0000-000003000000}">
      <formula1>$Q$2:$Q$8</formula1>
    </dataValidation>
    <dataValidation type="list" allowBlank="1" showInputMessage="1" showErrorMessage="1" sqref="B3" xr:uid="{00000000-0002-0000-0000-000004000000}">
      <formula1>$N$2:$N$4</formula1>
    </dataValidation>
    <dataValidation type="list" allowBlank="1" showInputMessage="1" showErrorMessage="1" sqref="B8" xr:uid="{00000000-0002-0000-0000-000005000000}">
      <formula1>$R$2:$R$4</formula1>
    </dataValidation>
    <dataValidation type="list" allowBlank="1" showInputMessage="1" showErrorMessage="1" sqref="B9" xr:uid="{00000000-0002-0000-0000-000006000000}">
      <formula1>"More than 3 years, Equal to 3 years, Lessthan 3 years"</formula1>
    </dataValidation>
    <dataValidation type="list" allowBlank="1" showInputMessage="1" showErrorMessage="1" sqref="B12" xr:uid="{00000000-0002-0000-0000-000007000000}">
      <formula1>"Available, Not Available"</formula1>
    </dataValidation>
    <dataValidation type="list" allowBlank="1" showInputMessage="1" showErrorMessage="1" sqref="B13 B4" xr:uid="{00000000-0002-0000-0000-000008000000}">
      <formula1>"Yes, No"</formula1>
    </dataValidation>
    <dataValidation type="list" allowBlank="1" showInputMessage="1" showErrorMessage="1" sqref="B11 B14 B16:B17" xr:uid="{00000000-0002-0000-0000-000009000000}">
      <formula1>"Yes, No, Not Applicable"</formula1>
    </dataValidation>
    <dataValidation type="list" allowBlank="1" showInputMessage="1" showErrorMessage="1" sqref="B15" xr:uid="{00000000-0002-0000-0000-00000A000000}">
      <formula1>$S$2:$S$6</formula1>
    </dataValidation>
    <dataValidation type="list" allowBlank="1" showInputMessage="1" showErrorMessage="1" sqref="B2" xr:uid="{00000000-0002-0000-0000-00000B000000}">
      <formula1>$M$2:$M$9</formula1>
    </dataValidation>
  </dataValidations>
  <pageMargins left="0.7" right="0.7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C87"/>
  <sheetViews>
    <sheetView workbookViewId="0">
      <pane xSplit="8" ySplit="1" topLeftCell="AA2" activePane="bottomRight" state="frozen"/>
      <selection pane="topRight" activeCell="I1" sqref="I1"/>
      <selection pane="bottomLeft" activeCell="A2" sqref="A2"/>
      <selection pane="bottomRight" activeCell="AB2" sqref="AB2"/>
    </sheetView>
  </sheetViews>
  <sheetFormatPr defaultColWidth="9" defaultRowHeight="15"/>
  <cols>
    <col min="1" max="1" width="5.42578125" bestFit="1" customWidth="1"/>
    <col min="2" max="2" width="17.28515625" customWidth="1"/>
    <col min="3" max="3" width="13.85546875" bestFit="1" customWidth="1"/>
    <col min="4" max="4" width="20.5703125" customWidth="1"/>
    <col min="5" max="5" width="13.140625" bestFit="1" customWidth="1"/>
    <col min="6" max="6" width="18.42578125" customWidth="1"/>
    <col min="7" max="8" width="15" customWidth="1"/>
    <col min="9" max="9" width="14" customWidth="1"/>
    <col min="10" max="10" width="11.7109375" customWidth="1"/>
    <col min="11" max="11" width="7.28515625" customWidth="1"/>
    <col min="12" max="12" width="4.85546875" bestFit="1" customWidth="1"/>
    <col min="13" max="13" width="11.140625" bestFit="1" customWidth="1"/>
    <col min="14" max="14" width="12" customWidth="1"/>
    <col min="15" max="15" width="10" bestFit="1" customWidth="1"/>
    <col min="16" max="16" width="19" customWidth="1"/>
    <col min="17" max="17" width="7.28515625" bestFit="1" customWidth="1"/>
    <col min="18" max="28" width="8.5703125" bestFit="1" customWidth="1"/>
    <col min="29" max="29" width="40.5703125" customWidth="1"/>
  </cols>
  <sheetData>
    <row r="1" spans="1:29">
      <c r="A1" s="20" t="s">
        <v>67</v>
      </c>
      <c r="B1" s="20" t="s">
        <v>113</v>
      </c>
      <c r="C1" s="20" t="s">
        <v>73</v>
      </c>
      <c r="D1" s="20" t="s">
        <v>144</v>
      </c>
      <c r="E1" s="20" t="s">
        <v>145</v>
      </c>
      <c r="F1" s="20" t="s">
        <v>194</v>
      </c>
      <c r="G1" s="25" t="s">
        <v>202</v>
      </c>
      <c r="H1" s="20" t="s">
        <v>408</v>
      </c>
      <c r="I1" s="20" t="s">
        <v>110</v>
      </c>
      <c r="J1" s="20" t="s">
        <v>74</v>
      </c>
      <c r="K1" s="20" t="s">
        <v>75</v>
      </c>
      <c r="L1" s="20" t="s">
        <v>76</v>
      </c>
      <c r="M1" s="20" t="s">
        <v>111</v>
      </c>
      <c r="N1" s="673" t="s">
        <v>112</v>
      </c>
      <c r="O1" s="674"/>
      <c r="P1" s="421" t="s">
        <v>415</v>
      </c>
      <c r="Q1" s="75">
        <v>44256</v>
      </c>
      <c r="R1" s="21">
        <f t="shared" ref="R1:AB1" si="0">EDATE(Q1,-1)</f>
        <v>44228</v>
      </c>
      <c r="S1" s="21">
        <f t="shared" si="0"/>
        <v>44197</v>
      </c>
      <c r="T1" s="21">
        <f t="shared" si="0"/>
        <v>44166</v>
      </c>
      <c r="U1" s="21">
        <f t="shared" si="0"/>
        <v>44136</v>
      </c>
      <c r="V1" s="21">
        <f t="shared" si="0"/>
        <v>44105</v>
      </c>
      <c r="W1" s="21">
        <f t="shared" si="0"/>
        <v>44075</v>
      </c>
      <c r="X1" s="21">
        <f t="shared" si="0"/>
        <v>44044</v>
      </c>
      <c r="Y1" s="21">
        <f t="shared" si="0"/>
        <v>44013</v>
      </c>
      <c r="Z1" s="21">
        <f t="shared" si="0"/>
        <v>43983</v>
      </c>
      <c r="AA1" s="21">
        <f t="shared" si="0"/>
        <v>43952</v>
      </c>
      <c r="AB1" s="21">
        <f t="shared" si="0"/>
        <v>43922</v>
      </c>
      <c r="AC1" s="20" t="s">
        <v>77</v>
      </c>
    </row>
    <row r="2" spans="1:29" ht="14.25" customHeight="1">
      <c r="A2" s="76">
        <v>1</v>
      </c>
      <c r="B2" s="85"/>
      <c r="C2" s="78"/>
      <c r="D2" s="26"/>
      <c r="E2" s="79"/>
      <c r="F2" s="79"/>
      <c r="G2" s="422"/>
      <c r="H2" s="80"/>
      <c r="I2" s="80"/>
      <c r="J2" s="81"/>
      <c r="K2" s="26"/>
      <c r="L2" s="26"/>
      <c r="M2" s="423">
        <f t="shared" ref="M2:M66" si="1">K2-L2</f>
        <v>0</v>
      </c>
      <c r="N2" s="82"/>
      <c r="O2" s="424" t="str">
        <f>IF(AND(N2="Yes",M2&gt;=12),J2,IF(AND(N2="Yes",M2&lt;12),J2*M2/12,""))</f>
        <v/>
      </c>
      <c r="P2" s="26"/>
      <c r="Q2" s="26"/>
      <c r="R2" s="81"/>
      <c r="S2" s="81"/>
      <c r="T2" s="26"/>
      <c r="U2" s="26"/>
      <c r="V2" s="26"/>
      <c r="W2" s="26"/>
      <c r="X2" s="81"/>
      <c r="Y2" s="81"/>
      <c r="Z2" s="26"/>
      <c r="AA2" s="26"/>
      <c r="AB2" s="26"/>
      <c r="AC2" s="86"/>
    </row>
    <row r="3" spans="1:29">
      <c r="A3" s="76">
        <v>2</v>
      </c>
      <c r="B3" s="77"/>
      <c r="C3" s="78"/>
      <c r="D3" s="26"/>
      <c r="E3" s="79"/>
      <c r="F3" s="79"/>
      <c r="G3" s="422"/>
      <c r="H3" s="80"/>
      <c r="I3" s="80"/>
      <c r="J3" s="81"/>
      <c r="K3" s="26"/>
      <c r="L3" s="26"/>
      <c r="M3" s="423">
        <f t="shared" si="1"/>
        <v>0</v>
      </c>
      <c r="N3" s="82"/>
      <c r="O3" s="424" t="str">
        <f t="shared" ref="O3:O66" si="2">IF(AND(N3="Yes",M3&gt;=12),J3,IF(AND(N3="Yes",M3&lt;12),J3*M3/12,""))</f>
        <v/>
      </c>
      <c r="P3" s="26"/>
      <c r="Q3" s="26"/>
      <c r="R3" s="81"/>
      <c r="S3" s="81"/>
      <c r="T3" s="26"/>
      <c r="U3" s="26"/>
      <c r="V3" s="26"/>
      <c r="W3" s="26"/>
      <c r="X3" s="81"/>
      <c r="Y3" s="81"/>
      <c r="Z3" s="26"/>
      <c r="AA3" s="26"/>
      <c r="AB3" s="26"/>
      <c r="AC3" s="83"/>
    </row>
    <row r="4" spans="1:29">
      <c r="A4" s="76">
        <v>3</v>
      </c>
      <c r="B4" s="77"/>
      <c r="C4" s="78"/>
      <c r="D4" s="417"/>
      <c r="E4" s="79"/>
      <c r="F4" s="79"/>
      <c r="G4" s="422"/>
      <c r="H4" s="80"/>
      <c r="I4" s="80"/>
      <c r="J4" s="81"/>
      <c r="K4" s="26"/>
      <c r="L4" s="26"/>
      <c r="M4" s="423">
        <f t="shared" si="1"/>
        <v>0</v>
      </c>
      <c r="N4" s="82"/>
      <c r="O4" s="424" t="str">
        <f t="shared" si="2"/>
        <v/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83"/>
    </row>
    <row r="5" spans="1:29">
      <c r="A5" s="76">
        <v>4</v>
      </c>
      <c r="B5" s="77"/>
      <c r="C5" s="78"/>
      <c r="D5" s="26"/>
      <c r="E5" s="79"/>
      <c r="F5" s="79"/>
      <c r="G5" s="422"/>
      <c r="H5" s="80"/>
      <c r="I5" s="80"/>
      <c r="J5" s="81"/>
      <c r="K5" s="84"/>
      <c r="L5" s="26"/>
      <c r="M5" s="423">
        <f t="shared" si="1"/>
        <v>0</v>
      </c>
      <c r="N5" s="82"/>
      <c r="O5" s="424" t="str">
        <f t="shared" si="2"/>
        <v/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83"/>
    </row>
    <row r="6" spans="1:29">
      <c r="A6" s="76">
        <v>5</v>
      </c>
      <c r="B6" s="77"/>
      <c r="C6" s="78"/>
      <c r="D6" s="26"/>
      <c r="E6" s="79"/>
      <c r="F6" s="79"/>
      <c r="G6" s="422"/>
      <c r="H6" s="81"/>
      <c r="I6" s="81"/>
      <c r="J6" s="81"/>
      <c r="K6" s="26"/>
      <c r="L6" s="26"/>
      <c r="M6" s="423">
        <f t="shared" si="1"/>
        <v>0</v>
      </c>
      <c r="N6" s="82"/>
      <c r="O6" s="424" t="str">
        <f t="shared" si="2"/>
        <v/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>
      <c r="A7" s="76">
        <v>6</v>
      </c>
      <c r="B7" s="77"/>
      <c r="C7" s="78"/>
      <c r="D7" s="26"/>
      <c r="E7" s="79"/>
      <c r="F7" s="79"/>
      <c r="G7" s="422"/>
      <c r="H7" s="81"/>
      <c r="I7" s="81"/>
      <c r="J7" s="81"/>
      <c r="K7" s="26"/>
      <c r="L7" s="26"/>
      <c r="M7" s="423">
        <f t="shared" si="1"/>
        <v>0</v>
      </c>
      <c r="N7" s="82"/>
      <c r="O7" s="424" t="str">
        <f t="shared" si="2"/>
        <v/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3"/>
    </row>
    <row r="8" spans="1:29" hidden="1">
      <c r="A8" s="76">
        <v>7</v>
      </c>
      <c r="B8" s="77"/>
      <c r="C8" s="78"/>
      <c r="D8" s="26"/>
      <c r="E8" s="79"/>
      <c r="F8" s="79"/>
      <c r="G8" s="422"/>
      <c r="H8" s="81"/>
      <c r="I8" s="81"/>
      <c r="J8" s="81"/>
      <c r="K8" s="26"/>
      <c r="L8" s="26"/>
      <c r="M8" s="423"/>
      <c r="N8" s="82"/>
      <c r="O8" s="424" t="str">
        <f t="shared" si="2"/>
        <v/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>
      <c r="A9" s="76">
        <v>8</v>
      </c>
      <c r="B9" s="77"/>
      <c r="C9" s="78"/>
      <c r="D9" s="26"/>
      <c r="E9" s="79"/>
      <c r="F9" s="79"/>
      <c r="G9" s="422"/>
      <c r="H9" s="72"/>
      <c r="I9" s="72"/>
      <c r="J9" s="81"/>
      <c r="K9" s="26"/>
      <c r="L9" s="26"/>
      <c r="M9" s="423">
        <f t="shared" si="1"/>
        <v>0</v>
      </c>
      <c r="N9" s="82"/>
      <c r="O9" s="424" t="str">
        <f t="shared" si="2"/>
        <v/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>
      <c r="A10" s="76">
        <v>9</v>
      </c>
      <c r="B10" s="77"/>
      <c r="C10" s="78"/>
      <c r="D10" s="26"/>
      <c r="E10" s="79"/>
      <c r="F10" s="79"/>
      <c r="G10" s="422"/>
      <c r="H10" s="81"/>
      <c r="I10" s="81"/>
      <c r="J10" s="81"/>
      <c r="K10" s="26"/>
      <c r="L10" s="26"/>
      <c r="M10" s="423">
        <f t="shared" si="1"/>
        <v>0</v>
      </c>
      <c r="N10" s="82"/>
      <c r="O10" s="424" t="str">
        <f t="shared" si="2"/>
        <v/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83"/>
    </row>
    <row r="11" spans="1:29">
      <c r="A11" s="76">
        <v>10</v>
      </c>
      <c r="B11" s="77"/>
      <c r="C11" s="78"/>
      <c r="D11" s="26"/>
      <c r="E11" s="79"/>
      <c r="F11" s="79"/>
      <c r="G11" s="422"/>
      <c r="H11" s="81"/>
      <c r="I11" s="81"/>
      <c r="J11" s="81"/>
      <c r="K11" s="26"/>
      <c r="L11" s="26"/>
      <c r="M11" s="423">
        <f t="shared" si="1"/>
        <v>0</v>
      </c>
      <c r="N11" s="82"/>
      <c r="O11" s="424" t="str">
        <f t="shared" si="2"/>
        <v/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>
      <c r="A12" s="76">
        <v>11</v>
      </c>
      <c r="B12" s="77"/>
      <c r="C12" s="78"/>
      <c r="D12" s="26"/>
      <c r="E12" s="79"/>
      <c r="F12" s="79"/>
      <c r="G12" s="422"/>
      <c r="H12" s="81"/>
      <c r="I12" s="81"/>
      <c r="J12" s="81"/>
      <c r="K12" s="26"/>
      <c r="L12" s="26"/>
      <c r="M12" s="423">
        <f t="shared" si="1"/>
        <v>0</v>
      </c>
      <c r="N12" s="82"/>
      <c r="O12" s="424" t="str">
        <f t="shared" si="2"/>
        <v/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>
      <c r="A13" s="76">
        <v>12</v>
      </c>
      <c r="B13" s="77"/>
      <c r="C13" s="78"/>
      <c r="D13" s="26"/>
      <c r="E13" s="79"/>
      <c r="F13" s="79"/>
      <c r="G13" s="422"/>
      <c r="H13" s="81"/>
      <c r="I13" s="81"/>
      <c r="J13" s="81"/>
      <c r="K13" s="26"/>
      <c r="L13" s="26"/>
      <c r="M13" s="423">
        <f t="shared" si="1"/>
        <v>0</v>
      </c>
      <c r="N13" s="82"/>
      <c r="O13" s="424" t="str">
        <f t="shared" si="2"/>
        <v/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>
      <c r="A14" s="76">
        <v>13</v>
      </c>
      <c r="B14" s="77"/>
      <c r="C14" s="78"/>
      <c r="D14" s="26"/>
      <c r="E14" s="79"/>
      <c r="F14" s="79"/>
      <c r="G14" s="422"/>
      <c r="H14" s="81"/>
      <c r="I14" s="81"/>
      <c r="J14" s="81"/>
      <c r="K14" s="26"/>
      <c r="L14" s="26"/>
      <c r="M14" s="423">
        <f t="shared" si="1"/>
        <v>0</v>
      </c>
      <c r="N14" s="82"/>
      <c r="O14" s="424" t="str">
        <f t="shared" si="2"/>
        <v/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>
      <c r="A15" s="76">
        <v>14</v>
      </c>
      <c r="B15" s="77"/>
      <c r="C15" s="78"/>
      <c r="D15" s="26"/>
      <c r="E15" s="79"/>
      <c r="F15" s="79"/>
      <c r="G15" s="422"/>
      <c r="H15" s="81"/>
      <c r="I15" s="81"/>
      <c r="J15" s="81"/>
      <c r="K15" s="26"/>
      <c r="L15" s="26"/>
      <c r="M15" s="423">
        <f t="shared" si="1"/>
        <v>0</v>
      </c>
      <c r="N15" s="82"/>
      <c r="O15" s="424" t="str">
        <f t="shared" si="2"/>
        <v/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>
      <c r="A16" s="76">
        <v>15</v>
      </c>
      <c r="B16" s="77"/>
      <c r="C16" s="78"/>
      <c r="D16" s="26"/>
      <c r="E16" s="79"/>
      <c r="F16" s="79"/>
      <c r="G16" s="422"/>
      <c r="H16" s="81"/>
      <c r="I16" s="81"/>
      <c r="J16" s="81"/>
      <c r="K16" s="26"/>
      <c r="L16" s="26"/>
      <c r="M16" s="423">
        <f t="shared" si="1"/>
        <v>0</v>
      </c>
      <c r="N16" s="82"/>
      <c r="O16" s="424" t="str">
        <f t="shared" si="2"/>
        <v/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>
      <c r="A17" s="76">
        <v>16</v>
      </c>
      <c r="B17" s="77"/>
      <c r="C17" s="78"/>
      <c r="D17" s="26"/>
      <c r="E17" s="79"/>
      <c r="F17" s="79"/>
      <c r="G17" s="422"/>
      <c r="H17" s="81"/>
      <c r="I17" s="81"/>
      <c r="J17" s="81"/>
      <c r="K17" s="26"/>
      <c r="L17" s="26"/>
      <c r="M17" s="423">
        <f t="shared" si="1"/>
        <v>0</v>
      </c>
      <c r="N17" s="82"/>
      <c r="O17" s="424" t="str">
        <f t="shared" si="2"/>
        <v/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>
      <c r="A18" s="76">
        <v>17</v>
      </c>
      <c r="B18" s="77"/>
      <c r="C18" s="78"/>
      <c r="D18" s="26"/>
      <c r="E18" s="79"/>
      <c r="F18" s="79"/>
      <c r="G18" s="422"/>
      <c r="H18" s="81"/>
      <c r="I18" s="81"/>
      <c r="J18" s="81"/>
      <c r="K18" s="26"/>
      <c r="L18" s="26"/>
      <c r="M18" s="423">
        <f t="shared" si="1"/>
        <v>0</v>
      </c>
      <c r="N18" s="82"/>
      <c r="O18" s="424" t="str">
        <f t="shared" si="2"/>
        <v/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>
      <c r="A19" s="76">
        <v>18</v>
      </c>
      <c r="B19" s="77"/>
      <c r="C19" s="78"/>
      <c r="D19" s="26"/>
      <c r="E19" s="79"/>
      <c r="F19" s="79"/>
      <c r="G19" s="422"/>
      <c r="H19" s="81"/>
      <c r="I19" s="81"/>
      <c r="J19" s="81"/>
      <c r="K19" s="26"/>
      <c r="L19" s="26"/>
      <c r="M19" s="423">
        <f t="shared" si="1"/>
        <v>0</v>
      </c>
      <c r="N19" s="82"/>
      <c r="O19" s="424" t="str">
        <f t="shared" si="2"/>
        <v/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>
      <c r="A20" s="76">
        <v>19</v>
      </c>
      <c r="B20" s="77"/>
      <c r="C20" s="78"/>
      <c r="D20" s="26"/>
      <c r="E20" s="79"/>
      <c r="F20" s="79"/>
      <c r="G20" s="422"/>
      <c r="H20" s="81"/>
      <c r="I20" s="81"/>
      <c r="J20" s="81"/>
      <c r="K20" s="26"/>
      <c r="L20" s="26"/>
      <c r="M20" s="423">
        <f t="shared" si="1"/>
        <v>0</v>
      </c>
      <c r="N20" s="82"/>
      <c r="O20" s="424" t="str">
        <f t="shared" si="2"/>
        <v/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>
      <c r="A21" s="76">
        <v>20</v>
      </c>
      <c r="B21" s="77"/>
      <c r="C21" s="78"/>
      <c r="D21" s="26"/>
      <c r="E21" s="79"/>
      <c r="F21" s="79"/>
      <c r="G21" s="422"/>
      <c r="H21" s="81"/>
      <c r="I21" s="81"/>
      <c r="J21" s="81"/>
      <c r="K21" s="26"/>
      <c r="L21" s="26"/>
      <c r="M21" s="423">
        <f t="shared" si="1"/>
        <v>0</v>
      </c>
      <c r="N21" s="82"/>
      <c r="O21" s="424" t="str">
        <f t="shared" si="2"/>
        <v/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>
      <c r="A22" s="76">
        <v>21</v>
      </c>
      <c r="B22" s="77"/>
      <c r="C22" s="78"/>
      <c r="D22" s="26"/>
      <c r="E22" s="79"/>
      <c r="F22" s="79"/>
      <c r="G22" s="422"/>
      <c r="H22" s="81"/>
      <c r="I22" s="81"/>
      <c r="J22" s="81"/>
      <c r="K22" s="26"/>
      <c r="L22" s="26"/>
      <c r="M22" s="423">
        <f t="shared" si="1"/>
        <v>0</v>
      </c>
      <c r="N22" s="82"/>
      <c r="O22" s="424" t="str">
        <f t="shared" si="2"/>
        <v/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>
      <c r="A23" s="76">
        <v>22</v>
      </c>
      <c r="B23" s="77"/>
      <c r="C23" s="78"/>
      <c r="D23" s="26"/>
      <c r="E23" s="79"/>
      <c r="F23" s="79"/>
      <c r="G23" s="422"/>
      <c r="H23" s="81"/>
      <c r="I23" s="81"/>
      <c r="J23" s="81"/>
      <c r="K23" s="26"/>
      <c r="L23" s="26"/>
      <c r="M23" s="423">
        <f t="shared" si="1"/>
        <v>0</v>
      </c>
      <c r="N23" s="82"/>
      <c r="O23" s="424" t="str">
        <f t="shared" si="2"/>
        <v/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>
      <c r="A24" s="76">
        <v>23</v>
      </c>
      <c r="B24" s="77"/>
      <c r="C24" s="78"/>
      <c r="D24" s="26"/>
      <c r="E24" s="79"/>
      <c r="F24" s="79"/>
      <c r="G24" s="422"/>
      <c r="H24" s="81"/>
      <c r="I24" s="81"/>
      <c r="J24" s="81"/>
      <c r="K24" s="26"/>
      <c r="L24" s="26"/>
      <c r="M24" s="423">
        <f t="shared" si="1"/>
        <v>0</v>
      </c>
      <c r="N24" s="82"/>
      <c r="O24" s="424" t="str">
        <f t="shared" si="2"/>
        <v/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>
      <c r="A25" s="76">
        <v>24</v>
      </c>
      <c r="B25" s="77"/>
      <c r="C25" s="78"/>
      <c r="D25" s="26"/>
      <c r="E25" s="79"/>
      <c r="F25" s="79"/>
      <c r="G25" s="422"/>
      <c r="H25" s="81"/>
      <c r="I25" s="81"/>
      <c r="J25" s="81"/>
      <c r="K25" s="26"/>
      <c r="L25" s="26"/>
      <c r="M25" s="423">
        <f t="shared" si="1"/>
        <v>0</v>
      </c>
      <c r="N25" s="82"/>
      <c r="O25" s="424" t="str">
        <f t="shared" si="2"/>
        <v/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>
      <c r="A26" s="76">
        <v>25</v>
      </c>
      <c r="B26" s="77"/>
      <c r="C26" s="78"/>
      <c r="D26" s="26"/>
      <c r="E26" s="79"/>
      <c r="F26" s="79"/>
      <c r="G26" s="422"/>
      <c r="H26" s="81"/>
      <c r="I26" s="81"/>
      <c r="J26" s="81"/>
      <c r="K26" s="26"/>
      <c r="L26" s="26"/>
      <c r="M26" s="423">
        <f t="shared" si="1"/>
        <v>0</v>
      </c>
      <c r="N26" s="82"/>
      <c r="O26" s="424" t="str">
        <f t="shared" si="2"/>
        <v/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>
      <c r="A27" s="76">
        <v>26</v>
      </c>
      <c r="B27" s="77"/>
      <c r="C27" s="78"/>
      <c r="D27" s="26"/>
      <c r="E27" s="79"/>
      <c r="F27" s="79"/>
      <c r="G27" s="422"/>
      <c r="H27" s="81"/>
      <c r="I27" s="81"/>
      <c r="J27" s="81"/>
      <c r="K27" s="26"/>
      <c r="L27" s="26"/>
      <c r="M27" s="423">
        <f t="shared" si="1"/>
        <v>0</v>
      </c>
      <c r="N27" s="82"/>
      <c r="O27" s="424" t="str">
        <f t="shared" si="2"/>
        <v/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>
      <c r="A28" s="76">
        <v>27</v>
      </c>
      <c r="B28" s="77"/>
      <c r="C28" s="78"/>
      <c r="D28" s="26"/>
      <c r="E28" s="79"/>
      <c r="F28" s="79"/>
      <c r="G28" s="422"/>
      <c r="H28" s="81"/>
      <c r="I28" s="81"/>
      <c r="J28" s="81"/>
      <c r="K28" s="26"/>
      <c r="L28" s="26"/>
      <c r="M28" s="423">
        <f t="shared" si="1"/>
        <v>0</v>
      </c>
      <c r="N28" s="82"/>
      <c r="O28" s="424" t="str">
        <f t="shared" si="2"/>
        <v/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>
      <c r="A29" s="76">
        <v>28</v>
      </c>
      <c r="B29" s="77"/>
      <c r="C29" s="78"/>
      <c r="D29" s="26"/>
      <c r="E29" s="79"/>
      <c r="F29" s="79"/>
      <c r="G29" s="422"/>
      <c r="H29" s="81"/>
      <c r="I29" s="81"/>
      <c r="J29" s="81"/>
      <c r="K29" s="26"/>
      <c r="L29" s="26"/>
      <c r="M29" s="423">
        <f t="shared" si="1"/>
        <v>0</v>
      </c>
      <c r="N29" s="82"/>
      <c r="O29" s="424" t="str">
        <f t="shared" si="2"/>
        <v/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>
      <c r="A30" s="76">
        <v>29</v>
      </c>
      <c r="B30" s="77"/>
      <c r="C30" s="78"/>
      <c r="D30" s="26"/>
      <c r="E30" s="79"/>
      <c r="F30" s="79"/>
      <c r="G30" s="422"/>
      <c r="H30" s="81"/>
      <c r="I30" s="81"/>
      <c r="J30" s="81"/>
      <c r="K30" s="26"/>
      <c r="L30" s="26"/>
      <c r="M30" s="423">
        <f t="shared" si="1"/>
        <v>0</v>
      </c>
      <c r="N30" s="82"/>
      <c r="O30" s="424" t="str">
        <f t="shared" si="2"/>
        <v/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>
      <c r="A31" s="76">
        <v>30</v>
      </c>
      <c r="B31" s="77"/>
      <c r="C31" s="78"/>
      <c r="D31" s="26"/>
      <c r="E31" s="79"/>
      <c r="F31" s="79"/>
      <c r="G31" s="422"/>
      <c r="H31" s="81"/>
      <c r="I31" s="81"/>
      <c r="J31" s="81"/>
      <c r="K31" s="26"/>
      <c r="L31" s="26"/>
      <c r="M31" s="423">
        <f t="shared" si="1"/>
        <v>0</v>
      </c>
      <c r="N31" s="82"/>
      <c r="O31" s="424" t="str">
        <f t="shared" si="2"/>
        <v/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>
      <c r="A32" s="76">
        <v>31</v>
      </c>
      <c r="B32" s="77"/>
      <c r="C32" s="78"/>
      <c r="D32" s="26"/>
      <c r="E32" s="79"/>
      <c r="F32" s="79"/>
      <c r="G32" s="422"/>
      <c r="H32" s="81"/>
      <c r="I32" s="81"/>
      <c r="J32" s="81"/>
      <c r="K32" s="26"/>
      <c r="L32" s="26"/>
      <c r="M32" s="423">
        <f t="shared" si="1"/>
        <v>0</v>
      </c>
      <c r="N32" s="82"/>
      <c r="O32" s="424" t="str">
        <f t="shared" si="2"/>
        <v/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>
      <c r="A33" s="76">
        <v>32</v>
      </c>
      <c r="B33" s="77"/>
      <c r="C33" s="78"/>
      <c r="D33" s="26"/>
      <c r="E33" s="79"/>
      <c r="F33" s="79"/>
      <c r="G33" s="422"/>
      <c r="H33" s="81"/>
      <c r="I33" s="81"/>
      <c r="J33" s="81"/>
      <c r="K33" s="26"/>
      <c r="L33" s="26"/>
      <c r="M33" s="423">
        <f t="shared" si="1"/>
        <v>0</v>
      </c>
      <c r="N33" s="82"/>
      <c r="O33" s="424" t="str">
        <f t="shared" si="2"/>
        <v/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>
      <c r="A34" s="76">
        <v>33</v>
      </c>
      <c r="B34" s="77"/>
      <c r="C34" s="78"/>
      <c r="D34" s="26"/>
      <c r="E34" s="79"/>
      <c r="F34" s="79"/>
      <c r="G34" s="422"/>
      <c r="H34" s="81"/>
      <c r="I34" s="81"/>
      <c r="J34" s="81"/>
      <c r="K34" s="26"/>
      <c r="L34" s="26"/>
      <c r="M34" s="423">
        <f t="shared" si="1"/>
        <v>0</v>
      </c>
      <c r="N34" s="82"/>
      <c r="O34" s="424" t="str">
        <f t="shared" si="2"/>
        <v/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>
      <c r="A35" s="76">
        <v>34</v>
      </c>
      <c r="B35" s="77"/>
      <c r="C35" s="78"/>
      <c r="D35" s="26"/>
      <c r="E35" s="79"/>
      <c r="F35" s="79"/>
      <c r="G35" s="422"/>
      <c r="H35" s="81"/>
      <c r="I35" s="81"/>
      <c r="J35" s="81"/>
      <c r="K35" s="26"/>
      <c r="L35" s="26"/>
      <c r="M35" s="423">
        <f t="shared" si="1"/>
        <v>0</v>
      </c>
      <c r="N35" s="82"/>
      <c r="O35" s="424" t="str">
        <f t="shared" si="2"/>
        <v/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>
      <c r="A36" s="76">
        <v>35</v>
      </c>
      <c r="B36" s="77"/>
      <c r="C36" s="78"/>
      <c r="D36" s="26"/>
      <c r="E36" s="79"/>
      <c r="F36" s="79"/>
      <c r="G36" s="422"/>
      <c r="H36" s="81"/>
      <c r="I36" s="81"/>
      <c r="J36" s="81"/>
      <c r="K36" s="26"/>
      <c r="L36" s="26"/>
      <c r="M36" s="423">
        <f t="shared" si="1"/>
        <v>0</v>
      </c>
      <c r="N36" s="82"/>
      <c r="O36" s="424" t="str">
        <f t="shared" si="2"/>
        <v/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>
      <c r="A37" s="76">
        <v>36</v>
      </c>
      <c r="B37" s="77"/>
      <c r="C37" s="78"/>
      <c r="D37" s="26"/>
      <c r="E37" s="79"/>
      <c r="F37" s="79"/>
      <c r="G37" s="422"/>
      <c r="H37" s="81"/>
      <c r="I37" s="81"/>
      <c r="J37" s="81"/>
      <c r="K37" s="26"/>
      <c r="L37" s="26"/>
      <c r="M37" s="423">
        <f t="shared" si="1"/>
        <v>0</v>
      </c>
      <c r="N37" s="82"/>
      <c r="O37" s="424" t="str">
        <f t="shared" si="2"/>
        <v/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>
      <c r="A38" s="76">
        <v>37</v>
      </c>
      <c r="B38" s="77"/>
      <c r="C38" s="78"/>
      <c r="D38" s="26"/>
      <c r="E38" s="79"/>
      <c r="F38" s="79"/>
      <c r="G38" s="422"/>
      <c r="H38" s="81"/>
      <c r="I38" s="81"/>
      <c r="J38" s="81"/>
      <c r="K38" s="26"/>
      <c r="L38" s="26"/>
      <c r="M38" s="423">
        <f t="shared" si="1"/>
        <v>0</v>
      </c>
      <c r="N38" s="82"/>
      <c r="O38" s="424" t="str">
        <f t="shared" si="2"/>
        <v/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>
      <c r="A39" s="76">
        <v>38</v>
      </c>
      <c r="B39" s="77"/>
      <c r="C39" s="78"/>
      <c r="D39" s="26"/>
      <c r="E39" s="79"/>
      <c r="F39" s="79"/>
      <c r="G39" s="422"/>
      <c r="H39" s="81"/>
      <c r="I39" s="81"/>
      <c r="J39" s="81"/>
      <c r="K39" s="26"/>
      <c r="L39" s="26"/>
      <c r="M39" s="423">
        <f t="shared" si="1"/>
        <v>0</v>
      </c>
      <c r="N39" s="82"/>
      <c r="O39" s="424" t="str">
        <f t="shared" si="2"/>
        <v/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>
      <c r="A40" s="76">
        <v>39</v>
      </c>
      <c r="B40" s="77"/>
      <c r="C40" s="78"/>
      <c r="D40" s="26"/>
      <c r="E40" s="79"/>
      <c r="F40" s="79"/>
      <c r="G40" s="422"/>
      <c r="H40" s="81"/>
      <c r="I40" s="81"/>
      <c r="J40" s="81"/>
      <c r="K40" s="26"/>
      <c r="L40" s="26"/>
      <c r="M40" s="423">
        <f t="shared" si="1"/>
        <v>0</v>
      </c>
      <c r="N40" s="82"/>
      <c r="O40" s="424" t="str">
        <f t="shared" si="2"/>
        <v/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>
      <c r="A41" s="76">
        <v>40</v>
      </c>
      <c r="B41" s="77"/>
      <c r="C41" s="78"/>
      <c r="D41" s="26"/>
      <c r="E41" s="79"/>
      <c r="F41" s="79"/>
      <c r="G41" s="422"/>
      <c r="H41" s="81"/>
      <c r="I41" s="81"/>
      <c r="J41" s="81"/>
      <c r="K41" s="26"/>
      <c r="L41" s="26"/>
      <c r="M41" s="423">
        <f t="shared" si="1"/>
        <v>0</v>
      </c>
      <c r="N41" s="82"/>
      <c r="O41" s="424" t="str">
        <f t="shared" si="2"/>
        <v/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>
      <c r="A42" s="76">
        <v>41</v>
      </c>
      <c r="B42" s="77"/>
      <c r="C42" s="78"/>
      <c r="D42" s="26"/>
      <c r="E42" s="79"/>
      <c r="F42" s="79"/>
      <c r="G42" s="422"/>
      <c r="H42" s="81"/>
      <c r="I42" s="81"/>
      <c r="J42" s="81"/>
      <c r="K42" s="26"/>
      <c r="L42" s="26"/>
      <c r="M42" s="423">
        <f t="shared" si="1"/>
        <v>0</v>
      </c>
      <c r="N42" s="82"/>
      <c r="O42" s="424" t="str">
        <f t="shared" si="2"/>
        <v/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>
      <c r="A43" s="76">
        <v>42</v>
      </c>
      <c r="B43" s="77"/>
      <c r="C43" s="78"/>
      <c r="D43" s="26"/>
      <c r="E43" s="79"/>
      <c r="F43" s="79"/>
      <c r="G43" s="422"/>
      <c r="H43" s="81"/>
      <c r="I43" s="81"/>
      <c r="J43" s="81"/>
      <c r="K43" s="26"/>
      <c r="L43" s="26"/>
      <c r="M43" s="423">
        <f t="shared" si="1"/>
        <v>0</v>
      </c>
      <c r="N43" s="82"/>
      <c r="O43" s="424" t="str">
        <f t="shared" si="2"/>
        <v/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>
      <c r="A44" s="76">
        <v>43</v>
      </c>
      <c r="B44" s="77"/>
      <c r="C44" s="78"/>
      <c r="D44" s="26"/>
      <c r="E44" s="79"/>
      <c r="F44" s="79"/>
      <c r="G44" s="422"/>
      <c r="H44" s="81"/>
      <c r="I44" s="81"/>
      <c r="J44" s="81"/>
      <c r="K44" s="26"/>
      <c r="L44" s="26"/>
      <c r="M44" s="423">
        <f t="shared" si="1"/>
        <v>0</v>
      </c>
      <c r="N44" s="82"/>
      <c r="O44" s="424" t="str">
        <f t="shared" si="2"/>
        <v/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>
      <c r="A45" s="76">
        <v>44</v>
      </c>
      <c r="B45" s="77"/>
      <c r="C45" s="78"/>
      <c r="D45" s="26"/>
      <c r="E45" s="79"/>
      <c r="F45" s="79"/>
      <c r="G45" s="422"/>
      <c r="H45" s="81"/>
      <c r="I45" s="81"/>
      <c r="J45" s="81"/>
      <c r="K45" s="26"/>
      <c r="L45" s="26"/>
      <c r="M45" s="423">
        <f t="shared" si="1"/>
        <v>0</v>
      </c>
      <c r="N45" s="82"/>
      <c r="O45" s="424" t="str">
        <f t="shared" si="2"/>
        <v/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>
      <c r="A46" s="76">
        <v>45</v>
      </c>
      <c r="B46" s="77"/>
      <c r="C46" s="78"/>
      <c r="D46" s="26"/>
      <c r="E46" s="79"/>
      <c r="F46" s="79"/>
      <c r="G46" s="422"/>
      <c r="H46" s="81"/>
      <c r="I46" s="81"/>
      <c r="J46" s="81"/>
      <c r="K46" s="26"/>
      <c r="L46" s="26"/>
      <c r="M46" s="423">
        <f t="shared" si="1"/>
        <v>0</v>
      </c>
      <c r="N46" s="82"/>
      <c r="O46" s="424" t="str">
        <f t="shared" si="2"/>
        <v/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>
      <c r="A47" s="76">
        <v>46</v>
      </c>
      <c r="B47" s="77"/>
      <c r="C47" s="78"/>
      <c r="D47" s="26"/>
      <c r="E47" s="79"/>
      <c r="F47" s="79"/>
      <c r="G47" s="422"/>
      <c r="H47" s="81"/>
      <c r="I47" s="81"/>
      <c r="J47" s="81"/>
      <c r="K47" s="26"/>
      <c r="L47" s="26"/>
      <c r="M47" s="423">
        <f t="shared" si="1"/>
        <v>0</v>
      </c>
      <c r="N47" s="82"/>
      <c r="O47" s="424" t="str">
        <f t="shared" si="2"/>
        <v/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>
      <c r="A48" s="76">
        <v>47</v>
      </c>
      <c r="B48" s="77"/>
      <c r="C48" s="78"/>
      <c r="D48" s="26"/>
      <c r="E48" s="79"/>
      <c r="F48" s="79"/>
      <c r="G48" s="422"/>
      <c r="H48" s="81"/>
      <c r="I48" s="81"/>
      <c r="J48" s="81"/>
      <c r="K48" s="26"/>
      <c r="L48" s="26"/>
      <c r="M48" s="423">
        <f t="shared" si="1"/>
        <v>0</v>
      </c>
      <c r="N48" s="82"/>
      <c r="O48" s="424" t="str">
        <f t="shared" si="2"/>
        <v/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>
      <c r="A49" s="76">
        <v>48</v>
      </c>
      <c r="B49" s="77"/>
      <c r="C49" s="78"/>
      <c r="D49" s="26"/>
      <c r="E49" s="79"/>
      <c r="F49" s="79"/>
      <c r="G49" s="422"/>
      <c r="H49" s="81"/>
      <c r="I49" s="81"/>
      <c r="J49" s="81"/>
      <c r="K49" s="26"/>
      <c r="L49" s="26"/>
      <c r="M49" s="423">
        <f t="shared" si="1"/>
        <v>0</v>
      </c>
      <c r="N49" s="82"/>
      <c r="O49" s="424" t="str">
        <f t="shared" si="2"/>
        <v/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76">
        <v>49</v>
      </c>
      <c r="B50" s="77"/>
      <c r="C50" s="78"/>
      <c r="D50" s="26"/>
      <c r="E50" s="79"/>
      <c r="F50" s="79"/>
      <c r="G50" s="422"/>
      <c r="H50" s="81"/>
      <c r="I50" s="81"/>
      <c r="J50" s="81"/>
      <c r="K50" s="26"/>
      <c r="L50" s="26"/>
      <c r="M50" s="423">
        <f t="shared" si="1"/>
        <v>0</v>
      </c>
      <c r="N50" s="82"/>
      <c r="O50" s="424" t="str">
        <f t="shared" si="2"/>
        <v/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76">
        <v>50</v>
      </c>
      <c r="B51" s="77"/>
      <c r="C51" s="78"/>
      <c r="D51" s="26"/>
      <c r="E51" s="79"/>
      <c r="F51" s="79"/>
      <c r="G51" s="422"/>
      <c r="H51" s="81"/>
      <c r="I51" s="81"/>
      <c r="J51" s="81"/>
      <c r="K51" s="26"/>
      <c r="L51" s="26"/>
      <c r="M51" s="423">
        <f t="shared" si="1"/>
        <v>0</v>
      </c>
      <c r="N51" s="82"/>
      <c r="O51" s="424" t="str">
        <f t="shared" si="2"/>
        <v/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76">
        <v>51</v>
      </c>
      <c r="B52" s="77"/>
      <c r="C52" s="78"/>
      <c r="D52" s="26"/>
      <c r="E52" s="79"/>
      <c r="F52" s="79"/>
      <c r="G52" s="422"/>
      <c r="H52" s="81"/>
      <c r="I52" s="81"/>
      <c r="J52" s="81"/>
      <c r="K52" s="26"/>
      <c r="L52" s="26"/>
      <c r="M52" s="423">
        <f t="shared" si="1"/>
        <v>0</v>
      </c>
      <c r="N52" s="82"/>
      <c r="O52" s="424" t="str">
        <f t="shared" si="2"/>
        <v/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76">
        <v>52</v>
      </c>
      <c r="B53" s="77"/>
      <c r="C53" s="78"/>
      <c r="D53" s="26"/>
      <c r="E53" s="79"/>
      <c r="F53" s="79"/>
      <c r="G53" s="422"/>
      <c r="H53" s="81"/>
      <c r="I53" s="81"/>
      <c r="J53" s="81"/>
      <c r="K53" s="26"/>
      <c r="L53" s="26"/>
      <c r="M53" s="423">
        <f t="shared" si="1"/>
        <v>0</v>
      </c>
      <c r="N53" s="82"/>
      <c r="O53" s="424" t="str">
        <f t="shared" si="2"/>
        <v/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76">
        <v>53</v>
      </c>
      <c r="B54" s="77"/>
      <c r="C54" s="78"/>
      <c r="D54" s="26"/>
      <c r="E54" s="79"/>
      <c r="F54" s="79"/>
      <c r="G54" s="422"/>
      <c r="H54" s="81"/>
      <c r="I54" s="81"/>
      <c r="J54" s="81"/>
      <c r="K54" s="26"/>
      <c r="L54" s="26"/>
      <c r="M54" s="423">
        <f t="shared" si="1"/>
        <v>0</v>
      </c>
      <c r="N54" s="82"/>
      <c r="O54" s="424" t="str">
        <f t="shared" si="2"/>
        <v/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76">
        <v>54</v>
      </c>
      <c r="B55" s="77"/>
      <c r="C55" s="78"/>
      <c r="D55" s="26"/>
      <c r="E55" s="79"/>
      <c r="F55" s="79"/>
      <c r="G55" s="422"/>
      <c r="H55" s="81"/>
      <c r="I55" s="81"/>
      <c r="J55" s="81"/>
      <c r="K55" s="26"/>
      <c r="L55" s="26"/>
      <c r="M55" s="423">
        <f t="shared" si="1"/>
        <v>0</v>
      </c>
      <c r="N55" s="82"/>
      <c r="O55" s="424" t="str">
        <f t="shared" si="2"/>
        <v/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76">
        <v>55</v>
      </c>
      <c r="B56" s="77"/>
      <c r="C56" s="78"/>
      <c r="D56" s="26"/>
      <c r="E56" s="79"/>
      <c r="F56" s="79"/>
      <c r="G56" s="422"/>
      <c r="H56" s="81"/>
      <c r="I56" s="81"/>
      <c r="J56" s="81"/>
      <c r="K56" s="26"/>
      <c r="L56" s="26"/>
      <c r="M56" s="423">
        <f t="shared" si="1"/>
        <v>0</v>
      </c>
      <c r="N56" s="82"/>
      <c r="O56" s="424" t="str">
        <f t="shared" si="2"/>
        <v/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76">
        <v>56</v>
      </c>
      <c r="B57" s="77"/>
      <c r="C57" s="78"/>
      <c r="D57" s="26"/>
      <c r="E57" s="79"/>
      <c r="F57" s="79"/>
      <c r="G57" s="422"/>
      <c r="H57" s="81"/>
      <c r="I57" s="81"/>
      <c r="J57" s="81"/>
      <c r="K57" s="26"/>
      <c r="L57" s="26"/>
      <c r="M57" s="423">
        <f t="shared" si="1"/>
        <v>0</v>
      </c>
      <c r="N57" s="82"/>
      <c r="O57" s="424" t="str">
        <f t="shared" si="2"/>
        <v/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76">
        <v>57</v>
      </c>
      <c r="B58" s="77"/>
      <c r="C58" s="78"/>
      <c r="D58" s="26"/>
      <c r="E58" s="79"/>
      <c r="F58" s="79"/>
      <c r="G58" s="422"/>
      <c r="H58" s="81"/>
      <c r="I58" s="81"/>
      <c r="J58" s="81"/>
      <c r="K58" s="26"/>
      <c r="L58" s="26"/>
      <c r="M58" s="423">
        <f t="shared" si="1"/>
        <v>0</v>
      </c>
      <c r="N58" s="82"/>
      <c r="O58" s="424" t="str">
        <f t="shared" si="2"/>
        <v/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76">
        <v>58</v>
      </c>
      <c r="B59" s="77"/>
      <c r="C59" s="78"/>
      <c r="D59" s="26"/>
      <c r="E59" s="79"/>
      <c r="F59" s="79"/>
      <c r="G59" s="422"/>
      <c r="H59" s="81"/>
      <c r="I59" s="81"/>
      <c r="J59" s="81"/>
      <c r="K59" s="26"/>
      <c r="L59" s="26"/>
      <c r="M59" s="423">
        <f t="shared" si="1"/>
        <v>0</v>
      </c>
      <c r="N59" s="82"/>
      <c r="O59" s="424" t="str">
        <f t="shared" si="2"/>
        <v/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76">
        <v>59</v>
      </c>
      <c r="B60" s="77"/>
      <c r="C60" s="78"/>
      <c r="D60" s="26"/>
      <c r="E60" s="79"/>
      <c r="F60" s="79"/>
      <c r="G60" s="422"/>
      <c r="H60" s="81"/>
      <c r="I60" s="81"/>
      <c r="J60" s="81"/>
      <c r="K60" s="26"/>
      <c r="L60" s="26"/>
      <c r="M60" s="423">
        <f t="shared" si="1"/>
        <v>0</v>
      </c>
      <c r="N60" s="82"/>
      <c r="O60" s="424" t="str">
        <f t="shared" si="2"/>
        <v/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76">
        <v>60</v>
      </c>
      <c r="B61" s="77"/>
      <c r="C61" s="78"/>
      <c r="D61" s="26"/>
      <c r="E61" s="79"/>
      <c r="F61" s="79"/>
      <c r="G61" s="422"/>
      <c r="H61" s="81"/>
      <c r="I61" s="81"/>
      <c r="J61" s="81"/>
      <c r="K61" s="26"/>
      <c r="L61" s="26"/>
      <c r="M61" s="423">
        <f t="shared" si="1"/>
        <v>0</v>
      </c>
      <c r="N61" s="82"/>
      <c r="O61" s="424" t="str">
        <f t="shared" si="2"/>
        <v/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76">
        <v>61</v>
      </c>
      <c r="B62" s="77"/>
      <c r="C62" s="78"/>
      <c r="D62" s="26"/>
      <c r="E62" s="79"/>
      <c r="F62" s="79"/>
      <c r="G62" s="422"/>
      <c r="H62" s="81"/>
      <c r="I62" s="81"/>
      <c r="J62" s="81"/>
      <c r="K62" s="26"/>
      <c r="L62" s="26"/>
      <c r="M62" s="423">
        <f t="shared" si="1"/>
        <v>0</v>
      </c>
      <c r="N62" s="82"/>
      <c r="O62" s="424" t="str">
        <f t="shared" si="2"/>
        <v/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76">
        <v>62</v>
      </c>
      <c r="B63" s="77"/>
      <c r="C63" s="78"/>
      <c r="D63" s="26"/>
      <c r="E63" s="79"/>
      <c r="F63" s="79"/>
      <c r="G63" s="422"/>
      <c r="H63" s="81"/>
      <c r="I63" s="81"/>
      <c r="J63" s="81"/>
      <c r="K63" s="26"/>
      <c r="L63" s="26"/>
      <c r="M63" s="423">
        <f t="shared" si="1"/>
        <v>0</v>
      </c>
      <c r="N63" s="82"/>
      <c r="O63" s="424" t="str">
        <f t="shared" si="2"/>
        <v/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76">
        <v>63</v>
      </c>
      <c r="B64" s="77"/>
      <c r="C64" s="78"/>
      <c r="D64" s="26"/>
      <c r="E64" s="79"/>
      <c r="F64" s="79"/>
      <c r="G64" s="422"/>
      <c r="H64" s="81"/>
      <c r="I64" s="81"/>
      <c r="J64" s="81"/>
      <c r="K64" s="26"/>
      <c r="L64" s="26"/>
      <c r="M64" s="423">
        <f t="shared" si="1"/>
        <v>0</v>
      </c>
      <c r="N64" s="82"/>
      <c r="O64" s="424" t="str">
        <f t="shared" si="2"/>
        <v/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76">
        <v>64</v>
      </c>
      <c r="B65" s="77"/>
      <c r="C65" s="78"/>
      <c r="D65" s="26"/>
      <c r="E65" s="79"/>
      <c r="F65" s="79"/>
      <c r="G65" s="422"/>
      <c r="H65" s="81"/>
      <c r="I65" s="81"/>
      <c r="J65" s="81"/>
      <c r="K65" s="26"/>
      <c r="L65" s="26"/>
      <c r="M65" s="423">
        <f t="shared" si="1"/>
        <v>0</v>
      </c>
      <c r="N65" s="82"/>
      <c r="O65" s="424" t="str">
        <f t="shared" si="2"/>
        <v/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76">
        <v>65</v>
      </c>
      <c r="B66" s="77"/>
      <c r="C66" s="78"/>
      <c r="D66" s="26"/>
      <c r="E66" s="79"/>
      <c r="F66" s="79"/>
      <c r="G66" s="422"/>
      <c r="H66" s="81"/>
      <c r="I66" s="81"/>
      <c r="J66" s="81"/>
      <c r="K66" s="26"/>
      <c r="L66" s="26"/>
      <c r="M66" s="423">
        <f t="shared" si="1"/>
        <v>0</v>
      </c>
      <c r="N66" s="82"/>
      <c r="O66" s="424" t="str">
        <f t="shared" si="2"/>
        <v/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76">
        <v>66</v>
      </c>
      <c r="B67" s="77"/>
      <c r="C67" s="78"/>
      <c r="D67" s="26"/>
      <c r="E67" s="79"/>
      <c r="F67" s="79"/>
      <c r="G67" s="422"/>
      <c r="H67" s="81"/>
      <c r="I67" s="81"/>
      <c r="J67" s="81"/>
      <c r="K67" s="26"/>
      <c r="L67" s="26"/>
      <c r="M67" s="423">
        <f t="shared" ref="M67:M70" si="3">K67-L67</f>
        <v>0</v>
      </c>
      <c r="N67" s="82"/>
      <c r="O67" s="424" t="str">
        <f t="shared" ref="O67:O70" si="4">IF(AND(N67="Yes",M67&gt;=12),J67,IF(AND(N67="Yes",M67&lt;12),J67*M67/12,""))</f>
        <v/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76">
        <v>67</v>
      </c>
      <c r="B68" s="77"/>
      <c r="C68" s="78"/>
      <c r="D68" s="26"/>
      <c r="E68" s="79"/>
      <c r="F68" s="79"/>
      <c r="G68" s="422"/>
      <c r="H68" s="81"/>
      <c r="I68" s="81"/>
      <c r="J68" s="81"/>
      <c r="K68" s="26"/>
      <c r="L68" s="26"/>
      <c r="M68" s="423">
        <f t="shared" si="3"/>
        <v>0</v>
      </c>
      <c r="N68" s="82"/>
      <c r="O68" s="424" t="str">
        <f t="shared" si="4"/>
        <v/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76">
        <v>68</v>
      </c>
      <c r="B69" s="77"/>
      <c r="C69" s="78"/>
      <c r="D69" s="26"/>
      <c r="E69" s="79"/>
      <c r="F69" s="79"/>
      <c r="G69" s="422"/>
      <c r="H69" s="81"/>
      <c r="I69" s="81"/>
      <c r="J69" s="81"/>
      <c r="K69" s="26"/>
      <c r="L69" s="26"/>
      <c r="M69" s="423">
        <f t="shared" si="3"/>
        <v>0</v>
      </c>
      <c r="N69" s="82"/>
      <c r="O69" s="424" t="str">
        <f t="shared" si="4"/>
        <v/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76">
        <v>69</v>
      </c>
      <c r="B70" s="77"/>
      <c r="C70" s="78"/>
      <c r="D70" s="26"/>
      <c r="E70" s="79"/>
      <c r="F70" s="79"/>
      <c r="G70" s="422"/>
      <c r="H70" s="81"/>
      <c r="I70" s="81"/>
      <c r="J70" s="81"/>
      <c r="K70" s="26"/>
      <c r="L70" s="26"/>
      <c r="M70" s="423">
        <f t="shared" si="3"/>
        <v>0</v>
      </c>
      <c r="N70" s="82"/>
      <c r="O70" s="424" t="str">
        <f t="shared" si="4"/>
        <v/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"/>
      <c r="B71" s="2"/>
      <c r="C71" s="2"/>
      <c r="D71" s="2"/>
      <c r="E71" s="2"/>
      <c r="F71" s="2"/>
      <c r="G71" s="1" t="s">
        <v>52</v>
      </c>
      <c r="H71" s="5">
        <f>SUM(H2:H70)</f>
        <v>0</v>
      </c>
      <c r="I71" s="5"/>
      <c r="J71" s="5">
        <f>SUM(J2:J70)</f>
        <v>0</v>
      </c>
      <c r="K71" s="2"/>
      <c r="L71" s="2"/>
      <c r="M71" s="2"/>
      <c r="N71" s="11"/>
      <c r="O71" s="7">
        <f>SUM(O2:O70)</f>
        <v>0</v>
      </c>
      <c r="P71" s="7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7" spans="1:29">
      <c r="AC77" s="3"/>
    </row>
    <row r="78" spans="1:29">
      <c r="S78" s="6"/>
    </row>
    <row r="79" spans="1:29">
      <c r="K79" s="3"/>
      <c r="AC79" s="3"/>
    </row>
    <row r="87" spans="21:21">
      <c r="U87">
        <f>0.18</f>
        <v>0.18</v>
      </c>
    </row>
  </sheetData>
  <sheetProtection algorithmName="SHA-512" hashValue="g0Mm8T2eaD1cyF6ZXG3trHJsCMIc/Rmc2PvKUNyIeTNy58/YF6rnLJOpA62jHLe/xzHjbgcKqwfdM9aAd5OZ0A==" saltValue="2Wv6HOmMid1JPDUdhZx4fg==" spinCount="100000" sheet="1" objects="1" scenarios="1"/>
  <protectedRanges>
    <protectedRange sqref="G2" name="Range5_1" securityDescriptor=""/>
  </protectedRanges>
  <dataConsolidate/>
  <mergeCells count="1">
    <mergeCell ref="N1:O1"/>
  </mergeCells>
  <conditionalFormatting sqref="O2">
    <cfRule type="containsText" dxfId="237" priority="9" operator="containsText" text="Yes,No">
      <formula>NOT(ISERROR(SEARCH("Yes,No",O2)))</formula>
    </cfRule>
  </conditionalFormatting>
  <conditionalFormatting sqref="N2:N70">
    <cfRule type="containsText" dxfId="236" priority="8" operator="containsText" text="Yes,No">
      <formula>NOT(ISERROR(SEARCH("Yes,No",N2)))</formula>
    </cfRule>
  </conditionalFormatting>
  <conditionalFormatting sqref="N71">
    <cfRule type="containsText" dxfId="235" priority="4" operator="containsText" text="No">
      <formula>NOT(ISERROR(SEARCH("No",N71)))</formula>
    </cfRule>
  </conditionalFormatting>
  <conditionalFormatting sqref="N2:N70">
    <cfRule type="cellIs" dxfId="234" priority="2" operator="equal">
      <formula>"No"</formula>
    </cfRule>
    <cfRule type="cellIs" dxfId="233" priority="3" operator="equal">
      <formula>"Yes"</formula>
    </cfRule>
  </conditionalFormatting>
  <conditionalFormatting sqref="O3:O70">
    <cfRule type="containsText" dxfId="232" priority="1" operator="containsText" text="Yes,No">
      <formula>NOT(ISERROR(SEARCH("Yes,No",O3)))</formula>
    </cfRule>
  </conditionalFormatting>
  <dataValidations count="4">
    <dataValidation type="list" allowBlank="1" showInputMessage="1" showErrorMessage="1" sqref="D8" xr:uid="{00000000-0002-0000-0800-000000000000}">
      <formula1>"Home Loan, LAP,OTHERS,Vehicle Loan,PROPERTY LOAN,DEMAND LOAN,CVL,AUTO LOAN, Personal Loan,Business Loan, CC/OD,Term Loan,Machinery Loan,Education Loan,Consumer Loan"</formula1>
    </dataValidation>
    <dataValidation type="list" allowBlank="1" showInputMessage="1" showErrorMessage="1" sqref="N2:N70" xr:uid="{00000000-0002-0000-0800-000001000000}">
      <formula1>"Yes, No"</formula1>
    </dataValidation>
    <dataValidation type="list" allowBlank="1" showInputMessage="1" showErrorMessage="1" sqref="C2:C70" xr:uid="{00000000-0002-0000-0800-000002000000}">
      <formula1>"AL,CV/CE,HL,LAP,Consumer loan, Agri loan,Two wheeler loan,Gold loan,Professional Loan,OD/CC,TL,Flexy Loan,Machinery Loan,Educational loan,Business loan,Personal Loan,Card Swipes loan,Medical Equipment loan,Other loan"</formula1>
    </dataValidation>
    <dataValidation type="list" allowBlank="1" showInputMessage="1" showErrorMessage="1" sqref="B2:B70" xr:uid="{00000000-0002-0000-0800-000003000000}">
      <formula1>"Consumer CIBIL,Internal dedupe, Commercial CIBIL, SOA, Banking, Customer declaration"</formula1>
    </dataValidation>
  </dataValidations>
  <pageMargins left="0.69930555555555596" right="0.69930555555555596" top="0.75" bottom="0.75" header="0.3" footer="0.3"/>
  <pageSetup scale="3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251"/>
  <sheetViews>
    <sheetView zoomScale="90" zoomScaleNormal="90" workbookViewId="0">
      <selection activeCell="C15" sqref="C15"/>
    </sheetView>
  </sheetViews>
  <sheetFormatPr defaultRowHeight="15"/>
  <cols>
    <col min="2" max="2" width="16.28515625" bestFit="1" customWidth="1"/>
    <col min="3" max="3" width="14.28515625" bestFit="1" customWidth="1"/>
    <col min="5" max="5" width="10" bestFit="1" customWidth="1"/>
    <col min="7" max="7" width="21.140625" bestFit="1" customWidth="1"/>
    <col min="9" max="9" width="9.7109375" customWidth="1"/>
    <col min="10" max="15" width="13.28515625" bestFit="1" customWidth="1"/>
    <col min="16" max="16" width="18.140625" bestFit="1" customWidth="1"/>
    <col min="17" max="17" width="9.140625" hidden="1" customWidth="1"/>
    <col min="18" max="18" width="9.5703125" hidden="1" customWidth="1"/>
  </cols>
  <sheetData>
    <row r="1" spans="1:18">
      <c r="A1" s="724" t="s">
        <v>114</v>
      </c>
      <c r="B1" s="725"/>
      <c r="C1" s="726"/>
      <c r="D1" s="727" t="s">
        <v>416</v>
      </c>
      <c r="E1" s="728"/>
      <c r="F1" s="728"/>
      <c r="G1" s="504" t="s">
        <v>417</v>
      </c>
      <c r="H1" s="732" t="s">
        <v>426</v>
      </c>
      <c r="I1" s="732"/>
      <c r="J1" s="732"/>
      <c r="K1" s="732"/>
      <c r="L1" s="732"/>
      <c r="M1" s="732"/>
      <c r="N1" s="732"/>
      <c r="O1" s="733"/>
    </row>
    <row r="2" spans="1:18" ht="24.75" customHeight="1">
      <c r="A2" s="218" t="s">
        <v>115</v>
      </c>
      <c r="B2" s="720" t="s">
        <v>240</v>
      </c>
      <c r="C2" s="721"/>
      <c r="D2" s="720" t="s">
        <v>241</v>
      </c>
      <c r="E2" s="721"/>
      <c r="F2" s="722" t="s">
        <v>242</v>
      </c>
      <c r="G2" s="722" t="s">
        <v>243</v>
      </c>
      <c r="H2" s="722" t="s">
        <v>244</v>
      </c>
      <c r="I2" s="722" t="s">
        <v>245</v>
      </c>
      <c r="J2" s="720" t="s">
        <v>116</v>
      </c>
      <c r="K2" s="721"/>
      <c r="L2" s="721"/>
      <c r="M2" s="721"/>
      <c r="N2" s="721"/>
      <c r="O2" s="721"/>
      <c r="P2" s="722" t="s">
        <v>187</v>
      </c>
    </row>
    <row r="3" spans="1:18" ht="34.5" customHeight="1">
      <c r="A3" s="218" t="s">
        <v>117</v>
      </c>
      <c r="B3" s="219" t="s">
        <v>78</v>
      </c>
      <c r="C3" s="219" t="s">
        <v>79</v>
      </c>
      <c r="D3" s="219" t="s">
        <v>78</v>
      </c>
      <c r="E3" s="219" t="s">
        <v>79</v>
      </c>
      <c r="F3" s="723"/>
      <c r="G3" s="723"/>
      <c r="H3" s="723"/>
      <c r="I3" s="723"/>
      <c r="J3" s="219" t="s">
        <v>80</v>
      </c>
      <c r="K3" s="219" t="s">
        <v>81</v>
      </c>
      <c r="L3" s="219" t="s">
        <v>82</v>
      </c>
      <c r="M3" s="219" t="s">
        <v>83</v>
      </c>
      <c r="N3" s="219" t="s">
        <v>84</v>
      </c>
      <c r="O3" s="219" t="s">
        <v>85</v>
      </c>
      <c r="P3" s="723"/>
      <c r="R3" s="528" t="s">
        <v>425</v>
      </c>
    </row>
    <row r="4" spans="1:18">
      <c r="A4" s="220">
        <f>A30</f>
        <v>44256</v>
      </c>
      <c r="B4" s="522">
        <f>SUM(B30+B53+B76+B99+B122+B145+B168+B191+B214+B237)</f>
        <v>0</v>
      </c>
      <c r="C4" s="522">
        <f>SUM(C30+C53+C76+C99+C122+C145+C168+C191+C214+C237)</f>
        <v>0</v>
      </c>
      <c r="D4" s="221">
        <f t="shared" ref="D4:E15" ca="1" si="0">IFERROR(SUM(D30+D53+D76+D99+D122),"")</f>
        <v>0</v>
      </c>
      <c r="E4" s="221">
        <f t="shared" ca="1" si="0"/>
        <v>0</v>
      </c>
      <c r="F4" s="221">
        <f t="shared" ref="F4:H15" si="1">SUM(F30+F53+F76+F99+F122)</f>
        <v>0</v>
      </c>
      <c r="G4" s="221">
        <f t="shared" si="1"/>
        <v>0</v>
      </c>
      <c r="H4" s="221">
        <f t="shared" si="1"/>
        <v>0</v>
      </c>
      <c r="I4" s="221"/>
      <c r="J4" s="522">
        <f>SUM(J30+J53)</f>
        <v>0</v>
      </c>
      <c r="K4" s="522">
        <f t="shared" ref="K4:O4" si="2">SUM(K30+K53)</f>
        <v>0</v>
      </c>
      <c r="L4" s="522">
        <f t="shared" si="2"/>
        <v>0</v>
      </c>
      <c r="M4" s="522">
        <f t="shared" si="2"/>
        <v>0</v>
      </c>
      <c r="N4" s="522">
        <f t="shared" si="2"/>
        <v>0</v>
      </c>
      <c r="O4" s="522">
        <f t="shared" si="2"/>
        <v>0</v>
      </c>
      <c r="P4" s="522">
        <f t="shared" ref="P4:P15" si="3">SUM(J4:O4)/COUNT(J4:O4)</f>
        <v>0</v>
      </c>
      <c r="R4" s="675" t="e">
        <f>R30+R53+R76</f>
        <v>#DIV/0!</v>
      </c>
    </row>
    <row r="5" spans="1:18">
      <c r="A5" s="220">
        <f>EDATE(A4,-1)</f>
        <v>44228</v>
      </c>
      <c r="B5" s="522">
        <f t="shared" ref="B5:C5" si="4">SUM(B31+B54+B77+B100+B123+B146+B169+B192+B215+B238)</f>
        <v>0</v>
      </c>
      <c r="C5" s="522">
        <f t="shared" si="4"/>
        <v>0</v>
      </c>
      <c r="D5" s="221">
        <f t="shared" ca="1" si="0"/>
        <v>0</v>
      </c>
      <c r="E5" s="221">
        <f t="shared" ca="1" si="0"/>
        <v>0</v>
      </c>
      <c r="F5" s="221">
        <f t="shared" si="1"/>
        <v>0</v>
      </c>
      <c r="G5" s="221">
        <f t="shared" si="1"/>
        <v>0</v>
      </c>
      <c r="H5" s="221">
        <f t="shared" si="1"/>
        <v>0</v>
      </c>
      <c r="I5" s="221"/>
      <c r="J5" s="522">
        <f t="shared" ref="J5:O5" si="5">SUM(J31+J54)</f>
        <v>0</v>
      </c>
      <c r="K5" s="522">
        <f t="shared" si="5"/>
        <v>0</v>
      </c>
      <c r="L5" s="522">
        <f t="shared" si="5"/>
        <v>0</v>
      </c>
      <c r="M5" s="522">
        <f t="shared" si="5"/>
        <v>0</v>
      </c>
      <c r="N5" s="522">
        <f t="shared" si="5"/>
        <v>0</v>
      </c>
      <c r="O5" s="522">
        <f t="shared" si="5"/>
        <v>0</v>
      </c>
      <c r="P5" s="522">
        <f t="shared" si="3"/>
        <v>0</v>
      </c>
      <c r="R5" s="675"/>
    </row>
    <row r="6" spans="1:18">
      <c r="A6" s="220">
        <f t="shared" ref="A6:A15" si="6">EDATE(A5,-1)</f>
        <v>44197</v>
      </c>
      <c r="B6" s="522">
        <f t="shared" ref="B6:C6" si="7">SUM(B32+B55+B78+B101+B124+B147+B170+B193+B216+B239)</f>
        <v>0</v>
      </c>
      <c r="C6" s="522">
        <f t="shared" si="7"/>
        <v>0</v>
      </c>
      <c r="D6" s="221">
        <f t="shared" ca="1" si="0"/>
        <v>0</v>
      </c>
      <c r="E6" s="221">
        <f t="shared" ca="1" si="0"/>
        <v>0</v>
      </c>
      <c r="F6" s="221">
        <f t="shared" si="1"/>
        <v>0</v>
      </c>
      <c r="G6" s="221">
        <f t="shared" si="1"/>
        <v>0</v>
      </c>
      <c r="H6" s="221">
        <f t="shared" si="1"/>
        <v>0</v>
      </c>
      <c r="I6" s="221"/>
      <c r="J6" s="522">
        <f t="shared" ref="J6:O6" si="8">SUM(J32+J55)</f>
        <v>0</v>
      </c>
      <c r="K6" s="522">
        <f t="shared" si="8"/>
        <v>0</v>
      </c>
      <c r="L6" s="522">
        <f t="shared" si="8"/>
        <v>0</v>
      </c>
      <c r="M6" s="522">
        <f t="shared" si="8"/>
        <v>0</v>
      </c>
      <c r="N6" s="522">
        <f t="shared" si="8"/>
        <v>0</v>
      </c>
      <c r="O6" s="522">
        <f t="shared" si="8"/>
        <v>0</v>
      </c>
      <c r="P6" s="522">
        <f t="shared" si="3"/>
        <v>0</v>
      </c>
      <c r="R6" s="675"/>
    </row>
    <row r="7" spans="1:18">
      <c r="A7" s="220">
        <f t="shared" si="6"/>
        <v>44166</v>
      </c>
      <c r="B7" s="522">
        <f t="shared" ref="B7:C7" si="9">SUM(B33+B56+B79+B102+B125+B148+B171+B194+B217+B240)</f>
        <v>0</v>
      </c>
      <c r="C7" s="522">
        <f t="shared" si="9"/>
        <v>0</v>
      </c>
      <c r="D7" s="221">
        <f t="shared" ca="1" si="0"/>
        <v>0</v>
      </c>
      <c r="E7" s="221">
        <f t="shared" ca="1" si="0"/>
        <v>0</v>
      </c>
      <c r="F7" s="221">
        <f t="shared" si="1"/>
        <v>0</v>
      </c>
      <c r="G7" s="221">
        <f t="shared" si="1"/>
        <v>0</v>
      </c>
      <c r="H7" s="221">
        <f t="shared" si="1"/>
        <v>0</v>
      </c>
      <c r="I7" s="221"/>
      <c r="J7" s="522">
        <f t="shared" ref="J7:O7" si="10">SUM(J33+J56)</f>
        <v>0</v>
      </c>
      <c r="K7" s="522">
        <f t="shared" si="10"/>
        <v>0</v>
      </c>
      <c r="L7" s="522">
        <f t="shared" si="10"/>
        <v>0</v>
      </c>
      <c r="M7" s="522">
        <f t="shared" si="10"/>
        <v>0</v>
      </c>
      <c r="N7" s="522">
        <f t="shared" si="10"/>
        <v>0</v>
      </c>
      <c r="O7" s="522">
        <f t="shared" si="10"/>
        <v>0</v>
      </c>
      <c r="P7" s="522">
        <f t="shared" si="3"/>
        <v>0</v>
      </c>
      <c r="R7" s="675"/>
    </row>
    <row r="8" spans="1:18">
      <c r="A8" s="220">
        <f t="shared" si="6"/>
        <v>44136</v>
      </c>
      <c r="B8" s="522">
        <f t="shared" ref="B8:C8" si="11">SUM(B34+B57+B80+B103+B126+B149+B172+B195+B218+B241)</f>
        <v>0</v>
      </c>
      <c r="C8" s="522">
        <f t="shared" si="11"/>
        <v>0</v>
      </c>
      <c r="D8" s="221">
        <f t="shared" ca="1" si="0"/>
        <v>0</v>
      </c>
      <c r="E8" s="221">
        <f t="shared" ca="1" si="0"/>
        <v>0</v>
      </c>
      <c r="F8" s="221">
        <f t="shared" si="1"/>
        <v>0</v>
      </c>
      <c r="G8" s="221">
        <f t="shared" si="1"/>
        <v>0</v>
      </c>
      <c r="H8" s="221">
        <f t="shared" si="1"/>
        <v>0</v>
      </c>
      <c r="I8" s="221"/>
      <c r="J8" s="522">
        <f t="shared" ref="J8:O8" si="12">SUM(J34+J57)</f>
        <v>0</v>
      </c>
      <c r="K8" s="522">
        <f t="shared" si="12"/>
        <v>0</v>
      </c>
      <c r="L8" s="522">
        <f t="shared" si="12"/>
        <v>0</v>
      </c>
      <c r="M8" s="522">
        <f t="shared" si="12"/>
        <v>0</v>
      </c>
      <c r="N8" s="522">
        <f t="shared" si="12"/>
        <v>0</v>
      </c>
      <c r="O8" s="522">
        <f t="shared" si="12"/>
        <v>0</v>
      </c>
      <c r="P8" s="522">
        <f t="shared" si="3"/>
        <v>0</v>
      </c>
      <c r="R8" s="675"/>
    </row>
    <row r="9" spans="1:18">
      <c r="A9" s="220">
        <f t="shared" si="6"/>
        <v>44105</v>
      </c>
      <c r="B9" s="522">
        <f t="shared" ref="B9:C9" si="13">SUM(B35+B58+B81+B104+B127+B150+B173+B196+B219+B242)</f>
        <v>0</v>
      </c>
      <c r="C9" s="522">
        <f t="shared" si="13"/>
        <v>0</v>
      </c>
      <c r="D9" s="221">
        <f t="shared" ca="1" si="0"/>
        <v>0</v>
      </c>
      <c r="E9" s="221">
        <f t="shared" ca="1" si="0"/>
        <v>0</v>
      </c>
      <c r="F9" s="221">
        <f t="shared" si="1"/>
        <v>0</v>
      </c>
      <c r="G9" s="221">
        <f t="shared" si="1"/>
        <v>0</v>
      </c>
      <c r="H9" s="221">
        <f t="shared" si="1"/>
        <v>0</v>
      </c>
      <c r="I9" s="221"/>
      <c r="J9" s="522">
        <f t="shared" ref="J9:O9" si="14">SUM(J35+J58)</f>
        <v>0</v>
      </c>
      <c r="K9" s="522">
        <f t="shared" si="14"/>
        <v>0</v>
      </c>
      <c r="L9" s="522">
        <f t="shared" si="14"/>
        <v>0</v>
      </c>
      <c r="M9" s="522">
        <f t="shared" si="14"/>
        <v>0</v>
      </c>
      <c r="N9" s="522">
        <f t="shared" si="14"/>
        <v>0</v>
      </c>
      <c r="O9" s="522">
        <f t="shared" si="14"/>
        <v>0</v>
      </c>
      <c r="P9" s="522">
        <f t="shared" si="3"/>
        <v>0</v>
      </c>
      <c r="R9" s="675"/>
    </row>
    <row r="10" spans="1:18">
      <c r="A10" s="220">
        <f t="shared" si="6"/>
        <v>44075</v>
      </c>
      <c r="B10" s="522">
        <f t="shared" ref="B10:C10" si="15">SUM(B36+B59+B82+B105+B128+B151+B174+B197+B220+B243)</f>
        <v>0</v>
      </c>
      <c r="C10" s="522">
        <f t="shared" si="15"/>
        <v>0</v>
      </c>
      <c r="D10" s="221">
        <f t="shared" ca="1" si="0"/>
        <v>0</v>
      </c>
      <c r="E10" s="221">
        <f t="shared" ca="1" si="0"/>
        <v>0</v>
      </c>
      <c r="F10" s="221">
        <f t="shared" si="1"/>
        <v>0</v>
      </c>
      <c r="G10" s="221">
        <f t="shared" si="1"/>
        <v>0</v>
      </c>
      <c r="H10" s="221">
        <f t="shared" si="1"/>
        <v>0</v>
      </c>
      <c r="I10" s="221"/>
      <c r="J10" s="522">
        <f t="shared" ref="J10:O10" si="16">SUM(J36+J59)</f>
        <v>0</v>
      </c>
      <c r="K10" s="522">
        <f t="shared" si="16"/>
        <v>0</v>
      </c>
      <c r="L10" s="522">
        <f t="shared" si="16"/>
        <v>0</v>
      </c>
      <c r="M10" s="522">
        <f t="shared" si="16"/>
        <v>0</v>
      </c>
      <c r="N10" s="522">
        <f t="shared" si="16"/>
        <v>0</v>
      </c>
      <c r="O10" s="522">
        <f t="shared" si="16"/>
        <v>0</v>
      </c>
      <c r="P10" s="522">
        <f t="shared" si="3"/>
        <v>0</v>
      </c>
      <c r="R10" s="675" t="e">
        <f>R36+R59+R82</f>
        <v>#DIV/0!</v>
      </c>
    </row>
    <row r="11" spans="1:18">
      <c r="A11" s="220">
        <f t="shared" si="6"/>
        <v>44044</v>
      </c>
      <c r="B11" s="522">
        <f t="shared" ref="B11:C11" si="17">SUM(B37+B60+B83+B106+B129+B152+B175+B198+B221+B244)</f>
        <v>0</v>
      </c>
      <c r="C11" s="522">
        <f t="shared" si="17"/>
        <v>0</v>
      </c>
      <c r="D11" s="221">
        <f t="shared" ca="1" si="0"/>
        <v>0</v>
      </c>
      <c r="E11" s="221">
        <f t="shared" ca="1" si="0"/>
        <v>0</v>
      </c>
      <c r="F11" s="221">
        <f t="shared" si="1"/>
        <v>0</v>
      </c>
      <c r="G11" s="221">
        <f t="shared" si="1"/>
        <v>0</v>
      </c>
      <c r="H11" s="221">
        <f t="shared" si="1"/>
        <v>0</v>
      </c>
      <c r="I11" s="221"/>
      <c r="J11" s="522">
        <f t="shared" ref="J11:O11" si="18">SUM(J37+J60)</f>
        <v>0</v>
      </c>
      <c r="K11" s="522">
        <f t="shared" si="18"/>
        <v>0</v>
      </c>
      <c r="L11" s="522">
        <f t="shared" si="18"/>
        <v>0</v>
      </c>
      <c r="M11" s="522">
        <f t="shared" si="18"/>
        <v>0</v>
      </c>
      <c r="N11" s="522">
        <f t="shared" si="18"/>
        <v>0</v>
      </c>
      <c r="O11" s="522">
        <f t="shared" si="18"/>
        <v>0</v>
      </c>
      <c r="P11" s="522">
        <f t="shared" si="3"/>
        <v>0</v>
      </c>
      <c r="R11" s="675"/>
    </row>
    <row r="12" spans="1:18">
      <c r="A12" s="220">
        <f t="shared" si="6"/>
        <v>44013</v>
      </c>
      <c r="B12" s="522">
        <f t="shared" ref="B12:C12" si="19">SUM(B38+B61+B84+B107+B130+B153+B176+B199+B222+B245)</f>
        <v>0</v>
      </c>
      <c r="C12" s="522">
        <f t="shared" si="19"/>
        <v>0</v>
      </c>
      <c r="D12" s="221">
        <f t="shared" ca="1" si="0"/>
        <v>0</v>
      </c>
      <c r="E12" s="221">
        <f t="shared" ca="1" si="0"/>
        <v>0</v>
      </c>
      <c r="F12" s="221">
        <f t="shared" si="1"/>
        <v>0</v>
      </c>
      <c r="G12" s="221">
        <f t="shared" si="1"/>
        <v>0</v>
      </c>
      <c r="H12" s="221">
        <f t="shared" si="1"/>
        <v>0</v>
      </c>
      <c r="I12" s="221"/>
      <c r="J12" s="522">
        <f t="shared" ref="J12:O12" si="20">SUM(J38+J61)</f>
        <v>0</v>
      </c>
      <c r="K12" s="522">
        <f t="shared" si="20"/>
        <v>0</v>
      </c>
      <c r="L12" s="522">
        <f t="shared" si="20"/>
        <v>0</v>
      </c>
      <c r="M12" s="522">
        <f t="shared" si="20"/>
        <v>0</v>
      </c>
      <c r="N12" s="522">
        <f t="shared" si="20"/>
        <v>0</v>
      </c>
      <c r="O12" s="522">
        <f t="shared" si="20"/>
        <v>0</v>
      </c>
      <c r="P12" s="522">
        <f t="shared" si="3"/>
        <v>0</v>
      </c>
      <c r="R12" s="675"/>
    </row>
    <row r="13" spans="1:18">
      <c r="A13" s="220">
        <f t="shared" si="6"/>
        <v>43983</v>
      </c>
      <c r="B13" s="522">
        <f t="shared" ref="B13:C13" si="21">SUM(B39+B62+B85+B108+B131+B154+B177+B200+B223+B246)</f>
        <v>0</v>
      </c>
      <c r="C13" s="522">
        <f t="shared" si="21"/>
        <v>0</v>
      </c>
      <c r="D13" s="221">
        <f t="shared" ca="1" si="0"/>
        <v>0</v>
      </c>
      <c r="E13" s="221">
        <f t="shared" ca="1" si="0"/>
        <v>0</v>
      </c>
      <c r="F13" s="221">
        <f t="shared" si="1"/>
        <v>0</v>
      </c>
      <c r="G13" s="221">
        <f t="shared" si="1"/>
        <v>0</v>
      </c>
      <c r="H13" s="221">
        <f t="shared" si="1"/>
        <v>0</v>
      </c>
      <c r="I13" s="221"/>
      <c r="J13" s="522">
        <f t="shared" ref="J13:O13" si="22">SUM(J39+J62)</f>
        <v>0</v>
      </c>
      <c r="K13" s="522">
        <f t="shared" si="22"/>
        <v>0</v>
      </c>
      <c r="L13" s="522">
        <f t="shared" si="22"/>
        <v>0</v>
      </c>
      <c r="M13" s="522">
        <f t="shared" si="22"/>
        <v>0</v>
      </c>
      <c r="N13" s="522">
        <f t="shared" si="22"/>
        <v>0</v>
      </c>
      <c r="O13" s="522">
        <f t="shared" si="22"/>
        <v>0</v>
      </c>
      <c r="P13" s="522">
        <f t="shared" si="3"/>
        <v>0</v>
      </c>
      <c r="R13" s="675"/>
    </row>
    <row r="14" spans="1:18">
      <c r="A14" s="220">
        <f t="shared" si="6"/>
        <v>43952</v>
      </c>
      <c r="B14" s="522">
        <f t="shared" ref="B14:C14" si="23">SUM(B40+B63+B86+B109+B132+B155+B178+B201+B224+B247)</f>
        <v>0</v>
      </c>
      <c r="C14" s="522">
        <f t="shared" si="23"/>
        <v>0</v>
      </c>
      <c r="D14" s="221">
        <f t="shared" ca="1" si="0"/>
        <v>0</v>
      </c>
      <c r="E14" s="221">
        <f t="shared" ca="1" si="0"/>
        <v>0</v>
      </c>
      <c r="F14" s="221">
        <f t="shared" si="1"/>
        <v>0</v>
      </c>
      <c r="G14" s="221">
        <f t="shared" si="1"/>
        <v>0</v>
      </c>
      <c r="H14" s="221">
        <f t="shared" si="1"/>
        <v>0</v>
      </c>
      <c r="I14" s="221"/>
      <c r="J14" s="522">
        <f t="shared" ref="J14:O14" si="24">SUM(J40+J63)</f>
        <v>0</v>
      </c>
      <c r="K14" s="522">
        <f t="shared" si="24"/>
        <v>0</v>
      </c>
      <c r="L14" s="522">
        <f t="shared" si="24"/>
        <v>0</v>
      </c>
      <c r="M14" s="522">
        <f t="shared" si="24"/>
        <v>0</v>
      </c>
      <c r="N14" s="522">
        <f t="shared" si="24"/>
        <v>0</v>
      </c>
      <c r="O14" s="522">
        <f t="shared" si="24"/>
        <v>0</v>
      </c>
      <c r="P14" s="522">
        <f t="shared" si="3"/>
        <v>0</v>
      </c>
      <c r="R14" s="675"/>
    </row>
    <row r="15" spans="1:18" ht="15.75" thickBot="1">
      <c r="A15" s="225">
        <f t="shared" si="6"/>
        <v>43922</v>
      </c>
      <c r="B15" s="522">
        <f t="shared" ref="B15:C15" si="25">SUM(B41+B64+B87+B110+B133+B156+B179+B202+B225+B248)</f>
        <v>0</v>
      </c>
      <c r="C15" s="522">
        <f t="shared" si="25"/>
        <v>0</v>
      </c>
      <c r="D15" s="221">
        <f t="shared" ca="1" si="0"/>
        <v>0</v>
      </c>
      <c r="E15" s="221">
        <f t="shared" ca="1" si="0"/>
        <v>0</v>
      </c>
      <c r="F15" s="226">
        <f t="shared" si="1"/>
        <v>0</v>
      </c>
      <c r="G15" s="226">
        <f t="shared" si="1"/>
        <v>0</v>
      </c>
      <c r="H15" s="226">
        <f t="shared" si="1"/>
        <v>0</v>
      </c>
      <c r="I15" s="226"/>
      <c r="J15" s="522">
        <f t="shared" ref="J15:O15" si="26">SUM(J41+J64)</f>
        <v>0</v>
      </c>
      <c r="K15" s="522">
        <f t="shared" si="26"/>
        <v>0</v>
      </c>
      <c r="L15" s="522">
        <f t="shared" si="26"/>
        <v>0</v>
      </c>
      <c r="M15" s="522">
        <f t="shared" si="26"/>
        <v>0</v>
      </c>
      <c r="N15" s="522">
        <f t="shared" si="26"/>
        <v>0</v>
      </c>
      <c r="O15" s="522">
        <f t="shared" si="26"/>
        <v>0</v>
      </c>
      <c r="P15" s="523">
        <f t="shared" si="3"/>
        <v>0</v>
      </c>
      <c r="R15" s="675"/>
    </row>
    <row r="16" spans="1:18" ht="15.75" thickBot="1">
      <c r="A16" s="232" t="s">
        <v>52</v>
      </c>
      <c r="B16" s="524">
        <f t="shared" ref="B16:H16" si="27">SUM(B4:B15)</f>
        <v>0</v>
      </c>
      <c r="C16" s="524">
        <f t="shared" si="27"/>
        <v>0</v>
      </c>
      <c r="D16" s="233">
        <f t="shared" ca="1" si="27"/>
        <v>0</v>
      </c>
      <c r="E16" s="233">
        <f t="shared" ca="1" si="27"/>
        <v>0</v>
      </c>
      <c r="F16" s="233">
        <f t="shared" si="27"/>
        <v>0</v>
      </c>
      <c r="G16" s="234">
        <f t="shared" si="27"/>
        <v>0</v>
      </c>
      <c r="H16" s="233">
        <f t="shared" si="27"/>
        <v>0</v>
      </c>
      <c r="I16" s="233"/>
      <c r="J16" s="524">
        <f>AVERAGE(J4:J15)</f>
        <v>0</v>
      </c>
      <c r="K16" s="524">
        <f t="shared" ref="K16:P16" si="28">AVERAGE(K4:K15)</f>
        <v>0</v>
      </c>
      <c r="L16" s="524">
        <f t="shared" si="28"/>
        <v>0</v>
      </c>
      <c r="M16" s="524">
        <f t="shared" si="28"/>
        <v>0</v>
      </c>
      <c r="N16" s="524">
        <f t="shared" si="28"/>
        <v>0</v>
      </c>
      <c r="O16" s="524">
        <f t="shared" si="28"/>
        <v>0</v>
      </c>
      <c r="P16" s="524">
        <f t="shared" si="28"/>
        <v>0</v>
      </c>
      <c r="R16" s="2"/>
    </row>
    <row r="17" spans="1:18">
      <c r="A17" s="227" t="s">
        <v>89</v>
      </c>
      <c r="B17" s="525">
        <f t="shared" ref="B17:H17" si="29">+AVERAGE(B4:B15)</f>
        <v>0</v>
      </c>
      <c r="C17" s="525">
        <f t="shared" si="29"/>
        <v>0</v>
      </c>
      <c r="D17" s="228">
        <f ca="1">IFERROR(+AVERAGE(D4:D15),"")</f>
        <v>0</v>
      </c>
      <c r="E17" s="228">
        <f ca="1">IFERROR(+AVERAGE(E4:E15),"")</f>
        <v>0</v>
      </c>
      <c r="F17" s="228">
        <f t="shared" si="29"/>
        <v>0</v>
      </c>
      <c r="G17" s="228">
        <f t="shared" si="29"/>
        <v>0</v>
      </c>
      <c r="H17" s="228">
        <f t="shared" si="29"/>
        <v>0</v>
      </c>
      <c r="I17" s="229"/>
      <c r="J17" s="229"/>
      <c r="K17" s="230"/>
      <c r="L17" s="230"/>
      <c r="M17" s="231"/>
      <c r="N17" s="230"/>
      <c r="O17" s="235" t="s">
        <v>89</v>
      </c>
      <c r="P17" s="527">
        <f>AVERAGE(J4:O15)</f>
        <v>0</v>
      </c>
    </row>
    <row r="18" spans="1:18" ht="36">
      <c r="A18" s="222" t="s">
        <v>118</v>
      </c>
      <c r="B18" s="526">
        <f>SUM(B4:B15)</f>
        <v>0</v>
      </c>
      <c r="C18" s="526">
        <f>SUM(C4:C15)</f>
        <v>0</v>
      </c>
      <c r="D18" s="718" t="s">
        <v>203</v>
      </c>
      <c r="E18" s="718"/>
      <c r="F18" s="718" t="s">
        <v>204</v>
      </c>
      <c r="G18" s="718"/>
      <c r="H18" s="212"/>
      <c r="I18" s="212"/>
      <c r="J18" s="213"/>
      <c r="K18" s="214"/>
      <c r="L18" s="214"/>
      <c r="M18" s="214"/>
      <c r="N18" s="214"/>
      <c r="O18" s="214"/>
      <c r="P18" s="223"/>
    </row>
    <row r="19" spans="1:18" ht="45">
      <c r="A19" s="224" t="s">
        <v>127</v>
      </c>
      <c r="B19" s="211">
        <f>'Consolidated Financial Spread'!C6</f>
        <v>0</v>
      </c>
      <c r="C19" s="211"/>
      <c r="D19" s="719" t="str">
        <f>IFERROR(IF(G1="absolute",C18/'Consolidated Financial Spread'!C6, IF(G1="Lacs",C18*10^5/'Consolidated Financial Spread'!C6,"")),"")</f>
        <v/>
      </c>
      <c r="E19" s="719"/>
      <c r="F19" s="719" t="str">
        <f>IFERROR(IF(G1="absolute",SUM(C4:C9)*2/'Consolidated Financial Spread'!C6,IF(G1="Lacs",SUM(C4:C9)*2*10^5/'Consolidated Financial Spread'!C6,"")),"")</f>
        <v/>
      </c>
      <c r="G19" s="719"/>
      <c r="H19" s="212" t="s">
        <v>207</v>
      </c>
      <c r="I19" s="215" t="str">
        <f ca="1">IFERROR(F16/D16,"")</f>
        <v/>
      </c>
      <c r="J19" s="212" t="s">
        <v>206</v>
      </c>
      <c r="K19" s="212" t="str">
        <f ca="1">IFERROR(G16/E16,"")</f>
        <v/>
      </c>
      <c r="L19" s="212"/>
      <c r="M19" s="216"/>
      <c r="N19" s="216"/>
      <c r="O19" s="217"/>
      <c r="P19" s="223"/>
    </row>
    <row r="20" spans="1:18" ht="45">
      <c r="A20" s="729" t="str">
        <f>IF(OR(D19="",F19=""),"",IF(OR(D19&gt;300%,F19&gt;300%),"Recheck on BTO",""))</f>
        <v/>
      </c>
      <c r="B20" s="730"/>
      <c r="C20" s="731"/>
      <c r="D20" s="212" t="s">
        <v>238</v>
      </c>
      <c r="E20" s="511" t="str">
        <f>IFERROR(IF('Policy Parameters'!B2="ABB Scheme", R10, AVERAGE(J4:O15)),"")</f>
        <v/>
      </c>
      <c r="F20" s="212" t="s">
        <v>239</v>
      </c>
      <c r="G20" s="511" t="str">
        <f>IFERROR(IF('Policy Parameters'!B2="ABB Scheme", R4, AVERAGE(J4:O9)),"")</f>
        <v/>
      </c>
      <c r="I20" s="215"/>
      <c r="J20" s="212"/>
      <c r="K20" s="212"/>
      <c r="L20" s="212"/>
      <c r="M20" s="217"/>
      <c r="N20" s="216"/>
      <c r="O20" s="217"/>
      <c r="P20" s="223"/>
    </row>
    <row r="21" spans="1:18" ht="15.75" thickBot="1">
      <c r="A21" s="534"/>
      <c r="B21" s="534"/>
      <c r="C21" s="534"/>
      <c r="D21" s="534"/>
      <c r="E21" s="534"/>
      <c r="F21" s="534"/>
      <c r="G21" s="534"/>
      <c r="H21" s="534"/>
      <c r="I21" s="534"/>
      <c r="J21" s="534"/>
      <c r="K21" s="534"/>
      <c r="L21" s="534"/>
      <c r="M21" s="534"/>
      <c r="N21" s="534"/>
      <c r="O21" s="534"/>
      <c r="P21" s="534"/>
    </row>
    <row r="22" spans="1:18">
      <c r="A22" s="705" t="s">
        <v>128</v>
      </c>
      <c r="B22" s="706"/>
      <c r="C22" s="707"/>
      <c r="D22" s="736"/>
      <c r="E22" s="708"/>
      <c r="F22" s="708"/>
      <c r="G22" s="708"/>
      <c r="H22" s="708"/>
      <c r="I22" s="708"/>
      <c r="J22" s="708"/>
      <c r="K22" s="708"/>
      <c r="L22" s="708"/>
      <c r="M22" s="708"/>
      <c r="N22" s="708"/>
      <c r="O22" s="709"/>
    </row>
    <row r="23" spans="1:18">
      <c r="A23" s="710" t="s">
        <v>120</v>
      </c>
      <c r="B23" s="711"/>
      <c r="C23" s="712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3"/>
      <c r="O23" s="714"/>
    </row>
    <row r="24" spans="1:18">
      <c r="A24" s="683" t="s">
        <v>121</v>
      </c>
      <c r="B24" s="684"/>
      <c r="C24" s="689"/>
      <c r="D24" s="690"/>
      <c r="E24" s="690"/>
      <c r="F24" s="690"/>
      <c r="G24" s="692"/>
      <c r="H24" s="688" t="s">
        <v>122</v>
      </c>
      <c r="I24" s="684"/>
      <c r="J24" s="715"/>
      <c r="K24" s="716"/>
      <c r="L24" s="716"/>
      <c r="M24" s="716"/>
      <c r="N24" s="716"/>
      <c r="O24" s="717"/>
    </row>
    <row r="25" spans="1:18">
      <c r="A25" s="683" t="s">
        <v>123</v>
      </c>
      <c r="B25" s="684"/>
      <c r="C25" s="685"/>
      <c r="D25" s="686"/>
      <c r="E25" s="686"/>
      <c r="F25" s="686"/>
      <c r="G25" s="687"/>
      <c r="H25" s="688" t="s">
        <v>124</v>
      </c>
      <c r="I25" s="684"/>
      <c r="J25" s="734"/>
      <c r="K25" s="734"/>
      <c r="L25" s="734"/>
      <c r="M25" s="734"/>
      <c r="N25" s="734"/>
      <c r="O25" s="735"/>
    </row>
    <row r="26" spans="1:18">
      <c r="A26" s="683" t="s">
        <v>125</v>
      </c>
      <c r="B26" s="684"/>
      <c r="C26" s="690"/>
      <c r="D26" s="690"/>
      <c r="E26" s="690"/>
      <c r="F26" s="690"/>
      <c r="G26" s="692"/>
      <c r="H26" s="688" t="str">
        <f>IF(J25="Overdraft","Limit",IF(J25="Cash Credit","Limit",""))</f>
        <v/>
      </c>
      <c r="I26" s="684"/>
      <c r="J26" s="693"/>
      <c r="K26" s="693"/>
      <c r="L26" s="693"/>
      <c r="M26" s="693"/>
      <c r="N26" s="693"/>
      <c r="O26" s="694"/>
    </row>
    <row r="27" spans="1:18" ht="29.25" customHeight="1">
      <c r="A27" s="695" t="s">
        <v>126</v>
      </c>
      <c r="B27" s="696"/>
      <c r="C27" s="697"/>
      <c r="D27" s="698"/>
      <c r="E27" s="698"/>
      <c r="F27" s="698"/>
      <c r="G27" s="699"/>
      <c r="H27" s="700" t="str">
        <f>IF(AND('Policy Parameters'!$B$2="Abb Scheme",J25="Current Account"),"Considered for ABB Eligibility","")</f>
        <v/>
      </c>
      <c r="I27" s="701"/>
      <c r="J27" s="689" t="s">
        <v>129</v>
      </c>
      <c r="K27" s="690"/>
      <c r="L27" s="690"/>
      <c r="M27" s="690"/>
      <c r="N27" s="690"/>
      <c r="O27" s="691"/>
    </row>
    <row r="28" spans="1:18" ht="24.75" customHeight="1">
      <c r="A28" s="165" t="s">
        <v>115</v>
      </c>
      <c r="B28" s="676" t="s">
        <v>240</v>
      </c>
      <c r="C28" s="677"/>
      <c r="D28" s="676" t="s">
        <v>241</v>
      </c>
      <c r="E28" s="677"/>
      <c r="F28" s="678" t="s">
        <v>242</v>
      </c>
      <c r="G28" s="678" t="s">
        <v>243</v>
      </c>
      <c r="H28" s="678" t="s">
        <v>244</v>
      </c>
      <c r="I28" s="678" t="s">
        <v>245</v>
      </c>
      <c r="J28" s="676" t="s">
        <v>116</v>
      </c>
      <c r="K28" s="680"/>
      <c r="L28" s="680"/>
      <c r="M28" s="680"/>
      <c r="N28" s="680"/>
      <c r="O28" s="677"/>
      <c r="P28" s="681" t="s">
        <v>246</v>
      </c>
    </row>
    <row r="29" spans="1:18" ht="36.75" customHeight="1">
      <c r="A29" s="165" t="s">
        <v>117</v>
      </c>
      <c r="B29" s="166" t="s">
        <v>78</v>
      </c>
      <c r="C29" s="166" t="s">
        <v>79</v>
      </c>
      <c r="D29" s="166" t="s">
        <v>78</v>
      </c>
      <c r="E29" s="166" t="s">
        <v>79</v>
      </c>
      <c r="F29" s="679"/>
      <c r="G29" s="679"/>
      <c r="H29" s="679"/>
      <c r="I29" s="679"/>
      <c r="J29" s="166" t="s">
        <v>80</v>
      </c>
      <c r="K29" s="166" t="s">
        <v>81</v>
      </c>
      <c r="L29" s="166" t="s">
        <v>82</v>
      </c>
      <c r="M29" s="166" t="s">
        <v>83</v>
      </c>
      <c r="N29" s="166" t="s">
        <v>84</v>
      </c>
      <c r="O29" s="166" t="s">
        <v>85</v>
      </c>
      <c r="P29" s="682"/>
      <c r="R29" s="528" t="s">
        <v>425</v>
      </c>
    </row>
    <row r="30" spans="1:18">
      <c r="A30" s="208">
        <v>44256</v>
      </c>
      <c r="B30" s="535"/>
      <c r="C30" s="535"/>
      <c r="D30" s="503">
        <f t="shared" ref="D30:D41" ca="1" si="30">IFERROR(LEN(_xlfn.FORMULATEXT(B30))-LEN(SUBSTITUTE(_xlfn.FORMULATEXT(B30),"+",""))+1,0)</f>
        <v>0</v>
      </c>
      <c r="E30" s="503">
        <f t="shared" ref="E30:E41" ca="1" si="31">IFERROR(LEN(_xlfn.FORMULATEXT(C30))-LEN(SUBSTITUTE(_xlfn.FORMULATEXT(C30),"+",""))+1,0)</f>
        <v>0</v>
      </c>
      <c r="F30" s="206"/>
      <c r="G30" s="206"/>
      <c r="H30" s="206"/>
      <c r="I30" s="207"/>
      <c r="J30" s="536"/>
      <c r="K30" s="536"/>
      <c r="L30" s="536"/>
      <c r="M30" s="536"/>
      <c r="N30" s="536"/>
      <c r="O30" s="536"/>
      <c r="P30" s="530" t="str">
        <f>IFERROR(SUM(J30:O30)/COUNT(J30:O30),"")</f>
        <v/>
      </c>
      <c r="Q30">
        <f>IF(AND(C30&lt;&gt;0,J27="yes"),1,0)</f>
        <v>0</v>
      </c>
      <c r="R30" s="675" t="e">
        <f>IF(J27="Yes", AVERAGE(J30:O35), 0)</f>
        <v>#DIV/0!</v>
      </c>
    </row>
    <row r="31" spans="1:18">
      <c r="A31" s="209">
        <f>EDATE(A30,-1)</f>
        <v>44228</v>
      </c>
      <c r="B31" s="535"/>
      <c r="C31" s="535"/>
      <c r="D31" s="503">
        <f t="shared" ca="1" si="30"/>
        <v>0</v>
      </c>
      <c r="E31" s="503">
        <f t="shared" ca="1" si="31"/>
        <v>0</v>
      </c>
      <c r="F31" s="206"/>
      <c r="G31" s="206"/>
      <c r="H31" s="206"/>
      <c r="I31" s="207"/>
      <c r="J31" s="536"/>
      <c r="K31" s="536"/>
      <c r="L31" s="536"/>
      <c r="M31" s="536"/>
      <c r="N31" s="536"/>
      <c r="O31" s="536"/>
      <c r="P31" s="530" t="str">
        <f t="shared" ref="P31:P41" si="32">IFERROR(SUM(J31:O31)/COUNT(J31:O31),"")</f>
        <v/>
      </c>
      <c r="R31" s="675"/>
    </row>
    <row r="32" spans="1:18">
      <c r="A32" s="209">
        <f t="shared" ref="A32:A41" si="33">EDATE(A31,-1)</f>
        <v>44197</v>
      </c>
      <c r="B32" s="535"/>
      <c r="C32" s="535"/>
      <c r="D32" s="503">
        <f t="shared" ca="1" si="30"/>
        <v>0</v>
      </c>
      <c r="E32" s="503">
        <f t="shared" ca="1" si="31"/>
        <v>0</v>
      </c>
      <c r="F32" s="206"/>
      <c r="G32" s="206"/>
      <c r="H32" s="206"/>
      <c r="I32" s="207"/>
      <c r="J32" s="536"/>
      <c r="K32" s="536"/>
      <c r="L32" s="536"/>
      <c r="M32" s="536"/>
      <c r="N32" s="536"/>
      <c r="O32" s="536"/>
      <c r="P32" s="530" t="str">
        <f t="shared" si="32"/>
        <v/>
      </c>
      <c r="R32" s="675"/>
    </row>
    <row r="33" spans="1:18">
      <c r="A33" s="209">
        <f t="shared" si="33"/>
        <v>44166</v>
      </c>
      <c r="B33" s="535"/>
      <c r="C33" s="535"/>
      <c r="D33" s="503">
        <f t="shared" ca="1" si="30"/>
        <v>0</v>
      </c>
      <c r="E33" s="503">
        <f t="shared" ca="1" si="31"/>
        <v>0</v>
      </c>
      <c r="F33" s="206"/>
      <c r="G33" s="206"/>
      <c r="H33" s="206"/>
      <c r="I33" s="207"/>
      <c r="J33" s="536"/>
      <c r="K33" s="536"/>
      <c r="L33" s="536"/>
      <c r="M33" s="536"/>
      <c r="N33" s="536"/>
      <c r="O33" s="536"/>
      <c r="P33" s="530" t="str">
        <f t="shared" si="32"/>
        <v/>
      </c>
      <c r="R33" s="675"/>
    </row>
    <row r="34" spans="1:18">
      <c r="A34" s="209">
        <f t="shared" si="33"/>
        <v>44136</v>
      </c>
      <c r="B34" s="535"/>
      <c r="C34" s="535"/>
      <c r="D34" s="503">
        <f t="shared" ca="1" si="30"/>
        <v>0</v>
      </c>
      <c r="E34" s="503">
        <f t="shared" ca="1" si="31"/>
        <v>0</v>
      </c>
      <c r="F34" s="206"/>
      <c r="G34" s="206"/>
      <c r="H34" s="206"/>
      <c r="I34" s="207"/>
      <c r="J34" s="536"/>
      <c r="K34" s="536"/>
      <c r="L34" s="536"/>
      <c r="M34" s="536"/>
      <c r="N34" s="536"/>
      <c r="O34" s="536"/>
      <c r="P34" s="530" t="str">
        <f t="shared" si="32"/>
        <v/>
      </c>
      <c r="R34" s="675"/>
    </row>
    <row r="35" spans="1:18">
      <c r="A35" s="209">
        <f t="shared" si="33"/>
        <v>44105</v>
      </c>
      <c r="B35" s="535"/>
      <c r="C35" s="535"/>
      <c r="D35" s="503">
        <f t="shared" ca="1" si="30"/>
        <v>0</v>
      </c>
      <c r="E35" s="503">
        <f t="shared" ca="1" si="31"/>
        <v>0</v>
      </c>
      <c r="F35" s="206"/>
      <c r="G35" s="206"/>
      <c r="H35" s="206"/>
      <c r="I35" s="207"/>
      <c r="J35" s="536"/>
      <c r="K35" s="536"/>
      <c r="L35" s="536"/>
      <c r="M35" s="536"/>
      <c r="N35" s="536"/>
      <c r="O35" s="536"/>
      <c r="P35" s="530" t="str">
        <f t="shared" si="32"/>
        <v/>
      </c>
      <c r="R35" s="675"/>
    </row>
    <row r="36" spans="1:18">
      <c r="A36" s="209">
        <f t="shared" si="33"/>
        <v>44075</v>
      </c>
      <c r="B36" s="535"/>
      <c r="C36" s="535"/>
      <c r="D36" s="503">
        <f t="shared" ca="1" si="30"/>
        <v>0</v>
      </c>
      <c r="E36" s="503">
        <f t="shared" ca="1" si="31"/>
        <v>0</v>
      </c>
      <c r="F36" s="206"/>
      <c r="G36" s="206"/>
      <c r="H36" s="206"/>
      <c r="I36" s="207"/>
      <c r="J36" s="536"/>
      <c r="K36" s="536"/>
      <c r="L36" s="536"/>
      <c r="M36" s="536"/>
      <c r="N36" s="536"/>
      <c r="O36" s="536"/>
      <c r="P36" s="530" t="str">
        <f t="shared" si="32"/>
        <v/>
      </c>
      <c r="R36" s="675" t="e">
        <f>IF(J27="Yes", AVERAGE(J30:O41), 0)</f>
        <v>#DIV/0!</v>
      </c>
    </row>
    <row r="37" spans="1:18">
      <c r="A37" s="209">
        <f t="shared" si="33"/>
        <v>44044</v>
      </c>
      <c r="B37" s="535"/>
      <c r="C37" s="535"/>
      <c r="D37" s="503">
        <f t="shared" ca="1" si="30"/>
        <v>0</v>
      </c>
      <c r="E37" s="503">
        <f t="shared" ca="1" si="31"/>
        <v>0</v>
      </c>
      <c r="F37" s="206"/>
      <c r="G37" s="206"/>
      <c r="H37" s="206"/>
      <c r="I37" s="207"/>
      <c r="J37" s="536"/>
      <c r="K37" s="536"/>
      <c r="L37" s="536"/>
      <c r="M37" s="536"/>
      <c r="N37" s="536"/>
      <c r="O37" s="536"/>
      <c r="P37" s="530" t="str">
        <f t="shared" si="32"/>
        <v/>
      </c>
      <c r="R37" s="675"/>
    </row>
    <row r="38" spans="1:18">
      <c r="A38" s="209">
        <f t="shared" si="33"/>
        <v>44013</v>
      </c>
      <c r="B38" s="535"/>
      <c r="C38" s="535"/>
      <c r="D38" s="503">
        <f t="shared" ca="1" si="30"/>
        <v>0</v>
      </c>
      <c r="E38" s="503">
        <f t="shared" ca="1" si="31"/>
        <v>0</v>
      </c>
      <c r="F38" s="206"/>
      <c r="G38" s="206"/>
      <c r="H38" s="206"/>
      <c r="I38" s="207"/>
      <c r="J38" s="536"/>
      <c r="K38" s="536"/>
      <c r="L38" s="536"/>
      <c r="M38" s="536"/>
      <c r="N38" s="536"/>
      <c r="O38" s="536"/>
      <c r="P38" s="530" t="str">
        <f t="shared" si="32"/>
        <v/>
      </c>
      <c r="R38" s="675"/>
    </row>
    <row r="39" spans="1:18">
      <c r="A39" s="209">
        <f t="shared" si="33"/>
        <v>43983</v>
      </c>
      <c r="B39" s="535"/>
      <c r="C39" s="535"/>
      <c r="D39" s="503">
        <f t="shared" ca="1" si="30"/>
        <v>0</v>
      </c>
      <c r="E39" s="503">
        <f t="shared" ca="1" si="31"/>
        <v>0</v>
      </c>
      <c r="F39" s="206"/>
      <c r="G39" s="206"/>
      <c r="H39" s="206"/>
      <c r="I39" s="207"/>
      <c r="J39" s="536"/>
      <c r="K39" s="536"/>
      <c r="L39" s="536"/>
      <c r="M39" s="536"/>
      <c r="N39" s="536"/>
      <c r="O39" s="536"/>
      <c r="P39" s="530" t="str">
        <f t="shared" si="32"/>
        <v/>
      </c>
      <c r="R39" s="675"/>
    </row>
    <row r="40" spans="1:18">
      <c r="A40" s="209">
        <f t="shared" si="33"/>
        <v>43952</v>
      </c>
      <c r="B40" s="535"/>
      <c r="C40" s="535"/>
      <c r="D40" s="503">
        <f t="shared" ca="1" si="30"/>
        <v>0</v>
      </c>
      <c r="E40" s="503">
        <f t="shared" ca="1" si="31"/>
        <v>0</v>
      </c>
      <c r="F40" s="206"/>
      <c r="G40" s="206"/>
      <c r="H40" s="206"/>
      <c r="I40" s="207"/>
      <c r="J40" s="536"/>
      <c r="K40" s="536"/>
      <c r="L40" s="536"/>
      <c r="M40" s="536"/>
      <c r="N40" s="536"/>
      <c r="O40" s="536"/>
      <c r="P40" s="530" t="str">
        <f t="shared" si="32"/>
        <v/>
      </c>
      <c r="R40" s="675"/>
    </row>
    <row r="41" spans="1:18">
      <c r="A41" s="209">
        <f t="shared" si="33"/>
        <v>43922</v>
      </c>
      <c r="B41" s="535"/>
      <c r="C41" s="535"/>
      <c r="D41" s="503">
        <f t="shared" ca="1" si="30"/>
        <v>0</v>
      </c>
      <c r="E41" s="503">
        <f t="shared" ca="1" si="31"/>
        <v>0</v>
      </c>
      <c r="F41" s="206"/>
      <c r="G41" s="206"/>
      <c r="H41" s="206"/>
      <c r="I41" s="207"/>
      <c r="J41" s="536"/>
      <c r="K41" s="536"/>
      <c r="L41" s="536"/>
      <c r="M41" s="536"/>
      <c r="N41" s="536"/>
      <c r="O41" s="536"/>
      <c r="P41" s="530" t="str">
        <f t="shared" si="32"/>
        <v/>
      </c>
      <c r="R41" s="675"/>
    </row>
    <row r="42" spans="1:18">
      <c r="A42" s="165" t="s">
        <v>52</v>
      </c>
      <c r="B42" s="193">
        <f t="shared" ref="B42:H42" si="34">SUM(B30:B41)</f>
        <v>0</v>
      </c>
      <c r="C42" s="193">
        <f t="shared" si="34"/>
        <v>0</v>
      </c>
      <c r="D42" s="193">
        <f t="shared" ca="1" si="34"/>
        <v>0</v>
      </c>
      <c r="E42" s="193">
        <f t="shared" ca="1" si="34"/>
        <v>0</v>
      </c>
      <c r="F42" s="193">
        <f t="shared" si="34"/>
        <v>0</v>
      </c>
      <c r="G42" s="193">
        <f t="shared" si="34"/>
        <v>0</v>
      </c>
      <c r="H42" s="193">
        <f t="shared" si="34"/>
        <v>0</v>
      </c>
      <c r="I42" s="193"/>
      <c r="J42" s="193">
        <f t="shared" ref="J42:O42" si="35">SUM(J30:J41)</f>
        <v>0</v>
      </c>
      <c r="K42" s="193">
        <f t="shared" si="35"/>
        <v>0</v>
      </c>
      <c r="L42" s="193">
        <f t="shared" si="35"/>
        <v>0</v>
      </c>
      <c r="M42" s="193">
        <f t="shared" si="35"/>
        <v>0</v>
      </c>
      <c r="N42" s="193">
        <f t="shared" si="35"/>
        <v>0</v>
      </c>
      <c r="O42" s="193">
        <f t="shared" si="35"/>
        <v>0</v>
      </c>
      <c r="P42" s="532" t="str">
        <f>IFERROR(AVERAGE(P30:P41),"")</f>
        <v/>
      </c>
    </row>
    <row r="43" spans="1:18">
      <c r="A43" s="165" t="s">
        <v>89</v>
      </c>
      <c r="B43" s="193" t="str">
        <f>IFERROR(+AVERAGE(B30:B41),"")</f>
        <v/>
      </c>
      <c r="C43" s="193" t="str">
        <f>IFERROR(+AVERAGE(C30:C41),"")</f>
        <v/>
      </c>
      <c r="D43" s="193">
        <f t="shared" ref="D43:E43" ca="1" si="36">+AVERAGE(D30:D41)</f>
        <v>0</v>
      </c>
      <c r="E43" s="193">
        <f t="shared" ca="1" si="36"/>
        <v>0</v>
      </c>
      <c r="F43" s="193" t="str">
        <f>IFERROR(+AVERAGE(F30:F41),"")</f>
        <v/>
      </c>
      <c r="G43" s="193" t="str">
        <f>IFERROR(+AVERAGE(G30:G41),"")</f>
        <v/>
      </c>
      <c r="H43" s="193" t="str">
        <f>IFERROR(+AVERAGE(H30:H41),"")</f>
        <v/>
      </c>
      <c r="I43" s="194"/>
      <c r="J43" s="194"/>
      <c r="K43" s="195"/>
      <c r="L43" s="195"/>
      <c r="M43" s="196"/>
      <c r="N43" s="195"/>
      <c r="O43" s="531"/>
      <c r="P43" s="533" t="str">
        <f>IFERROR(AVERAGE(J30:O41),"")</f>
        <v/>
      </c>
    </row>
    <row r="44" spans="1:18" ht="15.75" thickBot="1"/>
    <row r="45" spans="1:18">
      <c r="A45" s="705" t="s">
        <v>234</v>
      </c>
      <c r="B45" s="706"/>
      <c r="C45" s="707"/>
      <c r="D45" s="736"/>
      <c r="E45" s="708"/>
      <c r="F45" s="708"/>
      <c r="G45" s="708"/>
      <c r="H45" s="708"/>
      <c r="I45" s="708"/>
      <c r="J45" s="708"/>
      <c r="K45" s="708"/>
      <c r="L45" s="708"/>
      <c r="M45" s="708"/>
      <c r="N45" s="708"/>
      <c r="O45" s="709"/>
    </row>
    <row r="46" spans="1:18">
      <c r="A46" s="710" t="s">
        <v>120</v>
      </c>
      <c r="B46" s="711"/>
      <c r="C46" s="712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4"/>
    </row>
    <row r="47" spans="1:18">
      <c r="A47" s="683" t="s">
        <v>121</v>
      </c>
      <c r="B47" s="684"/>
      <c r="C47" s="689"/>
      <c r="D47" s="690"/>
      <c r="E47" s="690"/>
      <c r="F47" s="690"/>
      <c r="G47" s="692"/>
      <c r="H47" s="688" t="s">
        <v>122</v>
      </c>
      <c r="I47" s="684"/>
      <c r="J47" s="715"/>
      <c r="K47" s="716"/>
      <c r="L47" s="716"/>
      <c r="M47" s="716"/>
      <c r="N47" s="716"/>
      <c r="O47" s="717"/>
    </row>
    <row r="48" spans="1:18" ht="15" customHeight="1">
      <c r="A48" s="683" t="s">
        <v>123</v>
      </c>
      <c r="B48" s="684"/>
      <c r="C48" s="685"/>
      <c r="D48" s="686"/>
      <c r="E48" s="686"/>
      <c r="F48" s="686"/>
      <c r="G48" s="687"/>
      <c r="H48" s="688" t="s">
        <v>124</v>
      </c>
      <c r="I48" s="684"/>
      <c r="J48" s="734"/>
      <c r="K48" s="734"/>
      <c r="L48" s="734"/>
      <c r="M48" s="734"/>
      <c r="N48" s="734"/>
      <c r="O48" s="735"/>
    </row>
    <row r="49" spans="1:18">
      <c r="A49" s="683" t="s">
        <v>125</v>
      </c>
      <c r="B49" s="684"/>
      <c r="C49" s="690"/>
      <c r="D49" s="690"/>
      <c r="E49" s="690"/>
      <c r="F49" s="690"/>
      <c r="G49" s="692"/>
      <c r="H49" s="688" t="str">
        <f>IF(J48="Overdraft","Limit",IF(J48="Cash Credit","Limit",""))</f>
        <v/>
      </c>
      <c r="I49" s="684"/>
      <c r="J49" s="693"/>
      <c r="K49" s="693"/>
      <c r="L49" s="693"/>
      <c r="M49" s="693"/>
      <c r="N49" s="693"/>
      <c r="O49" s="694"/>
    </row>
    <row r="50" spans="1:18" ht="32.25" customHeight="1">
      <c r="A50" s="695" t="s">
        <v>126</v>
      </c>
      <c r="B50" s="696"/>
      <c r="C50" s="697"/>
      <c r="D50" s="698"/>
      <c r="E50" s="698"/>
      <c r="F50" s="698"/>
      <c r="G50" s="699"/>
      <c r="H50" s="700" t="str">
        <f>IF(AND('Policy Parameters'!$B$2="Abb Scheme",J48="Current Account"),"Considered for ABB Eligibility","")</f>
        <v/>
      </c>
      <c r="I50" s="701"/>
      <c r="J50" s="689" t="s">
        <v>129</v>
      </c>
      <c r="K50" s="690"/>
      <c r="L50" s="690"/>
      <c r="M50" s="690"/>
      <c r="N50" s="690"/>
      <c r="O50" s="691"/>
    </row>
    <row r="51" spans="1:18" ht="15" customHeight="1">
      <c r="A51" s="165" t="s">
        <v>115</v>
      </c>
      <c r="B51" s="676" t="s">
        <v>240</v>
      </c>
      <c r="C51" s="677"/>
      <c r="D51" s="676" t="s">
        <v>241</v>
      </c>
      <c r="E51" s="677"/>
      <c r="F51" s="678" t="s">
        <v>242</v>
      </c>
      <c r="G51" s="678" t="s">
        <v>243</v>
      </c>
      <c r="H51" s="678" t="s">
        <v>244</v>
      </c>
      <c r="I51" s="678" t="s">
        <v>245</v>
      </c>
      <c r="J51" s="676" t="s">
        <v>116</v>
      </c>
      <c r="K51" s="680"/>
      <c r="L51" s="680"/>
      <c r="M51" s="680"/>
      <c r="N51" s="680"/>
      <c r="O51" s="677"/>
      <c r="P51" s="681" t="s">
        <v>246</v>
      </c>
    </row>
    <row r="52" spans="1:18" ht="49.5" customHeight="1">
      <c r="A52" s="165" t="s">
        <v>117</v>
      </c>
      <c r="B52" s="166" t="s">
        <v>78</v>
      </c>
      <c r="C52" s="166" t="s">
        <v>79</v>
      </c>
      <c r="D52" s="166" t="s">
        <v>78</v>
      </c>
      <c r="E52" s="166" t="s">
        <v>79</v>
      </c>
      <c r="F52" s="679"/>
      <c r="G52" s="679"/>
      <c r="H52" s="679"/>
      <c r="I52" s="679"/>
      <c r="J52" s="166" t="s">
        <v>80</v>
      </c>
      <c r="K52" s="166" t="s">
        <v>81</v>
      </c>
      <c r="L52" s="166" t="s">
        <v>82</v>
      </c>
      <c r="M52" s="166" t="s">
        <v>83</v>
      </c>
      <c r="N52" s="166" t="s">
        <v>84</v>
      </c>
      <c r="O52" s="166" t="s">
        <v>85</v>
      </c>
      <c r="P52" s="682"/>
      <c r="R52" s="528" t="s">
        <v>425</v>
      </c>
    </row>
    <row r="53" spans="1:18">
      <c r="A53" s="209">
        <f>$A$30</f>
        <v>44256</v>
      </c>
      <c r="B53" s="535"/>
      <c r="C53" s="535"/>
      <c r="D53" s="503">
        <f t="shared" ref="D53:D64" ca="1" si="37">IFERROR(LEN(_xlfn.FORMULATEXT(B53))-LEN(SUBSTITUTE(_xlfn.FORMULATEXT(B53),"+",""))+1,0)</f>
        <v>0</v>
      </c>
      <c r="E53" s="503">
        <f t="shared" ref="E53:E64" ca="1" si="38">IFERROR(LEN(_xlfn.FORMULATEXT(C53))-LEN(SUBSTITUTE(_xlfn.FORMULATEXT(C53),"+",""))+1,0)</f>
        <v>0</v>
      </c>
      <c r="F53" s="206"/>
      <c r="G53" s="206"/>
      <c r="H53" s="206"/>
      <c r="I53" s="207"/>
      <c r="J53" s="536"/>
      <c r="K53" s="536"/>
      <c r="L53" s="536"/>
      <c r="M53" s="536"/>
      <c r="N53" s="536"/>
      <c r="O53" s="536"/>
      <c r="P53" s="530" t="str">
        <f>IFERROR(SUM(J53:O53)/COUNT(J53:O53),"")</f>
        <v/>
      </c>
      <c r="Q53">
        <f>IF(AND(C53&lt;&gt;0,J50="yes"),1,0)</f>
        <v>0</v>
      </c>
      <c r="R53" s="675" t="e">
        <f>IF(J50="Yes", AVERAGE(J53:O58), 0)</f>
        <v>#DIV/0!</v>
      </c>
    </row>
    <row r="54" spans="1:18">
      <c r="A54" s="209">
        <f>EDATE(A53,-1)</f>
        <v>44228</v>
      </c>
      <c r="B54" s="535"/>
      <c r="C54" s="535"/>
      <c r="D54" s="503">
        <f t="shared" ca="1" si="37"/>
        <v>0</v>
      </c>
      <c r="E54" s="503">
        <f t="shared" ca="1" si="38"/>
        <v>0</v>
      </c>
      <c r="F54" s="206"/>
      <c r="G54" s="206"/>
      <c r="H54" s="206"/>
      <c r="I54" s="207"/>
      <c r="J54" s="536"/>
      <c r="K54" s="536"/>
      <c r="L54" s="536"/>
      <c r="M54" s="536"/>
      <c r="N54" s="536"/>
      <c r="O54" s="536"/>
      <c r="P54" s="530" t="str">
        <f t="shared" ref="P54:P64" si="39">IFERROR(SUM(J54:O54)/COUNT(J54:O54),"")</f>
        <v/>
      </c>
      <c r="R54" s="675"/>
    </row>
    <row r="55" spans="1:18">
      <c r="A55" s="209">
        <f t="shared" ref="A55:A64" si="40">EDATE(A54,-1)</f>
        <v>44197</v>
      </c>
      <c r="B55" s="535"/>
      <c r="C55" s="535"/>
      <c r="D55" s="503">
        <f t="shared" ca="1" si="37"/>
        <v>0</v>
      </c>
      <c r="E55" s="503">
        <f t="shared" ca="1" si="38"/>
        <v>0</v>
      </c>
      <c r="F55" s="206"/>
      <c r="G55" s="206"/>
      <c r="H55" s="206"/>
      <c r="I55" s="207"/>
      <c r="J55" s="536"/>
      <c r="K55" s="536"/>
      <c r="L55" s="536"/>
      <c r="M55" s="536"/>
      <c r="N55" s="536"/>
      <c r="O55" s="536"/>
      <c r="P55" s="530" t="str">
        <f t="shared" si="39"/>
        <v/>
      </c>
      <c r="R55" s="675"/>
    </row>
    <row r="56" spans="1:18">
      <c r="A56" s="209">
        <f t="shared" si="40"/>
        <v>44166</v>
      </c>
      <c r="B56" s="535"/>
      <c r="C56" s="535"/>
      <c r="D56" s="503">
        <f t="shared" ca="1" si="37"/>
        <v>0</v>
      </c>
      <c r="E56" s="503">
        <f t="shared" ca="1" si="38"/>
        <v>0</v>
      </c>
      <c r="F56" s="206"/>
      <c r="G56" s="206"/>
      <c r="H56" s="206"/>
      <c r="I56" s="207"/>
      <c r="J56" s="536"/>
      <c r="K56" s="536"/>
      <c r="L56" s="536"/>
      <c r="M56" s="536"/>
      <c r="N56" s="536"/>
      <c r="O56" s="536"/>
      <c r="P56" s="530" t="str">
        <f t="shared" si="39"/>
        <v/>
      </c>
      <c r="R56" s="675"/>
    </row>
    <row r="57" spans="1:18">
      <c r="A57" s="209">
        <f t="shared" si="40"/>
        <v>44136</v>
      </c>
      <c r="B57" s="535"/>
      <c r="C57" s="535"/>
      <c r="D57" s="503">
        <f t="shared" ca="1" si="37"/>
        <v>0</v>
      </c>
      <c r="E57" s="503">
        <f t="shared" ca="1" si="38"/>
        <v>0</v>
      </c>
      <c r="F57" s="206"/>
      <c r="G57" s="206"/>
      <c r="H57" s="206"/>
      <c r="I57" s="207"/>
      <c r="J57" s="536"/>
      <c r="K57" s="536"/>
      <c r="L57" s="536"/>
      <c r="M57" s="536"/>
      <c r="N57" s="536"/>
      <c r="O57" s="536"/>
      <c r="P57" s="530" t="str">
        <f t="shared" si="39"/>
        <v/>
      </c>
      <c r="R57" s="675"/>
    </row>
    <row r="58" spans="1:18">
      <c r="A58" s="209">
        <f t="shared" si="40"/>
        <v>44105</v>
      </c>
      <c r="B58" s="535"/>
      <c r="C58" s="535"/>
      <c r="D58" s="503">
        <f t="shared" ca="1" si="37"/>
        <v>0</v>
      </c>
      <c r="E58" s="503">
        <f t="shared" ca="1" si="38"/>
        <v>0</v>
      </c>
      <c r="F58" s="206"/>
      <c r="G58" s="206"/>
      <c r="H58" s="206"/>
      <c r="I58" s="207"/>
      <c r="J58" s="536"/>
      <c r="K58" s="536"/>
      <c r="L58" s="536"/>
      <c r="M58" s="536"/>
      <c r="N58" s="536"/>
      <c r="O58" s="536"/>
      <c r="P58" s="530" t="str">
        <f t="shared" si="39"/>
        <v/>
      </c>
      <c r="R58" s="675"/>
    </row>
    <row r="59" spans="1:18">
      <c r="A59" s="209">
        <f t="shared" si="40"/>
        <v>44075</v>
      </c>
      <c r="B59" s="535"/>
      <c r="C59" s="535"/>
      <c r="D59" s="503">
        <f t="shared" ca="1" si="37"/>
        <v>0</v>
      </c>
      <c r="E59" s="503">
        <f t="shared" ca="1" si="38"/>
        <v>0</v>
      </c>
      <c r="F59" s="206"/>
      <c r="G59" s="206"/>
      <c r="H59" s="206"/>
      <c r="I59" s="207"/>
      <c r="J59" s="536"/>
      <c r="K59" s="536"/>
      <c r="L59" s="536"/>
      <c r="M59" s="536"/>
      <c r="N59" s="536"/>
      <c r="O59" s="536"/>
      <c r="P59" s="530" t="str">
        <f t="shared" si="39"/>
        <v/>
      </c>
      <c r="R59" s="675" t="e">
        <f>IF(J50="Yes", AVERAGE(J53:O64), 0)</f>
        <v>#DIV/0!</v>
      </c>
    </row>
    <row r="60" spans="1:18">
      <c r="A60" s="209">
        <f t="shared" si="40"/>
        <v>44044</v>
      </c>
      <c r="B60" s="535"/>
      <c r="C60" s="535"/>
      <c r="D60" s="503">
        <f t="shared" ca="1" si="37"/>
        <v>0</v>
      </c>
      <c r="E60" s="503">
        <f t="shared" ca="1" si="38"/>
        <v>0</v>
      </c>
      <c r="F60" s="206"/>
      <c r="G60" s="206"/>
      <c r="H60" s="206"/>
      <c r="I60" s="207"/>
      <c r="J60" s="536"/>
      <c r="K60" s="536"/>
      <c r="L60" s="536"/>
      <c r="M60" s="536"/>
      <c r="N60" s="536"/>
      <c r="O60" s="536"/>
      <c r="P60" s="530" t="str">
        <f t="shared" si="39"/>
        <v/>
      </c>
      <c r="R60" s="675"/>
    </row>
    <row r="61" spans="1:18">
      <c r="A61" s="209">
        <f t="shared" si="40"/>
        <v>44013</v>
      </c>
      <c r="B61" s="535"/>
      <c r="C61" s="535"/>
      <c r="D61" s="503">
        <f t="shared" ca="1" si="37"/>
        <v>0</v>
      </c>
      <c r="E61" s="503">
        <f t="shared" ca="1" si="38"/>
        <v>0</v>
      </c>
      <c r="F61" s="206"/>
      <c r="G61" s="206"/>
      <c r="H61" s="206"/>
      <c r="I61" s="207"/>
      <c r="J61" s="536"/>
      <c r="K61" s="536"/>
      <c r="L61" s="536"/>
      <c r="M61" s="536"/>
      <c r="N61" s="536"/>
      <c r="O61" s="536"/>
      <c r="P61" s="530" t="str">
        <f t="shared" si="39"/>
        <v/>
      </c>
      <c r="R61" s="675"/>
    </row>
    <row r="62" spans="1:18">
      <c r="A62" s="209">
        <f t="shared" si="40"/>
        <v>43983</v>
      </c>
      <c r="B62" s="535"/>
      <c r="C62" s="535"/>
      <c r="D62" s="503">
        <f t="shared" ca="1" si="37"/>
        <v>0</v>
      </c>
      <c r="E62" s="503">
        <f t="shared" ca="1" si="38"/>
        <v>0</v>
      </c>
      <c r="F62" s="206"/>
      <c r="G62" s="206"/>
      <c r="H62" s="206"/>
      <c r="I62" s="207"/>
      <c r="J62" s="536"/>
      <c r="K62" s="536"/>
      <c r="L62" s="536"/>
      <c r="M62" s="536"/>
      <c r="N62" s="536"/>
      <c r="O62" s="536"/>
      <c r="P62" s="530" t="str">
        <f t="shared" si="39"/>
        <v/>
      </c>
      <c r="R62" s="675"/>
    </row>
    <row r="63" spans="1:18">
      <c r="A63" s="209">
        <f t="shared" si="40"/>
        <v>43952</v>
      </c>
      <c r="B63" s="535"/>
      <c r="C63" s="535"/>
      <c r="D63" s="503">
        <f t="shared" ca="1" si="37"/>
        <v>0</v>
      </c>
      <c r="E63" s="503">
        <f t="shared" ca="1" si="38"/>
        <v>0</v>
      </c>
      <c r="F63" s="206"/>
      <c r="G63" s="206"/>
      <c r="H63" s="206"/>
      <c r="I63" s="207"/>
      <c r="J63" s="536"/>
      <c r="K63" s="536"/>
      <c r="L63" s="536"/>
      <c r="M63" s="536"/>
      <c r="N63" s="536"/>
      <c r="O63" s="536"/>
      <c r="P63" s="530" t="str">
        <f t="shared" si="39"/>
        <v/>
      </c>
      <c r="R63" s="675"/>
    </row>
    <row r="64" spans="1:18">
      <c r="A64" s="209">
        <f t="shared" si="40"/>
        <v>43922</v>
      </c>
      <c r="B64" s="535"/>
      <c r="C64" s="535"/>
      <c r="D64" s="503">
        <f t="shared" ca="1" si="37"/>
        <v>0</v>
      </c>
      <c r="E64" s="503">
        <f t="shared" ca="1" si="38"/>
        <v>0</v>
      </c>
      <c r="F64" s="206"/>
      <c r="G64" s="206"/>
      <c r="H64" s="206"/>
      <c r="I64" s="207"/>
      <c r="J64" s="536"/>
      <c r="K64" s="536"/>
      <c r="L64" s="536"/>
      <c r="M64" s="536"/>
      <c r="N64" s="536"/>
      <c r="O64" s="536"/>
      <c r="P64" s="530" t="str">
        <f t="shared" si="39"/>
        <v/>
      </c>
      <c r="R64" s="675"/>
    </row>
    <row r="65" spans="1:18">
      <c r="A65" s="165" t="s">
        <v>52</v>
      </c>
      <c r="B65" s="193">
        <f t="shared" ref="B65:H65" si="41">SUM(B53:B64)</f>
        <v>0</v>
      </c>
      <c r="C65" s="193">
        <f t="shared" si="41"/>
        <v>0</v>
      </c>
      <c r="D65" s="193">
        <f t="shared" ca="1" si="41"/>
        <v>0</v>
      </c>
      <c r="E65" s="193">
        <f t="shared" ca="1" si="41"/>
        <v>0</v>
      </c>
      <c r="F65" s="193">
        <f t="shared" si="41"/>
        <v>0</v>
      </c>
      <c r="G65" s="193">
        <f t="shared" si="41"/>
        <v>0</v>
      </c>
      <c r="H65" s="193">
        <f t="shared" si="41"/>
        <v>0</v>
      </c>
      <c r="I65" s="193"/>
      <c r="J65" s="193">
        <f t="shared" ref="J65:O65" si="42">SUM(J53:J64)</f>
        <v>0</v>
      </c>
      <c r="K65" s="193">
        <f t="shared" si="42"/>
        <v>0</v>
      </c>
      <c r="L65" s="193">
        <f t="shared" si="42"/>
        <v>0</v>
      </c>
      <c r="M65" s="193">
        <f t="shared" si="42"/>
        <v>0</v>
      </c>
      <c r="N65" s="193">
        <f t="shared" si="42"/>
        <v>0</v>
      </c>
      <c r="O65" s="193">
        <f t="shared" si="42"/>
        <v>0</v>
      </c>
      <c r="P65" s="532" t="str">
        <f>IFERROR(AVERAGE(P53:P64),"")</f>
        <v/>
      </c>
    </row>
    <row r="66" spans="1:18">
      <c r="A66" s="165" t="s">
        <v>89</v>
      </c>
      <c r="B66" s="193" t="str">
        <f>IFERROR(+AVERAGE(B53:B64),"")</f>
        <v/>
      </c>
      <c r="C66" s="193" t="str">
        <f>IFERROR(+AVERAGE(C53:C64),"")</f>
        <v/>
      </c>
      <c r="D66" s="193">
        <f t="shared" ref="D66:E66" ca="1" si="43">+AVERAGE(D53:D64)</f>
        <v>0</v>
      </c>
      <c r="E66" s="193">
        <f t="shared" ca="1" si="43"/>
        <v>0</v>
      </c>
      <c r="F66" s="193" t="str">
        <f>IFERROR(+AVERAGE(F53:F64),"")</f>
        <v/>
      </c>
      <c r="G66" s="193" t="str">
        <f>IFERROR(+AVERAGE(G53:G64),"")</f>
        <v/>
      </c>
      <c r="H66" s="193" t="str">
        <f>IFERROR(+AVERAGE(H53:H64),"")</f>
        <v/>
      </c>
      <c r="I66" s="194"/>
      <c r="J66" s="194"/>
      <c r="K66" s="195"/>
      <c r="L66" s="195"/>
      <c r="M66" s="196"/>
      <c r="N66" s="195"/>
      <c r="O66" s="531"/>
      <c r="P66" s="533" t="str">
        <f>IFERROR(AVERAGE(J53:O64),"")</f>
        <v/>
      </c>
    </row>
    <row r="67" spans="1:18" ht="15.75" thickBot="1"/>
    <row r="68" spans="1:18">
      <c r="A68" s="705" t="s">
        <v>235</v>
      </c>
      <c r="B68" s="706"/>
      <c r="C68" s="707"/>
      <c r="D68" s="708"/>
      <c r="E68" s="708"/>
      <c r="F68" s="708"/>
      <c r="G68" s="708"/>
      <c r="H68" s="708"/>
      <c r="I68" s="708"/>
      <c r="J68" s="708"/>
      <c r="K68" s="708"/>
      <c r="L68" s="708"/>
      <c r="M68" s="708"/>
      <c r="N68" s="708"/>
      <c r="O68" s="709"/>
    </row>
    <row r="69" spans="1:18">
      <c r="A69" s="710" t="s">
        <v>120</v>
      </c>
      <c r="B69" s="711"/>
      <c r="C69" s="712"/>
      <c r="D69" s="713"/>
      <c r="E69" s="713"/>
      <c r="F69" s="713"/>
      <c r="G69" s="713"/>
      <c r="H69" s="713"/>
      <c r="I69" s="713"/>
      <c r="J69" s="713"/>
      <c r="K69" s="713"/>
      <c r="L69" s="713"/>
      <c r="M69" s="713"/>
      <c r="N69" s="713"/>
      <c r="O69" s="714"/>
    </row>
    <row r="70" spans="1:18">
      <c r="A70" s="683" t="s">
        <v>121</v>
      </c>
      <c r="B70" s="684"/>
      <c r="C70" s="689"/>
      <c r="D70" s="690"/>
      <c r="E70" s="690"/>
      <c r="F70" s="690"/>
      <c r="G70" s="692"/>
      <c r="H70" s="688" t="s">
        <v>122</v>
      </c>
      <c r="I70" s="684"/>
      <c r="J70" s="715"/>
      <c r="K70" s="716"/>
      <c r="L70" s="716"/>
      <c r="M70" s="716"/>
      <c r="N70" s="716"/>
      <c r="O70" s="717"/>
    </row>
    <row r="71" spans="1:18" ht="15" customHeight="1">
      <c r="A71" s="683" t="s">
        <v>123</v>
      </c>
      <c r="B71" s="684"/>
      <c r="C71" s="685"/>
      <c r="D71" s="686"/>
      <c r="E71" s="686"/>
      <c r="F71" s="686"/>
      <c r="G71" s="687"/>
      <c r="H71" s="688" t="s">
        <v>124</v>
      </c>
      <c r="I71" s="684"/>
      <c r="J71" s="689"/>
      <c r="K71" s="690"/>
      <c r="L71" s="690"/>
      <c r="M71" s="690"/>
      <c r="N71" s="690"/>
      <c r="O71" s="691"/>
    </row>
    <row r="72" spans="1:18">
      <c r="A72" s="683" t="s">
        <v>125</v>
      </c>
      <c r="B72" s="684"/>
      <c r="C72" s="690"/>
      <c r="D72" s="690"/>
      <c r="E72" s="690"/>
      <c r="F72" s="690"/>
      <c r="G72" s="692"/>
      <c r="H72" s="688" t="str">
        <f>IF(J71="Overdraft","Limit",IF(J71="Cash Credit","Limit",""))</f>
        <v/>
      </c>
      <c r="I72" s="684"/>
      <c r="J72" s="693"/>
      <c r="K72" s="693"/>
      <c r="L72" s="693"/>
      <c r="M72" s="693"/>
      <c r="N72" s="693"/>
      <c r="O72" s="694"/>
    </row>
    <row r="73" spans="1:18" ht="30.75" customHeight="1">
      <c r="A73" s="695" t="s">
        <v>126</v>
      </c>
      <c r="B73" s="696"/>
      <c r="C73" s="697"/>
      <c r="D73" s="698"/>
      <c r="E73" s="698"/>
      <c r="F73" s="698"/>
      <c r="G73" s="699"/>
      <c r="H73" s="700" t="str">
        <f>IF(AND('Policy Parameters'!$B$2="Abb Scheme",J71="Current Account"),"Considered for ABB Eligibility","")</f>
        <v/>
      </c>
      <c r="I73" s="701"/>
      <c r="J73" s="689" t="s">
        <v>129</v>
      </c>
      <c r="K73" s="690"/>
      <c r="L73" s="690"/>
      <c r="M73" s="690"/>
      <c r="N73" s="690"/>
      <c r="O73" s="691"/>
    </row>
    <row r="74" spans="1:18" ht="15" customHeight="1">
      <c r="A74" s="165" t="s">
        <v>115</v>
      </c>
      <c r="B74" s="676" t="s">
        <v>240</v>
      </c>
      <c r="C74" s="677"/>
      <c r="D74" s="676" t="s">
        <v>241</v>
      </c>
      <c r="E74" s="677"/>
      <c r="F74" s="678" t="s">
        <v>242</v>
      </c>
      <c r="G74" s="678" t="s">
        <v>243</v>
      </c>
      <c r="H74" s="678" t="s">
        <v>244</v>
      </c>
      <c r="I74" s="678" t="s">
        <v>245</v>
      </c>
      <c r="J74" s="676" t="s">
        <v>116</v>
      </c>
      <c r="K74" s="680"/>
      <c r="L74" s="680"/>
      <c r="M74" s="680"/>
      <c r="N74" s="680"/>
      <c r="O74" s="677"/>
      <c r="P74" s="681" t="s">
        <v>246</v>
      </c>
    </row>
    <row r="75" spans="1:18" ht="43.5" customHeight="1">
      <c r="A75" s="165" t="s">
        <v>117</v>
      </c>
      <c r="B75" s="166" t="s">
        <v>78</v>
      </c>
      <c r="C75" s="166" t="s">
        <v>79</v>
      </c>
      <c r="D75" s="166" t="s">
        <v>78</v>
      </c>
      <c r="E75" s="166" t="s">
        <v>79</v>
      </c>
      <c r="F75" s="679"/>
      <c r="G75" s="679"/>
      <c r="H75" s="679"/>
      <c r="I75" s="679"/>
      <c r="J75" s="166" t="s">
        <v>80</v>
      </c>
      <c r="K75" s="166" t="s">
        <v>81</v>
      </c>
      <c r="L75" s="166" t="s">
        <v>82</v>
      </c>
      <c r="M75" s="166" t="s">
        <v>83</v>
      </c>
      <c r="N75" s="166" t="s">
        <v>84</v>
      </c>
      <c r="O75" s="166" t="s">
        <v>85</v>
      </c>
      <c r="P75" s="682"/>
      <c r="R75" s="528" t="s">
        <v>425</v>
      </c>
    </row>
    <row r="76" spans="1:18">
      <c r="A76" s="209">
        <f>$A$30</f>
        <v>44256</v>
      </c>
      <c r="B76" s="535"/>
      <c r="C76" s="535"/>
      <c r="D76" s="503">
        <f t="shared" ref="D76:D87" ca="1" si="44">IFERROR(LEN(_xlfn.FORMULATEXT(B76))-LEN(SUBSTITUTE(_xlfn.FORMULATEXT(B76),"+",""))+1,0)</f>
        <v>0</v>
      </c>
      <c r="E76" s="503">
        <f t="shared" ref="E76:E87" ca="1" si="45">IFERROR(LEN(_xlfn.FORMULATEXT(C76))-LEN(SUBSTITUTE(_xlfn.FORMULATEXT(C76),"+",""))+1,0)</f>
        <v>0</v>
      </c>
      <c r="F76" s="206"/>
      <c r="G76" s="206"/>
      <c r="H76" s="206"/>
      <c r="I76" s="207"/>
      <c r="J76" s="536"/>
      <c r="K76" s="536"/>
      <c r="L76" s="536"/>
      <c r="M76" s="536"/>
      <c r="N76" s="536"/>
      <c r="O76" s="536"/>
      <c r="P76" s="530" t="str">
        <f>IFERROR(SUM(J76:O76)/COUNT(J76:O76),"")</f>
        <v/>
      </c>
      <c r="Q76">
        <f>IF(AND(C76&lt;&gt;0,J73="yes"),1,0)</f>
        <v>0</v>
      </c>
      <c r="R76" s="675" t="e">
        <f>IF(J73="Yes", AVERAGE(J76:O81), 0)</f>
        <v>#DIV/0!</v>
      </c>
    </row>
    <row r="77" spans="1:18">
      <c r="A77" s="209">
        <f>EDATE(A76,-1)</f>
        <v>44228</v>
      </c>
      <c r="B77" s="535"/>
      <c r="C77" s="535"/>
      <c r="D77" s="503">
        <f t="shared" ca="1" si="44"/>
        <v>0</v>
      </c>
      <c r="E77" s="503">
        <f t="shared" ca="1" si="45"/>
        <v>0</v>
      </c>
      <c r="F77" s="206"/>
      <c r="G77" s="206"/>
      <c r="H77" s="206"/>
      <c r="I77" s="207"/>
      <c r="J77" s="536"/>
      <c r="K77" s="536"/>
      <c r="L77" s="536"/>
      <c r="M77" s="536"/>
      <c r="N77" s="536"/>
      <c r="O77" s="536"/>
      <c r="P77" s="530" t="str">
        <f t="shared" ref="P77:P87" si="46">IFERROR(SUM(J77:O77)/COUNT(J77:O77),"")</f>
        <v/>
      </c>
      <c r="R77" s="675"/>
    </row>
    <row r="78" spans="1:18">
      <c r="A78" s="209">
        <f t="shared" ref="A78:A87" si="47">EDATE(A77,-1)</f>
        <v>44197</v>
      </c>
      <c r="B78" s="535"/>
      <c r="C78" s="535"/>
      <c r="D78" s="503">
        <f t="shared" ca="1" si="44"/>
        <v>0</v>
      </c>
      <c r="E78" s="503">
        <f t="shared" ca="1" si="45"/>
        <v>0</v>
      </c>
      <c r="F78" s="206"/>
      <c r="G78" s="206"/>
      <c r="H78" s="206"/>
      <c r="I78" s="207"/>
      <c r="J78" s="536"/>
      <c r="K78" s="536"/>
      <c r="L78" s="536"/>
      <c r="M78" s="536"/>
      <c r="N78" s="536"/>
      <c r="O78" s="536"/>
      <c r="P78" s="530" t="str">
        <f t="shared" si="46"/>
        <v/>
      </c>
      <c r="R78" s="675"/>
    </row>
    <row r="79" spans="1:18">
      <c r="A79" s="209">
        <f t="shared" si="47"/>
        <v>44166</v>
      </c>
      <c r="B79" s="535"/>
      <c r="C79" s="535"/>
      <c r="D79" s="503">
        <f t="shared" ca="1" si="44"/>
        <v>0</v>
      </c>
      <c r="E79" s="503">
        <f t="shared" ca="1" si="45"/>
        <v>0</v>
      </c>
      <c r="F79" s="206"/>
      <c r="G79" s="206"/>
      <c r="H79" s="206"/>
      <c r="I79" s="207"/>
      <c r="J79" s="536"/>
      <c r="K79" s="536"/>
      <c r="L79" s="536"/>
      <c r="M79" s="536"/>
      <c r="N79" s="536"/>
      <c r="O79" s="536"/>
      <c r="P79" s="530" t="str">
        <f t="shared" si="46"/>
        <v/>
      </c>
      <c r="R79" s="675"/>
    </row>
    <row r="80" spans="1:18">
      <c r="A80" s="209">
        <f t="shared" si="47"/>
        <v>44136</v>
      </c>
      <c r="B80" s="535"/>
      <c r="C80" s="535"/>
      <c r="D80" s="503">
        <f t="shared" ca="1" si="44"/>
        <v>0</v>
      </c>
      <c r="E80" s="503">
        <f t="shared" ca="1" si="45"/>
        <v>0</v>
      </c>
      <c r="F80" s="206"/>
      <c r="G80" s="206"/>
      <c r="H80" s="206"/>
      <c r="I80" s="207"/>
      <c r="J80" s="536"/>
      <c r="K80" s="536"/>
      <c r="L80" s="536"/>
      <c r="M80" s="536"/>
      <c r="N80" s="536"/>
      <c r="O80" s="536"/>
      <c r="P80" s="530" t="str">
        <f t="shared" si="46"/>
        <v/>
      </c>
      <c r="R80" s="675"/>
    </row>
    <row r="81" spans="1:18">
      <c r="A81" s="209">
        <f t="shared" si="47"/>
        <v>44105</v>
      </c>
      <c r="B81" s="535"/>
      <c r="C81" s="535"/>
      <c r="D81" s="503">
        <f t="shared" ca="1" si="44"/>
        <v>0</v>
      </c>
      <c r="E81" s="503">
        <f t="shared" ca="1" si="45"/>
        <v>0</v>
      </c>
      <c r="F81" s="206"/>
      <c r="G81" s="206"/>
      <c r="H81" s="206"/>
      <c r="I81" s="207"/>
      <c r="J81" s="536"/>
      <c r="K81" s="536"/>
      <c r="L81" s="536"/>
      <c r="M81" s="536"/>
      <c r="N81" s="536"/>
      <c r="O81" s="536"/>
      <c r="P81" s="530" t="str">
        <f t="shared" si="46"/>
        <v/>
      </c>
      <c r="R81" s="675"/>
    </row>
    <row r="82" spans="1:18">
      <c r="A82" s="209">
        <f t="shared" si="47"/>
        <v>44075</v>
      </c>
      <c r="B82" s="535"/>
      <c r="C82" s="535"/>
      <c r="D82" s="503">
        <f t="shared" ca="1" si="44"/>
        <v>0</v>
      </c>
      <c r="E82" s="503">
        <f t="shared" ca="1" si="45"/>
        <v>0</v>
      </c>
      <c r="F82" s="206"/>
      <c r="G82" s="206"/>
      <c r="H82" s="206"/>
      <c r="I82" s="207"/>
      <c r="J82" s="536"/>
      <c r="K82" s="536"/>
      <c r="L82" s="536"/>
      <c r="M82" s="536"/>
      <c r="N82" s="536"/>
      <c r="O82" s="536"/>
      <c r="P82" s="530" t="str">
        <f t="shared" si="46"/>
        <v/>
      </c>
      <c r="R82" s="675" t="e">
        <f>IF(J73="Yes", AVERAGE(J76:O87), 0)</f>
        <v>#DIV/0!</v>
      </c>
    </row>
    <row r="83" spans="1:18">
      <c r="A83" s="209">
        <f t="shared" si="47"/>
        <v>44044</v>
      </c>
      <c r="B83" s="535"/>
      <c r="C83" s="535"/>
      <c r="D83" s="503">
        <f t="shared" ca="1" si="44"/>
        <v>0</v>
      </c>
      <c r="E83" s="503">
        <f t="shared" ca="1" si="45"/>
        <v>0</v>
      </c>
      <c r="F83" s="206"/>
      <c r="G83" s="206"/>
      <c r="H83" s="206"/>
      <c r="I83" s="207"/>
      <c r="J83" s="536"/>
      <c r="K83" s="536"/>
      <c r="L83" s="536"/>
      <c r="M83" s="536"/>
      <c r="N83" s="536"/>
      <c r="O83" s="536"/>
      <c r="P83" s="530" t="str">
        <f t="shared" si="46"/>
        <v/>
      </c>
      <c r="R83" s="675"/>
    </row>
    <row r="84" spans="1:18">
      <c r="A84" s="209">
        <f t="shared" si="47"/>
        <v>44013</v>
      </c>
      <c r="B84" s="535"/>
      <c r="C84" s="535"/>
      <c r="D84" s="503">
        <f t="shared" ca="1" si="44"/>
        <v>0</v>
      </c>
      <c r="E84" s="503">
        <f t="shared" ca="1" si="45"/>
        <v>0</v>
      </c>
      <c r="F84" s="206"/>
      <c r="G84" s="206"/>
      <c r="H84" s="206"/>
      <c r="I84" s="207"/>
      <c r="J84" s="536"/>
      <c r="K84" s="536"/>
      <c r="L84" s="536"/>
      <c r="M84" s="536"/>
      <c r="N84" s="536"/>
      <c r="O84" s="536"/>
      <c r="P84" s="530" t="str">
        <f t="shared" si="46"/>
        <v/>
      </c>
      <c r="R84" s="675"/>
    </row>
    <row r="85" spans="1:18">
      <c r="A85" s="209">
        <f t="shared" si="47"/>
        <v>43983</v>
      </c>
      <c r="B85" s="535"/>
      <c r="C85" s="535"/>
      <c r="D85" s="503">
        <f t="shared" ca="1" si="44"/>
        <v>0</v>
      </c>
      <c r="E85" s="503">
        <f t="shared" ca="1" si="45"/>
        <v>0</v>
      </c>
      <c r="F85" s="206"/>
      <c r="G85" s="206"/>
      <c r="H85" s="206"/>
      <c r="I85" s="207"/>
      <c r="J85" s="536"/>
      <c r="K85" s="536"/>
      <c r="L85" s="536"/>
      <c r="M85" s="536"/>
      <c r="N85" s="536"/>
      <c r="O85" s="536"/>
      <c r="P85" s="530" t="str">
        <f t="shared" si="46"/>
        <v/>
      </c>
      <c r="R85" s="675"/>
    </row>
    <row r="86" spans="1:18">
      <c r="A86" s="209">
        <f t="shared" si="47"/>
        <v>43952</v>
      </c>
      <c r="B86" s="535"/>
      <c r="C86" s="535"/>
      <c r="D86" s="503">
        <f t="shared" ca="1" si="44"/>
        <v>0</v>
      </c>
      <c r="E86" s="503">
        <f t="shared" ca="1" si="45"/>
        <v>0</v>
      </c>
      <c r="F86" s="206"/>
      <c r="G86" s="206"/>
      <c r="H86" s="206"/>
      <c r="I86" s="207"/>
      <c r="J86" s="536"/>
      <c r="K86" s="536"/>
      <c r="L86" s="536"/>
      <c r="M86" s="536"/>
      <c r="N86" s="536"/>
      <c r="O86" s="536"/>
      <c r="P86" s="530" t="str">
        <f t="shared" si="46"/>
        <v/>
      </c>
      <c r="R86" s="675"/>
    </row>
    <row r="87" spans="1:18">
      <c r="A87" s="209">
        <f t="shared" si="47"/>
        <v>43922</v>
      </c>
      <c r="B87" s="535"/>
      <c r="C87" s="535"/>
      <c r="D87" s="503">
        <f t="shared" ca="1" si="44"/>
        <v>0</v>
      </c>
      <c r="E87" s="503">
        <f t="shared" ca="1" si="45"/>
        <v>0</v>
      </c>
      <c r="F87" s="206"/>
      <c r="G87" s="206"/>
      <c r="H87" s="206"/>
      <c r="I87" s="207"/>
      <c r="J87" s="536"/>
      <c r="K87" s="536"/>
      <c r="L87" s="536"/>
      <c r="M87" s="536"/>
      <c r="N87" s="536"/>
      <c r="O87" s="536"/>
      <c r="P87" s="530" t="str">
        <f t="shared" si="46"/>
        <v/>
      </c>
      <c r="R87" s="675"/>
    </row>
    <row r="88" spans="1:18">
      <c r="A88" s="165" t="s">
        <v>52</v>
      </c>
      <c r="B88" s="193">
        <f t="shared" ref="B88:H88" si="48">SUM(B76:B87)</f>
        <v>0</v>
      </c>
      <c r="C88" s="193">
        <f t="shared" si="48"/>
        <v>0</v>
      </c>
      <c r="D88" s="193">
        <f t="shared" ca="1" si="48"/>
        <v>0</v>
      </c>
      <c r="E88" s="193">
        <f t="shared" ca="1" si="48"/>
        <v>0</v>
      </c>
      <c r="F88" s="193">
        <f t="shared" si="48"/>
        <v>0</v>
      </c>
      <c r="G88" s="193">
        <f t="shared" si="48"/>
        <v>0</v>
      </c>
      <c r="H88" s="193">
        <f t="shared" si="48"/>
        <v>0</v>
      </c>
      <c r="I88" s="193"/>
      <c r="J88" s="193">
        <f t="shared" ref="J88:O88" si="49">SUM(J76:J87)</f>
        <v>0</v>
      </c>
      <c r="K88" s="193">
        <f t="shared" si="49"/>
        <v>0</v>
      </c>
      <c r="L88" s="193">
        <f t="shared" si="49"/>
        <v>0</v>
      </c>
      <c r="M88" s="193">
        <f t="shared" si="49"/>
        <v>0</v>
      </c>
      <c r="N88" s="193">
        <f t="shared" si="49"/>
        <v>0</v>
      </c>
      <c r="O88" s="193">
        <f t="shared" si="49"/>
        <v>0</v>
      </c>
      <c r="P88" s="532" t="str">
        <f>IFERROR(AVERAGE(P76:P87),"")</f>
        <v/>
      </c>
    </row>
    <row r="89" spans="1:18">
      <c r="A89" s="165" t="s">
        <v>89</v>
      </c>
      <c r="B89" s="193" t="str">
        <f>IFERROR(+AVERAGE(B76:B87),"")</f>
        <v/>
      </c>
      <c r="C89" s="193" t="str">
        <f>IFERROR(+AVERAGE(C76:C87),"")</f>
        <v/>
      </c>
      <c r="D89" s="193">
        <f t="shared" ref="D89:E89" ca="1" si="50">+AVERAGE(D76:D87)</f>
        <v>0</v>
      </c>
      <c r="E89" s="193">
        <f t="shared" ca="1" si="50"/>
        <v>0</v>
      </c>
      <c r="F89" s="193" t="str">
        <f>IFERROR(+AVERAGE(F76:F87),"")</f>
        <v/>
      </c>
      <c r="G89" s="193" t="str">
        <f>IFERROR(+AVERAGE(G76:G87),"")</f>
        <v/>
      </c>
      <c r="H89" s="193" t="str">
        <f>IFERROR(+AVERAGE(H76:H87),"")</f>
        <v/>
      </c>
      <c r="I89" s="194"/>
      <c r="J89" s="194"/>
      <c r="K89" s="195"/>
      <c r="L89" s="195"/>
      <c r="M89" s="196"/>
      <c r="N89" s="195"/>
      <c r="O89" s="531"/>
      <c r="P89" s="533" t="str">
        <f>IFERROR(AVERAGE(J76:O87),"")</f>
        <v/>
      </c>
    </row>
    <row r="90" spans="1:18" ht="15.75" thickBot="1"/>
    <row r="91" spans="1:18">
      <c r="A91" s="705" t="s">
        <v>236</v>
      </c>
      <c r="B91" s="706"/>
      <c r="C91" s="707"/>
      <c r="D91" s="708"/>
      <c r="E91" s="708"/>
      <c r="F91" s="708"/>
      <c r="G91" s="708"/>
      <c r="H91" s="708"/>
      <c r="I91" s="708"/>
      <c r="J91" s="708"/>
      <c r="K91" s="708"/>
      <c r="L91" s="708"/>
      <c r="M91" s="708"/>
      <c r="N91" s="708"/>
      <c r="O91" s="709"/>
    </row>
    <row r="92" spans="1:18">
      <c r="A92" s="710" t="s">
        <v>120</v>
      </c>
      <c r="B92" s="711"/>
      <c r="C92" s="712"/>
      <c r="D92" s="713"/>
      <c r="E92" s="713"/>
      <c r="F92" s="713"/>
      <c r="G92" s="713"/>
      <c r="H92" s="713"/>
      <c r="I92" s="713"/>
      <c r="J92" s="713"/>
      <c r="K92" s="713"/>
      <c r="L92" s="713"/>
      <c r="M92" s="713"/>
      <c r="N92" s="713"/>
      <c r="O92" s="714"/>
    </row>
    <row r="93" spans="1:18">
      <c r="A93" s="683" t="s">
        <v>121</v>
      </c>
      <c r="B93" s="684"/>
      <c r="C93" s="689"/>
      <c r="D93" s="690"/>
      <c r="E93" s="690"/>
      <c r="F93" s="690"/>
      <c r="G93" s="692"/>
      <c r="H93" s="688" t="s">
        <v>122</v>
      </c>
      <c r="I93" s="684"/>
      <c r="J93" s="715"/>
      <c r="K93" s="716"/>
      <c r="L93" s="716"/>
      <c r="M93" s="716"/>
      <c r="N93" s="716"/>
      <c r="O93" s="717"/>
    </row>
    <row r="94" spans="1:18" ht="15" customHeight="1">
      <c r="A94" s="683" t="s">
        <v>123</v>
      </c>
      <c r="B94" s="684"/>
      <c r="C94" s="685"/>
      <c r="D94" s="686"/>
      <c r="E94" s="686"/>
      <c r="F94" s="686"/>
      <c r="G94" s="687"/>
      <c r="H94" s="688" t="s">
        <v>124</v>
      </c>
      <c r="I94" s="684"/>
      <c r="J94" s="689"/>
      <c r="K94" s="690"/>
      <c r="L94" s="690"/>
      <c r="M94" s="690"/>
      <c r="N94" s="690"/>
      <c r="O94" s="691"/>
    </row>
    <row r="95" spans="1:18">
      <c r="A95" s="683" t="s">
        <v>125</v>
      </c>
      <c r="B95" s="684"/>
      <c r="C95" s="690"/>
      <c r="D95" s="690"/>
      <c r="E95" s="690"/>
      <c r="F95" s="690"/>
      <c r="G95" s="692"/>
      <c r="H95" s="688" t="str">
        <f>IF(J94="Overdraft","Limit",IF(J94="Cash Credit","Limit",""))</f>
        <v/>
      </c>
      <c r="I95" s="684"/>
      <c r="J95" s="693"/>
      <c r="K95" s="693"/>
      <c r="L95" s="693"/>
      <c r="M95" s="693"/>
      <c r="N95" s="693"/>
      <c r="O95" s="694"/>
    </row>
    <row r="96" spans="1:18" ht="29.25" customHeight="1">
      <c r="A96" s="695" t="s">
        <v>126</v>
      </c>
      <c r="B96" s="696"/>
      <c r="C96" s="697"/>
      <c r="D96" s="698"/>
      <c r="E96" s="698"/>
      <c r="F96" s="698"/>
      <c r="G96" s="699"/>
      <c r="H96" s="700"/>
      <c r="I96" s="701"/>
      <c r="J96" s="702"/>
      <c r="K96" s="703"/>
      <c r="L96" s="703"/>
      <c r="M96" s="703"/>
      <c r="N96" s="703"/>
      <c r="O96" s="704"/>
    </row>
    <row r="97" spans="1:18" ht="15" customHeight="1">
      <c r="A97" s="165" t="s">
        <v>115</v>
      </c>
      <c r="B97" s="676" t="s">
        <v>240</v>
      </c>
      <c r="C97" s="677"/>
      <c r="D97" s="676" t="s">
        <v>241</v>
      </c>
      <c r="E97" s="677"/>
      <c r="F97" s="678" t="s">
        <v>242</v>
      </c>
      <c r="G97" s="678" t="s">
        <v>243</v>
      </c>
      <c r="H97" s="678" t="s">
        <v>244</v>
      </c>
      <c r="I97" s="678" t="s">
        <v>245</v>
      </c>
      <c r="J97" s="676" t="s">
        <v>116</v>
      </c>
      <c r="K97" s="680"/>
      <c r="L97" s="680"/>
      <c r="M97" s="680"/>
      <c r="N97" s="680"/>
      <c r="O97" s="677"/>
      <c r="P97" s="681" t="s">
        <v>246</v>
      </c>
    </row>
    <row r="98" spans="1:18" ht="44.25" customHeight="1">
      <c r="A98" s="165" t="s">
        <v>117</v>
      </c>
      <c r="B98" s="166" t="s">
        <v>78</v>
      </c>
      <c r="C98" s="166" t="s">
        <v>79</v>
      </c>
      <c r="D98" s="166" t="s">
        <v>78</v>
      </c>
      <c r="E98" s="166" t="s">
        <v>79</v>
      </c>
      <c r="F98" s="679"/>
      <c r="G98" s="679"/>
      <c r="H98" s="679"/>
      <c r="I98" s="679"/>
      <c r="J98" s="166" t="s">
        <v>80</v>
      </c>
      <c r="K98" s="166" t="s">
        <v>81</v>
      </c>
      <c r="L98" s="166" t="s">
        <v>82</v>
      </c>
      <c r="M98" s="166" t="s">
        <v>83</v>
      </c>
      <c r="N98" s="166" t="s">
        <v>84</v>
      </c>
      <c r="O98" s="166" t="s">
        <v>85</v>
      </c>
      <c r="P98" s="682"/>
      <c r="R98" s="528" t="s">
        <v>425</v>
      </c>
    </row>
    <row r="99" spans="1:18">
      <c r="A99" s="209">
        <f>$A$30</f>
        <v>44256</v>
      </c>
      <c r="B99" s="535"/>
      <c r="C99" s="535"/>
      <c r="D99" s="503">
        <f t="shared" ref="D99:D110" ca="1" si="51">IFERROR(LEN(_xlfn.FORMULATEXT(B99))-LEN(SUBSTITUTE(_xlfn.FORMULATEXT(B99),"+",""))+1,0)</f>
        <v>0</v>
      </c>
      <c r="E99" s="503">
        <f t="shared" ref="E99:E110" ca="1" si="52">IFERROR(LEN(_xlfn.FORMULATEXT(C99))-LEN(SUBSTITUTE(_xlfn.FORMULATEXT(C99),"+",""))+1,0)</f>
        <v>0</v>
      </c>
      <c r="F99" s="206"/>
      <c r="G99" s="206"/>
      <c r="H99" s="206"/>
      <c r="I99" s="207"/>
      <c r="J99" s="536"/>
      <c r="K99" s="536"/>
      <c r="L99" s="536"/>
      <c r="M99" s="536"/>
      <c r="N99" s="536"/>
      <c r="O99" s="536"/>
      <c r="P99" s="530" t="str">
        <f>IFERROR(SUM(J99:O99)/COUNT(J99:O99),"")</f>
        <v/>
      </c>
      <c r="R99" s="675">
        <f>IF(J96="Yes", AVERAGE(J99:O104), 0)</f>
        <v>0</v>
      </c>
    </row>
    <row r="100" spans="1:18">
      <c r="A100" s="209">
        <f>EDATE(A99,-1)</f>
        <v>44228</v>
      </c>
      <c r="B100" s="535"/>
      <c r="C100" s="535"/>
      <c r="D100" s="503">
        <f t="shared" ca="1" si="51"/>
        <v>0</v>
      </c>
      <c r="E100" s="503">
        <f t="shared" ca="1" si="52"/>
        <v>0</v>
      </c>
      <c r="F100" s="206"/>
      <c r="G100" s="206"/>
      <c r="H100" s="206"/>
      <c r="I100" s="207"/>
      <c r="J100" s="536"/>
      <c r="K100" s="536"/>
      <c r="L100" s="536"/>
      <c r="M100" s="536"/>
      <c r="N100" s="536"/>
      <c r="O100" s="536"/>
      <c r="P100" s="530" t="str">
        <f t="shared" ref="P100:P110" si="53">IFERROR(SUM(J100:O100)/COUNT(J100:O100),"")</f>
        <v/>
      </c>
      <c r="R100" s="675"/>
    </row>
    <row r="101" spans="1:18">
      <c r="A101" s="209">
        <f t="shared" ref="A101:A110" si="54">EDATE(A100,-1)</f>
        <v>44197</v>
      </c>
      <c r="B101" s="535"/>
      <c r="C101" s="535"/>
      <c r="D101" s="503">
        <f t="shared" ca="1" si="51"/>
        <v>0</v>
      </c>
      <c r="E101" s="503">
        <f t="shared" ca="1" si="52"/>
        <v>0</v>
      </c>
      <c r="F101" s="206"/>
      <c r="G101" s="206"/>
      <c r="H101" s="206"/>
      <c r="I101" s="207"/>
      <c r="J101" s="536"/>
      <c r="K101" s="536"/>
      <c r="L101" s="536"/>
      <c r="M101" s="536"/>
      <c r="N101" s="536"/>
      <c r="O101" s="536"/>
      <c r="P101" s="530" t="str">
        <f t="shared" si="53"/>
        <v/>
      </c>
      <c r="R101" s="675"/>
    </row>
    <row r="102" spans="1:18">
      <c r="A102" s="209">
        <f t="shared" si="54"/>
        <v>44166</v>
      </c>
      <c r="B102" s="535"/>
      <c r="C102" s="535"/>
      <c r="D102" s="503">
        <f t="shared" ca="1" si="51"/>
        <v>0</v>
      </c>
      <c r="E102" s="503">
        <f t="shared" ca="1" si="52"/>
        <v>0</v>
      </c>
      <c r="F102" s="206"/>
      <c r="G102" s="206"/>
      <c r="H102" s="206"/>
      <c r="I102" s="207"/>
      <c r="J102" s="536"/>
      <c r="K102" s="536"/>
      <c r="L102" s="536"/>
      <c r="M102" s="536"/>
      <c r="N102" s="536"/>
      <c r="O102" s="536"/>
      <c r="P102" s="530" t="str">
        <f t="shared" si="53"/>
        <v/>
      </c>
      <c r="R102" s="675"/>
    </row>
    <row r="103" spans="1:18">
      <c r="A103" s="209">
        <f t="shared" si="54"/>
        <v>44136</v>
      </c>
      <c r="B103" s="535"/>
      <c r="C103" s="535"/>
      <c r="D103" s="503">
        <f t="shared" ca="1" si="51"/>
        <v>0</v>
      </c>
      <c r="E103" s="503">
        <f t="shared" ca="1" si="52"/>
        <v>0</v>
      </c>
      <c r="F103" s="206"/>
      <c r="G103" s="206"/>
      <c r="H103" s="206"/>
      <c r="I103" s="207"/>
      <c r="J103" s="536"/>
      <c r="K103" s="536"/>
      <c r="L103" s="536"/>
      <c r="M103" s="536"/>
      <c r="N103" s="536"/>
      <c r="O103" s="536"/>
      <c r="P103" s="530" t="str">
        <f t="shared" si="53"/>
        <v/>
      </c>
      <c r="R103" s="675"/>
    </row>
    <row r="104" spans="1:18">
      <c r="A104" s="209">
        <f t="shared" si="54"/>
        <v>44105</v>
      </c>
      <c r="B104" s="535"/>
      <c r="C104" s="535"/>
      <c r="D104" s="503">
        <f t="shared" ca="1" si="51"/>
        <v>0</v>
      </c>
      <c r="E104" s="503">
        <f t="shared" ca="1" si="52"/>
        <v>0</v>
      </c>
      <c r="F104" s="206"/>
      <c r="G104" s="206"/>
      <c r="H104" s="206"/>
      <c r="I104" s="207"/>
      <c r="J104" s="536"/>
      <c r="K104" s="536"/>
      <c r="L104" s="536"/>
      <c r="M104" s="536"/>
      <c r="N104" s="536"/>
      <c r="O104" s="536"/>
      <c r="P104" s="530" t="str">
        <f t="shared" si="53"/>
        <v/>
      </c>
      <c r="R104" s="675"/>
    </row>
    <row r="105" spans="1:18">
      <c r="A105" s="209">
        <f t="shared" si="54"/>
        <v>44075</v>
      </c>
      <c r="B105" s="535"/>
      <c r="C105" s="535"/>
      <c r="D105" s="503">
        <f t="shared" ca="1" si="51"/>
        <v>0</v>
      </c>
      <c r="E105" s="503">
        <f t="shared" ca="1" si="52"/>
        <v>0</v>
      </c>
      <c r="F105" s="206"/>
      <c r="G105" s="206"/>
      <c r="H105" s="206"/>
      <c r="I105" s="207"/>
      <c r="J105" s="536"/>
      <c r="K105" s="536"/>
      <c r="L105" s="536"/>
      <c r="M105" s="536"/>
      <c r="N105" s="536"/>
      <c r="O105" s="536"/>
      <c r="P105" s="530" t="str">
        <f t="shared" si="53"/>
        <v/>
      </c>
      <c r="R105" s="675">
        <f>IF(J96="Yes", AVERAGE(J99:O110), 0)</f>
        <v>0</v>
      </c>
    </row>
    <row r="106" spans="1:18">
      <c r="A106" s="209">
        <f t="shared" si="54"/>
        <v>44044</v>
      </c>
      <c r="B106" s="535"/>
      <c r="C106" s="535"/>
      <c r="D106" s="503">
        <f t="shared" ca="1" si="51"/>
        <v>0</v>
      </c>
      <c r="E106" s="503">
        <f t="shared" ca="1" si="52"/>
        <v>0</v>
      </c>
      <c r="F106" s="206"/>
      <c r="G106" s="206"/>
      <c r="H106" s="206"/>
      <c r="I106" s="207"/>
      <c r="J106" s="536"/>
      <c r="K106" s="536"/>
      <c r="L106" s="536"/>
      <c r="M106" s="536"/>
      <c r="N106" s="536"/>
      <c r="O106" s="536"/>
      <c r="P106" s="530" t="str">
        <f t="shared" si="53"/>
        <v/>
      </c>
      <c r="R106" s="675"/>
    </row>
    <row r="107" spans="1:18">
      <c r="A107" s="209">
        <f t="shared" si="54"/>
        <v>44013</v>
      </c>
      <c r="B107" s="535"/>
      <c r="C107" s="535"/>
      <c r="D107" s="503">
        <f t="shared" ca="1" si="51"/>
        <v>0</v>
      </c>
      <c r="E107" s="503">
        <f t="shared" ca="1" si="52"/>
        <v>0</v>
      </c>
      <c r="F107" s="206"/>
      <c r="G107" s="206"/>
      <c r="H107" s="206"/>
      <c r="I107" s="207"/>
      <c r="J107" s="536"/>
      <c r="K107" s="536"/>
      <c r="L107" s="536"/>
      <c r="M107" s="536"/>
      <c r="N107" s="536"/>
      <c r="O107" s="536"/>
      <c r="P107" s="530" t="str">
        <f t="shared" si="53"/>
        <v/>
      </c>
      <c r="R107" s="675"/>
    </row>
    <row r="108" spans="1:18">
      <c r="A108" s="209">
        <f t="shared" si="54"/>
        <v>43983</v>
      </c>
      <c r="B108" s="535"/>
      <c r="C108" s="535"/>
      <c r="D108" s="503">
        <f t="shared" ca="1" si="51"/>
        <v>0</v>
      </c>
      <c r="E108" s="503">
        <f t="shared" ca="1" si="52"/>
        <v>0</v>
      </c>
      <c r="F108" s="206"/>
      <c r="G108" s="206"/>
      <c r="H108" s="206"/>
      <c r="I108" s="207"/>
      <c r="J108" s="536"/>
      <c r="K108" s="536"/>
      <c r="L108" s="536"/>
      <c r="M108" s="536"/>
      <c r="N108" s="536"/>
      <c r="O108" s="536"/>
      <c r="P108" s="530" t="str">
        <f t="shared" si="53"/>
        <v/>
      </c>
      <c r="R108" s="675"/>
    </row>
    <row r="109" spans="1:18">
      <c r="A109" s="209">
        <f t="shared" si="54"/>
        <v>43952</v>
      </c>
      <c r="B109" s="535"/>
      <c r="C109" s="535"/>
      <c r="D109" s="503">
        <f t="shared" ca="1" si="51"/>
        <v>0</v>
      </c>
      <c r="E109" s="503">
        <f t="shared" ca="1" si="52"/>
        <v>0</v>
      </c>
      <c r="F109" s="206"/>
      <c r="G109" s="206"/>
      <c r="H109" s="206"/>
      <c r="I109" s="207"/>
      <c r="J109" s="536"/>
      <c r="K109" s="536"/>
      <c r="L109" s="536"/>
      <c r="M109" s="536"/>
      <c r="N109" s="536"/>
      <c r="O109" s="536"/>
      <c r="P109" s="530" t="str">
        <f t="shared" si="53"/>
        <v/>
      </c>
      <c r="R109" s="675"/>
    </row>
    <row r="110" spans="1:18">
      <c r="A110" s="209">
        <f t="shared" si="54"/>
        <v>43922</v>
      </c>
      <c r="B110" s="535"/>
      <c r="C110" s="535"/>
      <c r="D110" s="503">
        <f t="shared" ca="1" si="51"/>
        <v>0</v>
      </c>
      <c r="E110" s="503">
        <f t="shared" ca="1" si="52"/>
        <v>0</v>
      </c>
      <c r="F110" s="206"/>
      <c r="G110" s="206"/>
      <c r="H110" s="206"/>
      <c r="I110" s="207"/>
      <c r="J110" s="536"/>
      <c r="K110" s="536"/>
      <c r="L110" s="536"/>
      <c r="M110" s="536"/>
      <c r="N110" s="536"/>
      <c r="O110" s="536"/>
      <c r="P110" s="530" t="str">
        <f t="shared" si="53"/>
        <v/>
      </c>
      <c r="R110" s="675"/>
    </row>
    <row r="111" spans="1:18">
      <c r="A111" s="165" t="s">
        <v>52</v>
      </c>
      <c r="B111" s="193">
        <f t="shared" ref="B111:H111" si="55">SUM(B99:B110)</f>
        <v>0</v>
      </c>
      <c r="C111" s="193">
        <f t="shared" si="55"/>
        <v>0</v>
      </c>
      <c r="D111" s="193">
        <f t="shared" ca="1" si="55"/>
        <v>0</v>
      </c>
      <c r="E111" s="193">
        <f t="shared" ca="1" si="55"/>
        <v>0</v>
      </c>
      <c r="F111" s="193">
        <f t="shared" si="55"/>
        <v>0</v>
      </c>
      <c r="G111" s="193">
        <f t="shared" si="55"/>
        <v>0</v>
      </c>
      <c r="H111" s="193">
        <f t="shared" si="55"/>
        <v>0</v>
      </c>
      <c r="I111" s="193"/>
      <c r="J111" s="193">
        <f t="shared" ref="J111:O111" si="56">SUM(J99:J110)</f>
        <v>0</v>
      </c>
      <c r="K111" s="193">
        <f t="shared" si="56"/>
        <v>0</v>
      </c>
      <c r="L111" s="193">
        <f t="shared" si="56"/>
        <v>0</v>
      </c>
      <c r="M111" s="193">
        <f t="shared" si="56"/>
        <v>0</v>
      </c>
      <c r="N111" s="193">
        <f t="shared" si="56"/>
        <v>0</v>
      </c>
      <c r="O111" s="193">
        <f t="shared" si="56"/>
        <v>0</v>
      </c>
      <c r="P111" s="532" t="str">
        <f>IFERROR(AVERAGE(P99:P110),"")</f>
        <v/>
      </c>
    </row>
    <row r="112" spans="1:18">
      <c r="A112" s="165" t="s">
        <v>89</v>
      </c>
      <c r="B112" s="193" t="str">
        <f>IFERROR(+AVERAGE(B99:B110),"")</f>
        <v/>
      </c>
      <c r="C112" s="193" t="str">
        <f>IFERROR(+AVERAGE(C99:C110),"")</f>
        <v/>
      </c>
      <c r="D112" s="193">
        <f t="shared" ref="D112:E112" ca="1" si="57">+AVERAGE(D99:D110)</f>
        <v>0</v>
      </c>
      <c r="E112" s="193">
        <f t="shared" ca="1" si="57"/>
        <v>0</v>
      </c>
      <c r="F112" s="193" t="str">
        <f>IFERROR(+AVERAGE(F99:F110),"")</f>
        <v/>
      </c>
      <c r="G112" s="193" t="str">
        <f>IFERROR(+AVERAGE(G99:G110),"")</f>
        <v/>
      </c>
      <c r="H112" s="193" t="str">
        <f>IFERROR(+AVERAGE(H99:H110),"")</f>
        <v/>
      </c>
      <c r="I112" s="194"/>
      <c r="J112" s="194"/>
      <c r="K112" s="195"/>
      <c r="L112" s="195"/>
      <c r="M112" s="196"/>
      <c r="N112" s="195"/>
      <c r="O112" s="531"/>
      <c r="P112" s="533" t="str">
        <f>IFERROR(AVERAGE(J99:O110),"")</f>
        <v/>
      </c>
    </row>
    <row r="113" spans="1:18" ht="15.75" thickBot="1"/>
    <row r="114" spans="1:18">
      <c r="A114" s="705" t="s">
        <v>237</v>
      </c>
      <c r="B114" s="706"/>
      <c r="C114" s="707"/>
      <c r="D114" s="708"/>
      <c r="E114" s="708"/>
      <c r="F114" s="708"/>
      <c r="G114" s="708"/>
      <c r="H114" s="708"/>
      <c r="I114" s="708"/>
      <c r="J114" s="708"/>
      <c r="K114" s="708"/>
      <c r="L114" s="708"/>
      <c r="M114" s="708"/>
      <c r="N114" s="708"/>
      <c r="O114" s="709"/>
    </row>
    <row r="115" spans="1:18">
      <c r="A115" s="710" t="s">
        <v>120</v>
      </c>
      <c r="B115" s="711"/>
      <c r="C115" s="712"/>
      <c r="D115" s="713"/>
      <c r="E115" s="713"/>
      <c r="F115" s="713"/>
      <c r="G115" s="713"/>
      <c r="H115" s="713"/>
      <c r="I115" s="713"/>
      <c r="J115" s="713"/>
      <c r="K115" s="713"/>
      <c r="L115" s="713"/>
      <c r="M115" s="713"/>
      <c r="N115" s="713"/>
      <c r="O115" s="714"/>
    </row>
    <row r="116" spans="1:18">
      <c r="A116" s="683" t="s">
        <v>121</v>
      </c>
      <c r="B116" s="684"/>
      <c r="C116" s="689"/>
      <c r="D116" s="690"/>
      <c r="E116" s="690"/>
      <c r="F116" s="690"/>
      <c r="G116" s="692"/>
      <c r="H116" s="688" t="s">
        <v>122</v>
      </c>
      <c r="I116" s="684"/>
      <c r="J116" s="715"/>
      <c r="K116" s="716"/>
      <c r="L116" s="716"/>
      <c r="M116" s="716"/>
      <c r="N116" s="716"/>
      <c r="O116" s="717"/>
    </row>
    <row r="117" spans="1:18" ht="15" customHeight="1">
      <c r="A117" s="683" t="s">
        <v>123</v>
      </c>
      <c r="B117" s="684"/>
      <c r="C117" s="685"/>
      <c r="D117" s="686"/>
      <c r="E117" s="686"/>
      <c r="F117" s="686"/>
      <c r="G117" s="687"/>
      <c r="H117" s="688" t="s">
        <v>124</v>
      </c>
      <c r="I117" s="684"/>
      <c r="J117" s="689"/>
      <c r="K117" s="690"/>
      <c r="L117" s="690"/>
      <c r="M117" s="690"/>
      <c r="N117" s="690"/>
      <c r="O117" s="691"/>
    </row>
    <row r="118" spans="1:18">
      <c r="A118" s="683" t="s">
        <v>125</v>
      </c>
      <c r="B118" s="684"/>
      <c r="C118" s="690"/>
      <c r="D118" s="690"/>
      <c r="E118" s="690"/>
      <c r="F118" s="690"/>
      <c r="G118" s="692"/>
      <c r="H118" s="688" t="str">
        <f>IF(J117="Overdraft","Limit",IF(J117="Cash Credit","Limit",""))</f>
        <v/>
      </c>
      <c r="I118" s="684"/>
      <c r="J118" s="693"/>
      <c r="K118" s="693"/>
      <c r="L118" s="693"/>
      <c r="M118" s="693"/>
      <c r="N118" s="693"/>
      <c r="O118" s="694"/>
    </row>
    <row r="119" spans="1:18" ht="32.25" customHeight="1">
      <c r="A119" s="695" t="s">
        <v>126</v>
      </c>
      <c r="B119" s="696"/>
      <c r="C119" s="697"/>
      <c r="D119" s="698"/>
      <c r="E119" s="698"/>
      <c r="F119" s="698"/>
      <c r="G119" s="699"/>
      <c r="H119" s="700"/>
      <c r="I119" s="701"/>
      <c r="J119" s="702"/>
      <c r="K119" s="703"/>
      <c r="L119" s="703"/>
      <c r="M119" s="703"/>
      <c r="N119" s="703"/>
      <c r="O119" s="704"/>
    </row>
    <row r="120" spans="1:18" ht="15" customHeight="1">
      <c r="A120" s="165" t="s">
        <v>115</v>
      </c>
      <c r="B120" s="676" t="s">
        <v>240</v>
      </c>
      <c r="C120" s="677"/>
      <c r="D120" s="676" t="s">
        <v>241</v>
      </c>
      <c r="E120" s="677"/>
      <c r="F120" s="678" t="s">
        <v>242</v>
      </c>
      <c r="G120" s="678" t="s">
        <v>243</v>
      </c>
      <c r="H120" s="678" t="s">
        <v>244</v>
      </c>
      <c r="I120" s="678" t="s">
        <v>245</v>
      </c>
      <c r="J120" s="676" t="s">
        <v>116</v>
      </c>
      <c r="K120" s="680"/>
      <c r="L120" s="680"/>
      <c r="M120" s="680"/>
      <c r="N120" s="680"/>
      <c r="O120" s="677"/>
      <c r="P120" s="681" t="s">
        <v>246</v>
      </c>
    </row>
    <row r="121" spans="1:18" ht="42" customHeight="1">
      <c r="A121" s="165" t="s">
        <v>117</v>
      </c>
      <c r="B121" s="166" t="s">
        <v>78</v>
      </c>
      <c r="C121" s="166" t="s">
        <v>79</v>
      </c>
      <c r="D121" s="166" t="s">
        <v>78</v>
      </c>
      <c r="E121" s="166" t="s">
        <v>79</v>
      </c>
      <c r="F121" s="679"/>
      <c r="G121" s="679"/>
      <c r="H121" s="679"/>
      <c r="I121" s="679"/>
      <c r="J121" s="166" t="s">
        <v>80</v>
      </c>
      <c r="K121" s="166" t="s">
        <v>81</v>
      </c>
      <c r="L121" s="166" t="s">
        <v>82</v>
      </c>
      <c r="M121" s="166" t="s">
        <v>83</v>
      </c>
      <c r="N121" s="166" t="s">
        <v>84</v>
      </c>
      <c r="O121" s="166" t="s">
        <v>85</v>
      </c>
      <c r="P121" s="682"/>
      <c r="R121" s="528" t="s">
        <v>425</v>
      </c>
    </row>
    <row r="122" spans="1:18">
      <c r="A122" s="209">
        <f>$A$30</f>
        <v>44256</v>
      </c>
      <c r="B122" s="535"/>
      <c r="C122" s="535"/>
      <c r="D122" s="503">
        <f t="shared" ref="D122:D133" ca="1" si="58">IFERROR(LEN(_xlfn.FORMULATEXT(B122))-LEN(SUBSTITUTE(_xlfn.FORMULATEXT(B122),"+",""))+1,0)</f>
        <v>0</v>
      </c>
      <c r="E122" s="503">
        <f t="shared" ref="E122:E133" ca="1" si="59">IFERROR(LEN(_xlfn.FORMULATEXT(C122))-LEN(SUBSTITUTE(_xlfn.FORMULATEXT(C122),"+",""))+1,0)</f>
        <v>0</v>
      </c>
      <c r="F122" s="206"/>
      <c r="G122" s="206"/>
      <c r="H122" s="206"/>
      <c r="I122" s="207"/>
      <c r="J122" s="536"/>
      <c r="K122" s="536"/>
      <c r="L122" s="536"/>
      <c r="M122" s="536"/>
      <c r="N122" s="536"/>
      <c r="O122" s="536"/>
      <c r="P122" s="530" t="str">
        <f>IFERROR(SUM(J122:O122)/COUNT(J122:O122),"")</f>
        <v/>
      </c>
      <c r="R122" s="675">
        <f>IF(J119="Yes", AVERAGE(J122:O127), 0)</f>
        <v>0</v>
      </c>
    </row>
    <row r="123" spans="1:18">
      <c r="A123" s="209">
        <f>EDATE(A122,-1)</f>
        <v>44228</v>
      </c>
      <c r="B123" s="535"/>
      <c r="C123" s="535"/>
      <c r="D123" s="503">
        <f t="shared" ca="1" si="58"/>
        <v>0</v>
      </c>
      <c r="E123" s="503">
        <f t="shared" ca="1" si="59"/>
        <v>0</v>
      </c>
      <c r="F123" s="206"/>
      <c r="G123" s="206"/>
      <c r="H123" s="206"/>
      <c r="I123" s="207"/>
      <c r="J123" s="536"/>
      <c r="K123" s="536"/>
      <c r="L123" s="536"/>
      <c r="M123" s="536"/>
      <c r="N123" s="536"/>
      <c r="O123" s="536"/>
      <c r="P123" s="530" t="str">
        <f t="shared" ref="P123:P133" si="60">IFERROR(SUM(J123:O123)/COUNT(J123:O123),"")</f>
        <v/>
      </c>
      <c r="R123" s="675"/>
    </row>
    <row r="124" spans="1:18">
      <c r="A124" s="209">
        <f t="shared" ref="A124:A133" si="61">EDATE(A123,-1)</f>
        <v>44197</v>
      </c>
      <c r="B124" s="535"/>
      <c r="C124" s="535"/>
      <c r="D124" s="503">
        <f t="shared" ca="1" si="58"/>
        <v>0</v>
      </c>
      <c r="E124" s="503">
        <f t="shared" ca="1" si="59"/>
        <v>0</v>
      </c>
      <c r="F124" s="206"/>
      <c r="G124" s="206"/>
      <c r="H124" s="206"/>
      <c r="I124" s="207"/>
      <c r="J124" s="536"/>
      <c r="K124" s="536"/>
      <c r="L124" s="536"/>
      <c r="M124" s="536"/>
      <c r="N124" s="536"/>
      <c r="O124" s="536"/>
      <c r="P124" s="530" t="str">
        <f t="shared" si="60"/>
        <v/>
      </c>
      <c r="R124" s="675"/>
    </row>
    <row r="125" spans="1:18">
      <c r="A125" s="209">
        <f t="shared" si="61"/>
        <v>44166</v>
      </c>
      <c r="B125" s="535"/>
      <c r="C125" s="535"/>
      <c r="D125" s="503">
        <f t="shared" ca="1" si="58"/>
        <v>0</v>
      </c>
      <c r="E125" s="503">
        <f t="shared" ca="1" si="59"/>
        <v>0</v>
      </c>
      <c r="F125" s="206"/>
      <c r="G125" s="206"/>
      <c r="H125" s="206"/>
      <c r="I125" s="207"/>
      <c r="J125" s="536"/>
      <c r="K125" s="536"/>
      <c r="L125" s="536"/>
      <c r="M125" s="536"/>
      <c r="N125" s="536"/>
      <c r="O125" s="536"/>
      <c r="P125" s="530" t="str">
        <f t="shared" si="60"/>
        <v/>
      </c>
      <c r="R125" s="675"/>
    </row>
    <row r="126" spans="1:18">
      <c r="A126" s="209">
        <f t="shared" si="61"/>
        <v>44136</v>
      </c>
      <c r="B126" s="535"/>
      <c r="C126" s="535"/>
      <c r="D126" s="503">
        <f t="shared" ca="1" si="58"/>
        <v>0</v>
      </c>
      <c r="E126" s="503">
        <f t="shared" ca="1" si="59"/>
        <v>0</v>
      </c>
      <c r="F126" s="206"/>
      <c r="G126" s="206"/>
      <c r="H126" s="206"/>
      <c r="I126" s="207"/>
      <c r="J126" s="536"/>
      <c r="K126" s="536"/>
      <c r="L126" s="536"/>
      <c r="M126" s="536"/>
      <c r="N126" s="536"/>
      <c r="O126" s="536"/>
      <c r="P126" s="530" t="str">
        <f t="shared" si="60"/>
        <v/>
      </c>
      <c r="R126" s="675"/>
    </row>
    <row r="127" spans="1:18">
      <c r="A127" s="209">
        <f t="shared" si="61"/>
        <v>44105</v>
      </c>
      <c r="B127" s="535"/>
      <c r="C127" s="535"/>
      <c r="D127" s="503">
        <f t="shared" ca="1" si="58"/>
        <v>0</v>
      </c>
      <c r="E127" s="503">
        <f t="shared" ca="1" si="59"/>
        <v>0</v>
      </c>
      <c r="F127" s="206"/>
      <c r="G127" s="206"/>
      <c r="H127" s="206"/>
      <c r="I127" s="207"/>
      <c r="J127" s="536"/>
      <c r="K127" s="536"/>
      <c r="L127" s="536"/>
      <c r="M127" s="536"/>
      <c r="N127" s="536"/>
      <c r="O127" s="536"/>
      <c r="P127" s="530" t="str">
        <f t="shared" si="60"/>
        <v/>
      </c>
      <c r="R127" s="675"/>
    </row>
    <row r="128" spans="1:18">
      <c r="A128" s="209">
        <f t="shared" si="61"/>
        <v>44075</v>
      </c>
      <c r="B128" s="535"/>
      <c r="C128" s="535"/>
      <c r="D128" s="503">
        <f t="shared" ca="1" si="58"/>
        <v>0</v>
      </c>
      <c r="E128" s="503">
        <f t="shared" ca="1" si="59"/>
        <v>0</v>
      </c>
      <c r="F128" s="206"/>
      <c r="G128" s="206"/>
      <c r="H128" s="206"/>
      <c r="I128" s="207"/>
      <c r="J128" s="536"/>
      <c r="K128" s="536"/>
      <c r="L128" s="536"/>
      <c r="M128" s="536"/>
      <c r="N128" s="536"/>
      <c r="O128" s="536"/>
      <c r="P128" s="530" t="str">
        <f t="shared" si="60"/>
        <v/>
      </c>
      <c r="R128" s="675">
        <f>IF(J119="Yes", AVERAGE(J122:O133), 0)</f>
        <v>0</v>
      </c>
    </row>
    <row r="129" spans="1:18">
      <c r="A129" s="209">
        <f t="shared" si="61"/>
        <v>44044</v>
      </c>
      <c r="B129" s="535"/>
      <c r="C129" s="535"/>
      <c r="D129" s="503">
        <f t="shared" ca="1" si="58"/>
        <v>0</v>
      </c>
      <c r="E129" s="503">
        <f t="shared" ca="1" si="59"/>
        <v>0</v>
      </c>
      <c r="F129" s="206"/>
      <c r="G129" s="206"/>
      <c r="H129" s="206"/>
      <c r="I129" s="207"/>
      <c r="J129" s="536"/>
      <c r="K129" s="536"/>
      <c r="L129" s="536"/>
      <c r="M129" s="536"/>
      <c r="N129" s="536"/>
      <c r="O129" s="536"/>
      <c r="P129" s="530" t="str">
        <f t="shared" si="60"/>
        <v/>
      </c>
      <c r="R129" s="675"/>
    </row>
    <row r="130" spans="1:18">
      <c r="A130" s="209">
        <f t="shared" si="61"/>
        <v>44013</v>
      </c>
      <c r="B130" s="535"/>
      <c r="C130" s="535"/>
      <c r="D130" s="503">
        <f t="shared" ca="1" si="58"/>
        <v>0</v>
      </c>
      <c r="E130" s="503">
        <f t="shared" ca="1" si="59"/>
        <v>0</v>
      </c>
      <c r="F130" s="206"/>
      <c r="G130" s="206"/>
      <c r="H130" s="206"/>
      <c r="I130" s="207"/>
      <c r="J130" s="536"/>
      <c r="K130" s="536"/>
      <c r="L130" s="536"/>
      <c r="M130" s="536"/>
      <c r="N130" s="536"/>
      <c r="O130" s="536"/>
      <c r="P130" s="530" t="str">
        <f t="shared" si="60"/>
        <v/>
      </c>
      <c r="R130" s="675"/>
    </row>
    <row r="131" spans="1:18">
      <c r="A131" s="209">
        <f t="shared" si="61"/>
        <v>43983</v>
      </c>
      <c r="B131" s="535"/>
      <c r="C131" s="535"/>
      <c r="D131" s="503">
        <f t="shared" ca="1" si="58"/>
        <v>0</v>
      </c>
      <c r="E131" s="503">
        <f t="shared" ca="1" si="59"/>
        <v>0</v>
      </c>
      <c r="F131" s="206"/>
      <c r="G131" s="206"/>
      <c r="H131" s="206"/>
      <c r="I131" s="207"/>
      <c r="J131" s="536"/>
      <c r="K131" s="536"/>
      <c r="L131" s="536"/>
      <c r="M131" s="536"/>
      <c r="N131" s="536"/>
      <c r="O131" s="536"/>
      <c r="P131" s="530" t="str">
        <f t="shared" si="60"/>
        <v/>
      </c>
      <c r="R131" s="675"/>
    </row>
    <row r="132" spans="1:18">
      <c r="A132" s="209">
        <f t="shared" si="61"/>
        <v>43952</v>
      </c>
      <c r="B132" s="535"/>
      <c r="C132" s="535"/>
      <c r="D132" s="503">
        <f t="shared" ca="1" si="58"/>
        <v>0</v>
      </c>
      <c r="E132" s="503">
        <f t="shared" ca="1" si="59"/>
        <v>0</v>
      </c>
      <c r="F132" s="206"/>
      <c r="G132" s="206"/>
      <c r="H132" s="206"/>
      <c r="I132" s="207"/>
      <c r="J132" s="536"/>
      <c r="K132" s="536"/>
      <c r="L132" s="536"/>
      <c r="M132" s="536"/>
      <c r="N132" s="536"/>
      <c r="O132" s="536"/>
      <c r="P132" s="530" t="str">
        <f t="shared" si="60"/>
        <v/>
      </c>
      <c r="R132" s="675"/>
    </row>
    <row r="133" spans="1:18">
      <c r="A133" s="209">
        <f t="shared" si="61"/>
        <v>43922</v>
      </c>
      <c r="B133" s="535"/>
      <c r="C133" s="535"/>
      <c r="D133" s="503">
        <f t="shared" ca="1" si="58"/>
        <v>0</v>
      </c>
      <c r="E133" s="503">
        <f t="shared" ca="1" si="59"/>
        <v>0</v>
      </c>
      <c r="F133" s="206"/>
      <c r="G133" s="206"/>
      <c r="H133" s="206"/>
      <c r="I133" s="207"/>
      <c r="J133" s="536"/>
      <c r="K133" s="536"/>
      <c r="L133" s="536"/>
      <c r="M133" s="536"/>
      <c r="N133" s="536"/>
      <c r="O133" s="536"/>
      <c r="P133" s="530" t="str">
        <f t="shared" si="60"/>
        <v/>
      </c>
      <c r="R133" s="675"/>
    </row>
    <row r="134" spans="1:18">
      <c r="A134" s="165" t="s">
        <v>52</v>
      </c>
      <c r="B134" s="193">
        <f t="shared" ref="B134:H134" si="62">SUM(B122:B133)</f>
        <v>0</v>
      </c>
      <c r="C134" s="193">
        <f t="shared" si="62"/>
        <v>0</v>
      </c>
      <c r="D134" s="193">
        <f t="shared" ca="1" si="62"/>
        <v>0</v>
      </c>
      <c r="E134" s="193">
        <f t="shared" ca="1" si="62"/>
        <v>0</v>
      </c>
      <c r="F134" s="193">
        <f t="shared" si="62"/>
        <v>0</v>
      </c>
      <c r="G134" s="193">
        <f t="shared" si="62"/>
        <v>0</v>
      </c>
      <c r="H134" s="193">
        <f t="shared" si="62"/>
        <v>0</v>
      </c>
      <c r="I134" s="193"/>
      <c r="J134" s="193">
        <f t="shared" ref="J134:O134" si="63">SUM(J122:J133)</f>
        <v>0</v>
      </c>
      <c r="K134" s="193">
        <f t="shared" si="63"/>
        <v>0</v>
      </c>
      <c r="L134" s="193">
        <f t="shared" si="63"/>
        <v>0</v>
      </c>
      <c r="M134" s="193">
        <f t="shared" si="63"/>
        <v>0</v>
      </c>
      <c r="N134" s="193">
        <f t="shared" si="63"/>
        <v>0</v>
      </c>
      <c r="O134" s="193">
        <f t="shared" si="63"/>
        <v>0</v>
      </c>
      <c r="P134" s="532" t="str">
        <f>IFERROR(AVERAGE(P122:P133),"")</f>
        <v/>
      </c>
    </row>
    <row r="135" spans="1:18">
      <c r="A135" s="165" t="s">
        <v>89</v>
      </c>
      <c r="B135" s="193" t="str">
        <f>IFERROR(+AVERAGE(B122:B133),"")</f>
        <v/>
      </c>
      <c r="C135" s="193" t="str">
        <f>IFERROR(+AVERAGE(C122:C133),"")</f>
        <v/>
      </c>
      <c r="D135" s="193">
        <f t="shared" ref="D135:E135" ca="1" si="64">+AVERAGE(D122:D133)</f>
        <v>0</v>
      </c>
      <c r="E135" s="193">
        <f t="shared" ca="1" si="64"/>
        <v>0</v>
      </c>
      <c r="F135" s="193" t="str">
        <f>IFERROR(+AVERAGE(F122:F133),"")</f>
        <v/>
      </c>
      <c r="G135" s="193" t="str">
        <f>IFERROR(+AVERAGE(G122:G133),"")</f>
        <v/>
      </c>
      <c r="H135" s="193" t="str">
        <f>IFERROR(+AVERAGE(H122:H133),"")</f>
        <v/>
      </c>
      <c r="I135" s="194"/>
      <c r="J135" s="194"/>
      <c r="K135" s="195"/>
      <c r="L135" s="195"/>
      <c r="M135" s="196"/>
      <c r="N135" s="195"/>
      <c r="O135" s="531"/>
      <c r="P135" s="533" t="str">
        <f>IFERROR(AVERAGE(J122:O133),"")</f>
        <v/>
      </c>
    </row>
    <row r="136" spans="1:18" ht="15.75" thickBot="1"/>
    <row r="137" spans="1:18">
      <c r="A137" s="705" t="s">
        <v>428</v>
      </c>
      <c r="B137" s="706"/>
      <c r="C137" s="707"/>
      <c r="D137" s="708"/>
      <c r="E137" s="708"/>
      <c r="F137" s="708"/>
      <c r="G137" s="708"/>
      <c r="H137" s="708"/>
      <c r="I137" s="708"/>
      <c r="J137" s="708"/>
      <c r="K137" s="708"/>
      <c r="L137" s="708"/>
      <c r="M137" s="708"/>
      <c r="N137" s="708"/>
      <c r="O137" s="709"/>
    </row>
    <row r="138" spans="1:18">
      <c r="A138" s="710" t="s">
        <v>120</v>
      </c>
      <c r="B138" s="711"/>
      <c r="C138" s="712"/>
      <c r="D138" s="713"/>
      <c r="E138" s="713"/>
      <c r="F138" s="713"/>
      <c r="G138" s="713"/>
      <c r="H138" s="713"/>
      <c r="I138" s="713"/>
      <c r="J138" s="713"/>
      <c r="K138" s="713"/>
      <c r="L138" s="713"/>
      <c r="M138" s="713"/>
      <c r="N138" s="713"/>
      <c r="O138" s="714"/>
    </row>
    <row r="139" spans="1:18">
      <c r="A139" s="683" t="s">
        <v>121</v>
      </c>
      <c r="B139" s="684"/>
      <c r="C139" s="689"/>
      <c r="D139" s="690"/>
      <c r="E139" s="690"/>
      <c r="F139" s="690"/>
      <c r="G139" s="692"/>
      <c r="H139" s="688" t="s">
        <v>122</v>
      </c>
      <c r="I139" s="684"/>
      <c r="J139" s="715"/>
      <c r="K139" s="716"/>
      <c r="L139" s="716"/>
      <c r="M139" s="716"/>
      <c r="N139" s="716"/>
      <c r="O139" s="717"/>
    </row>
    <row r="140" spans="1:18" ht="15" customHeight="1">
      <c r="A140" s="683" t="s">
        <v>123</v>
      </c>
      <c r="B140" s="684"/>
      <c r="C140" s="685"/>
      <c r="D140" s="686"/>
      <c r="E140" s="686"/>
      <c r="F140" s="686"/>
      <c r="G140" s="687"/>
      <c r="H140" s="688" t="s">
        <v>124</v>
      </c>
      <c r="I140" s="684"/>
      <c r="J140" s="689"/>
      <c r="K140" s="690"/>
      <c r="L140" s="690"/>
      <c r="M140" s="690"/>
      <c r="N140" s="690"/>
      <c r="O140" s="691"/>
    </row>
    <row r="141" spans="1:18">
      <c r="A141" s="683" t="s">
        <v>125</v>
      </c>
      <c r="B141" s="684"/>
      <c r="C141" s="690"/>
      <c r="D141" s="690"/>
      <c r="E141" s="690"/>
      <c r="F141" s="690"/>
      <c r="G141" s="692"/>
      <c r="H141" s="688" t="str">
        <f>IF(J140="Overdraft","Limit",IF(J140="Cash Credit","Limit",""))</f>
        <v/>
      </c>
      <c r="I141" s="684"/>
      <c r="J141" s="693"/>
      <c r="K141" s="693"/>
      <c r="L141" s="693"/>
      <c r="M141" s="693"/>
      <c r="N141" s="693"/>
      <c r="O141" s="694"/>
    </row>
    <row r="142" spans="1:18" ht="32.25" customHeight="1">
      <c r="A142" s="695" t="s">
        <v>126</v>
      </c>
      <c r="B142" s="696"/>
      <c r="C142" s="697"/>
      <c r="D142" s="698"/>
      <c r="E142" s="698"/>
      <c r="F142" s="698"/>
      <c r="G142" s="699"/>
      <c r="H142" s="700"/>
      <c r="I142" s="701"/>
      <c r="J142" s="702"/>
      <c r="K142" s="703"/>
      <c r="L142" s="703"/>
      <c r="M142" s="703"/>
      <c r="N142" s="703"/>
      <c r="O142" s="704"/>
    </row>
    <row r="143" spans="1:18" ht="15" customHeight="1">
      <c r="A143" s="165" t="s">
        <v>115</v>
      </c>
      <c r="B143" s="676" t="s">
        <v>240</v>
      </c>
      <c r="C143" s="677"/>
      <c r="D143" s="676" t="s">
        <v>241</v>
      </c>
      <c r="E143" s="677"/>
      <c r="F143" s="678" t="s">
        <v>242</v>
      </c>
      <c r="G143" s="678" t="s">
        <v>243</v>
      </c>
      <c r="H143" s="678" t="s">
        <v>244</v>
      </c>
      <c r="I143" s="678" t="s">
        <v>245</v>
      </c>
      <c r="J143" s="676" t="s">
        <v>116</v>
      </c>
      <c r="K143" s="680"/>
      <c r="L143" s="680"/>
      <c r="M143" s="680"/>
      <c r="N143" s="680"/>
      <c r="O143" s="677"/>
      <c r="P143" s="681" t="s">
        <v>246</v>
      </c>
    </row>
    <row r="144" spans="1:18" ht="42" customHeight="1">
      <c r="A144" s="165" t="s">
        <v>117</v>
      </c>
      <c r="B144" s="166" t="s">
        <v>78</v>
      </c>
      <c r="C144" s="166" t="s">
        <v>79</v>
      </c>
      <c r="D144" s="166" t="s">
        <v>78</v>
      </c>
      <c r="E144" s="166" t="s">
        <v>79</v>
      </c>
      <c r="F144" s="679"/>
      <c r="G144" s="679"/>
      <c r="H144" s="679"/>
      <c r="I144" s="679"/>
      <c r="J144" s="166" t="s">
        <v>80</v>
      </c>
      <c r="K144" s="166" t="s">
        <v>81</v>
      </c>
      <c r="L144" s="166" t="s">
        <v>82</v>
      </c>
      <c r="M144" s="166" t="s">
        <v>83</v>
      </c>
      <c r="N144" s="166" t="s">
        <v>84</v>
      </c>
      <c r="O144" s="166" t="s">
        <v>85</v>
      </c>
      <c r="P144" s="682"/>
      <c r="R144" s="528" t="s">
        <v>425</v>
      </c>
    </row>
    <row r="145" spans="1:18">
      <c r="A145" s="209">
        <f>$A$30</f>
        <v>44256</v>
      </c>
      <c r="B145" s="535"/>
      <c r="C145" s="535"/>
      <c r="D145" s="503">
        <f t="shared" ref="D145:D156" ca="1" si="65">IFERROR(LEN(_xlfn.FORMULATEXT(B145))-LEN(SUBSTITUTE(_xlfn.FORMULATEXT(B145),"+",""))+1,0)</f>
        <v>0</v>
      </c>
      <c r="E145" s="503">
        <f t="shared" ref="E145:E156" ca="1" si="66">IFERROR(LEN(_xlfn.FORMULATEXT(C145))-LEN(SUBSTITUTE(_xlfn.FORMULATEXT(C145),"+",""))+1,0)</f>
        <v>0</v>
      </c>
      <c r="F145" s="206"/>
      <c r="G145" s="206"/>
      <c r="H145" s="206"/>
      <c r="I145" s="207"/>
      <c r="J145" s="536"/>
      <c r="K145" s="536"/>
      <c r="L145" s="536"/>
      <c r="M145" s="536"/>
      <c r="N145" s="536"/>
      <c r="O145" s="536"/>
      <c r="P145" s="530" t="str">
        <f>IFERROR(SUM(J145:O145)/COUNT(J145:O145),"")</f>
        <v/>
      </c>
      <c r="R145" s="675">
        <f>IF(J142="Yes", AVERAGE(J145:O150), 0)</f>
        <v>0</v>
      </c>
    </row>
    <row r="146" spans="1:18">
      <c r="A146" s="209">
        <f>EDATE(A145,-1)</f>
        <v>44228</v>
      </c>
      <c r="B146" s="535"/>
      <c r="C146" s="535"/>
      <c r="D146" s="503">
        <f t="shared" ca="1" si="65"/>
        <v>0</v>
      </c>
      <c r="E146" s="503">
        <f t="shared" ca="1" si="66"/>
        <v>0</v>
      </c>
      <c r="F146" s="206"/>
      <c r="G146" s="206"/>
      <c r="H146" s="206"/>
      <c r="I146" s="207"/>
      <c r="J146" s="536"/>
      <c r="K146" s="536"/>
      <c r="L146" s="536"/>
      <c r="M146" s="536"/>
      <c r="N146" s="536"/>
      <c r="O146" s="536"/>
      <c r="P146" s="530" t="str">
        <f t="shared" ref="P146:P156" si="67">IFERROR(SUM(J146:O146)/COUNT(J146:O146),"")</f>
        <v/>
      </c>
      <c r="R146" s="675"/>
    </row>
    <row r="147" spans="1:18">
      <c r="A147" s="209">
        <f t="shared" ref="A147:A156" si="68">EDATE(A146,-1)</f>
        <v>44197</v>
      </c>
      <c r="B147" s="535"/>
      <c r="C147" s="535"/>
      <c r="D147" s="503">
        <f t="shared" ca="1" si="65"/>
        <v>0</v>
      </c>
      <c r="E147" s="503">
        <f t="shared" ca="1" si="66"/>
        <v>0</v>
      </c>
      <c r="F147" s="206"/>
      <c r="G147" s="206"/>
      <c r="H147" s="206"/>
      <c r="I147" s="207"/>
      <c r="J147" s="536"/>
      <c r="K147" s="536"/>
      <c r="L147" s="536"/>
      <c r="M147" s="536"/>
      <c r="N147" s="536"/>
      <c r="O147" s="536"/>
      <c r="P147" s="530" t="str">
        <f t="shared" si="67"/>
        <v/>
      </c>
      <c r="R147" s="675"/>
    </row>
    <row r="148" spans="1:18">
      <c r="A148" s="209">
        <f t="shared" si="68"/>
        <v>44166</v>
      </c>
      <c r="B148" s="535"/>
      <c r="C148" s="535"/>
      <c r="D148" s="503">
        <f t="shared" ca="1" si="65"/>
        <v>0</v>
      </c>
      <c r="E148" s="503">
        <f t="shared" ca="1" si="66"/>
        <v>0</v>
      </c>
      <c r="F148" s="206"/>
      <c r="G148" s="206"/>
      <c r="H148" s="206"/>
      <c r="I148" s="207"/>
      <c r="J148" s="536"/>
      <c r="K148" s="536"/>
      <c r="L148" s="536"/>
      <c r="M148" s="536"/>
      <c r="N148" s="536"/>
      <c r="O148" s="536"/>
      <c r="P148" s="530" t="str">
        <f t="shared" si="67"/>
        <v/>
      </c>
      <c r="R148" s="675"/>
    </row>
    <row r="149" spans="1:18">
      <c r="A149" s="209">
        <f t="shared" si="68"/>
        <v>44136</v>
      </c>
      <c r="B149" s="535"/>
      <c r="C149" s="535"/>
      <c r="D149" s="503">
        <f t="shared" ca="1" si="65"/>
        <v>0</v>
      </c>
      <c r="E149" s="503">
        <f t="shared" ca="1" si="66"/>
        <v>0</v>
      </c>
      <c r="F149" s="206"/>
      <c r="G149" s="206"/>
      <c r="H149" s="206"/>
      <c r="I149" s="207"/>
      <c r="J149" s="536"/>
      <c r="K149" s="536"/>
      <c r="L149" s="536"/>
      <c r="M149" s="536"/>
      <c r="N149" s="536"/>
      <c r="O149" s="536"/>
      <c r="P149" s="530" t="str">
        <f t="shared" si="67"/>
        <v/>
      </c>
      <c r="R149" s="675"/>
    </row>
    <row r="150" spans="1:18">
      <c r="A150" s="209">
        <f t="shared" si="68"/>
        <v>44105</v>
      </c>
      <c r="B150" s="535"/>
      <c r="C150" s="535"/>
      <c r="D150" s="503">
        <f t="shared" ca="1" si="65"/>
        <v>0</v>
      </c>
      <c r="E150" s="503">
        <f t="shared" ca="1" si="66"/>
        <v>0</v>
      </c>
      <c r="F150" s="206"/>
      <c r="G150" s="206"/>
      <c r="H150" s="206"/>
      <c r="I150" s="207"/>
      <c r="J150" s="536"/>
      <c r="K150" s="536"/>
      <c r="L150" s="536"/>
      <c r="M150" s="536"/>
      <c r="N150" s="536"/>
      <c r="O150" s="536"/>
      <c r="P150" s="530" t="str">
        <f t="shared" si="67"/>
        <v/>
      </c>
      <c r="R150" s="675"/>
    </row>
    <row r="151" spans="1:18">
      <c r="A151" s="209">
        <f t="shared" si="68"/>
        <v>44075</v>
      </c>
      <c r="B151" s="535"/>
      <c r="C151" s="535"/>
      <c r="D151" s="503">
        <f t="shared" ca="1" si="65"/>
        <v>0</v>
      </c>
      <c r="E151" s="503">
        <f t="shared" ca="1" si="66"/>
        <v>0</v>
      </c>
      <c r="F151" s="206"/>
      <c r="G151" s="206"/>
      <c r="H151" s="206"/>
      <c r="I151" s="207"/>
      <c r="J151" s="536"/>
      <c r="K151" s="536"/>
      <c r="L151" s="536"/>
      <c r="M151" s="536"/>
      <c r="N151" s="536"/>
      <c r="O151" s="536"/>
      <c r="P151" s="530" t="str">
        <f t="shared" si="67"/>
        <v/>
      </c>
      <c r="R151" s="675">
        <f>IF(J142="Yes", AVERAGE(J145:O156), 0)</f>
        <v>0</v>
      </c>
    </row>
    <row r="152" spans="1:18">
      <c r="A152" s="209">
        <f t="shared" si="68"/>
        <v>44044</v>
      </c>
      <c r="B152" s="535"/>
      <c r="C152" s="535"/>
      <c r="D152" s="503">
        <f t="shared" ca="1" si="65"/>
        <v>0</v>
      </c>
      <c r="E152" s="503">
        <f t="shared" ca="1" si="66"/>
        <v>0</v>
      </c>
      <c r="F152" s="206"/>
      <c r="G152" s="206"/>
      <c r="H152" s="206"/>
      <c r="I152" s="207"/>
      <c r="J152" s="536"/>
      <c r="K152" s="536"/>
      <c r="L152" s="536"/>
      <c r="M152" s="536"/>
      <c r="N152" s="536"/>
      <c r="O152" s="536"/>
      <c r="P152" s="530" t="str">
        <f t="shared" si="67"/>
        <v/>
      </c>
      <c r="R152" s="675"/>
    </row>
    <row r="153" spans="1:18">
      <c r="A153" s="209">
        <f t="shared" si="68"/>
        <v>44013</v>
      </c>
      <c r="B153" s="535"/>
      <c r="C153" s="535"/>
      <c r="D153" s="503">
        <f t="shared" ca="1" si="65"/>
        <v>0</v>
      </c>
      <c r="E153" s="503">
        <f t="shared" ca="1" si="66"/>
        <v>0</v>
      </c>
      <c r="F153" s="206"/>
      <c r="G153" s="206"/>
      <c r="H153" s="206"/>
      <c r="I153" s="207"/>
      <c r="J153" s="536"/>
      <c r="K153" s="536"/>
      <c r="L153" s="536"/>
      <c r="M153" s="536"/>
      <c r="N153" s="536"/>
      <c r="O153" s="536"/>
      <c r="P153" s="530" t="str">
        <f t="shared" si="67"/>
        <v/>
      </c>
      <c r="R153" s="675"/>
    </row>
    <row r="154" spans="1:18">
      <c r="A154" s="209">
        <f t="shared" si="68"/>
        <v>43983</v>
      </c>
      <c r="B154" s="535"/>
      <c r="C154" s="535"/>
      <c r="D154" s="503">
        <f t="shared" ca="1" si="65"/>
        <v>0</v>
      </c>
      <c r="E154" s="503">
        <f t="shared" ca="1" si="66"/>
        <v>0</v>
      </c>
      <c r="F154" s="206"/>
      <c r="G154" s="206"/>
      <c r="H154" s="206"/>
      <c r="I154" s="207"/>
      <c r="J154" s="536"/>
      <c r="K154" s="536"/>
      <c r="L154" s="536"/>
      <c r="M154" s="536"/>
      <c r="N154" s="536"/>
      <c r="O154" s="536"/>
      <c r="P154" s="530" t="str">
        <f t="shared" si="67"/>
        <v/>
      </c>
      <c r="R154" s="675"/>
    </row>
    <row r="155" spans="1:18">
      <c r="A155" s="209">
        <f t="shared" si="68"/>
        <v>43952</v>
      </c>
      <c r="B155" s="535"/>
      <c r="C155" s="535"/>
      <c r="D155" s="503">
        <f t="shared" ca="1" si="65"/>
        <v>0</v>
      </c>
      <c r="E155" s="503">
        <f t="shared" ca="1" si="66"/>
        <v>0</v>
      </c>
      <c r="F155" s="206"/>
      <c r="G155" s="206"/>
      <c r="H155" s="206"/>
      <c r="I155" s="207"/>
      <c r="J155" s="536"/>
      <c r="K155" s="536"/>
      <c r="L155" s="536"/>
      <c r="M155" s="536"/>
      <c r="N155" s="536"/>
      <c r="O155" s="536"/>
      <c r="P155" s="530" t="str">
        <f t="shared" si="67"/>
        <v/>
      </c>
      <c r="R155" s="675"/>
    </row>
    <row r="156" spans="1:18">
      <c r="A156" s="209">
        <f t="shared" si="68"/>
        <v>43922</v>
      </c>
      <c r="B156" s="535"/>
      <c r="C156" s="535"/>
      <c r="D156" s="503">
        <f t="shared" ca="1" si="65"/>
        <v>0</v>
      </c>
      <c r="E156" s="503">
        <f t="shared" ca="1" si="66"/>
        <v>0</v>
      </c>
      <c r="F156" s="206"/>
      <c r="G156" s="206"/>
      <c r="H156" s="206"/>
      <c r="I156" s="207"/>
      <c r="J156" s="536"/>
      <c r="K156" s="536"/>
      <c r="L156" s="536"/>
      <c r="M156" s="536"/>
      <c r="N156" s="536"/>
      <c r="O156" s="536"/>
      <c r="P156" s="530" t="str">
        <f t="shared" si="67"/>
        <v/>
      </c>
      <c r="R156" s="675"/>
    </row>
    <row r="157" spans="1:18">
      <c r="A157" s="165" t="s">
        <v>52</v>
      </c>
      <c r="B157" s="193">
        <f t="shared" ref="B157:H157" si="69">SUM(B145:B156)</f>
        <v>0</v>
      </c>
      <c r="C157" s="193">
        <f t="shared" si="69"/>
        <v>0</v>
      </c>
      <c r="D157" s="193">
        <f t="shared" ca="1" si="69"/>
        <v>0</v>
      </c>
      <c r="E157" s="193">
        <f t="shared" ca="1" si="69"/>
        <v>0</v>
      </c>
      <c r="F157" s="193">
        <f t="shared" si="69"/>
        <v>0</v>
      </c>
      <c r="G157" s="193">
        <f t="shared" si="69"/>
        <v>0</v>
      </c>
      <c r="H157" s="193">
        <f t="shared" si="69"/>
        <v>0</v>
      </c>
      <c r="I157" s="193"/>
      <c r="J157" s="193">
        <f t="shared" ref="J157:O157" si="70">SUM(J145:J156)</f>
        <v>0</v>
      </c>
      <c r="K157" s="193">
        <f t="shared" si="70"/>
        <v>0</v>
      </c>
      <c r="L157" s="193">
        <f t="shared" si="70"/>
        <v>0</v>
      </c>
      <c r="M157" s="193">
        <f t="shared" si="70"/>
        <v>0</v>
      </c>
      <c r="N157" s="193">
        <f t="shared" si="70"/>
        <v>0</v>
      </c>
      <c r="O157" s="193">
        <f t="shared" si="70"/>
        <v>0</v>
      </c>
      <c r="P157" s="532" t="str">
        <f>IFERROR(AVERAGE(P145:P156),"")</f>
        <v/>
      </c>
    </row>
    <row r="158" spans="1:18">
      <c r="A158" s="165" t="s">
        <v>89</v>
      </c>
      <c r="B158" s="193" t="str">
        <f>IFERROR(+AVERAGE(B145:B156),"")</f>
        <v/>
      </c>
      <c r="C158" s="193" t="str">
        <f>IFERROR(+AVERAGE(C145:C156),"")</f>
        <v/>
      </c>
      <c r="D158" s="193">
        <f t="shared" ref="D158:E158" ca="1" si="71">+AVERAGE(D145:D156)</f>
        <v>0</v>
      </c>
      <c r="E158" s="193">
        <f t="shared" ca="1" si="71"/>
        <v>0</v>
      </c>
      <c r="F158" s="193" t="str">
        <f>IFERROR(+AVERAGE(F145:F156),"")</f>
        <v/>
      </c>
      <c r="G158" s="193" t="str">
        <f>IFERROR(+AVERAGE(G145:G156),"")</f>
        <v/>
      </c>
      <c r="H158" s="193" t="str">
        <f>IFERROR(+AVERAGE(H145:H156),"")</f>
        <v/>
      </c>
      <c r="I158" s="194"/>
      <c r="J158" s="194"/>
      <c r="K158" s="195"/>
      <c r="L158" s="195"/>
      <c r="M158" s="196"/>
      <c r="N158" s="195"/>
      <c r="O158" s="531"/>
      <c r="P158" s="533" t="str">
        <f>IFERROR(AVERAGE(J145:O156),"")</f>
        <v/>
      </c>
    </row>
    <row r="159" spans="1:18" ht="15.75" thickBot="1"/>
    <row r="160" spans="1:18">
      <c r="A160" s="705" t="s">
        <v>429</v>
      </c>
      <c r="B160" s="706"/>
      <c r="C160" s="707"/>
      <c r="D160" s="708"/>
      <c r="E160" s="708"/>
      <c r="F160" s="708"/>
      <c r="G160" s="708"/>
      <c r="H160" s="708"/>
      <c r="I160" s="708"/>
      <c r="J160" s="708"/>
      <c r="K160" s="708"/>
      <c r="L160" s="708"/>
      <c r="M160" s="708"/>
      <c r="N160" s="708"/>
      <c r="O160" s="709"/>
    </row>
    <row r="161" spans="1:18">
      <c r="A161" s="710" t="s">
        <v>120</v>
      </c>
      <c r="B161" s="711"/>
      <c r="C161" s="712"/>
      <c r="D161" s="713"/>
      <c r="E161" s="713"/>
      <c r="F161" s="713"/>
      <c r="G161" s="713"/>
      <c r="H161" s="713"/>
      <c r="I161" s="713"/>
      <c r="J161" s="713"/>
      <c r="K161" s="713"/>
      <c r="L161" s="713"/>
      <c r="M161" s="713"/>
      <c r="N161" s="713"/>
      <c r="O161" s="714"/>
    </row>
    <row r="162" spans="1:18">
      <c r="A162" s="683" t="s">
        <v>121</v>
      </c>
      <c r="B162" s="684"/>
      <c r="C162" s="689"/>
      <c r="D162" s="690"/>
      <c r="E162" s="690"/>
      <c r="F162" s="690"/>
      <c r="G162" s="692"/>
      <c r="H162" s="688" t="s">
        <v>122</v>
      </c>
      <c r="I162" s="684"/>
      <c r="J162" s="715"/>
      <c r="K162" s="716"/>
      <c r="L162" s="716"/>
      <c r="M162" s="716"/>
      <c r="N162" s="716"/>
      <c r="O162" s="717"/>
    </row>
    <row r="163" spans="1:18" ht="15" customHeight="1">
      <c r="A163" s="683" t="s">
        <v>123</v>
      </c>
      <c r="B163" s="684"/>
      <c r="C163" s="685"/>
      <c r="D163" s="686"/>
      <c r="E163" s="686"/>
      <c r="F163" s="686"/>
      <c r="G163" s="687"/>
      <c r="H163" s="688" t="s">
        <v>124</v>
      </c>
      <c r="I163" s="684"/>
      <c r="J163" s="689"/>
      <c r="K163" s="690"/>
      <c r="L163" s="690"/>
      <c r="M163" s="690"/>
      <c r="N163" s="690"/>
      <c r="O163" s="691"/>
    </row>
    <row r="164" spans="1:18">
      <c r="A164" s="683" t="s">
        <v>125</v>
      </c>
      <c r="B164" s="684"/>
      <c r="C164" s="690"/>
      <c r="D164" s="690"/>
      <c r="E164" s="690"/>
      <c r="F164" s="690"/>
      <c r="G164" s="692"/>
      <c r="H164" s="688" t="str">
        <f>IF(J163="Overdraft","Limit",IF(J163="Cash Credit","Limit",""))</f>
        <v/>
      </c>
      <c r="I164" s="684"/>
      <c r="J164" s="693"/>
      <c r="K164" s="693"/>
      <c r="L164" s="693"/>
      <c r="M164" s="693"/>
      <c r="N164" s="693"/>
      <c r="O164" s="694"/>
    </row>
    <row r="165" spans="1:18" ht="32.25" customHeight="1">
      <c r="A165" s="695" t="s">
        <v>126</v>
      </c>
      <c r="B165" s="696"/>
      <c r="C165" s="697"/>
      <c r="D165" s="698"/>
      <c r="E165" s="698"/>
      <c r="F165" s="698"/>
      <c r="G165" s="699"/>
      <c r="H165" s="700"/>
      <c r="I165" s="701"/>
      <c r="J165" s="702"/>
      <c r="K165" s="703"/>
      <c r="L165" s="703"/>
      <c r="M165" s="703"/>
      <c r="N165" s="703"/>
      <c r="O165" s="704"/>
    </row>
    <row r="166" spans="1:18" ht="15" customHeight="1">
      <c r="A166" s="165" t="s">
        <v>115</v>
      </c>
      <c r="B166" s="676" t="s">
        <v>240</v>
      </c>
      <c r="C166" s="677"/>
      <c r="D166" s="676" t="s">
        <v>241</v>
      </c>
      <c r="E166" s="677"/>
      <c r="F166" s="678" t="s">
        <v>242</v>
      </c>
      <c r="G166" s="678" t="s">
        <v>243</v>
      </c>
      <c r="H166" s="678" t="s">
        <v>244</v>
      </c>
      <c r="I166" s="678" t="s">
        <v>245</v>
      </c>
      <c r="J166" s="676" t="s">
        <v>116</v>
      </c>
      <c r="K166" s="680"/>
      <c r="L166" s="680"/>
      <c r="M166" s="680"/>
      <c r="N166" s="680"/>
      <c r="O166" s="677"/>
      <c r="P166" s="681" t="s">
        <v>246</v>
      </c>
    </row>
    <row r="167" spans="1:18" ht="42" customHeight="1">
      <c r="A167" s="165" t="s">
        <v>117</v>
      </c>
      <c r="B167" s="166" t="s">
        <v>78</v>
      </c>
      <c r="C167" s="166" t="s">
        <v>79</v>
      </c>
      <c r="D167" s="166" t="s">
        <v>78</v>
      </c>
      <c r="E167" s="166" t="s">
        <v>79</v>
      </c>
      <c r="F167" s="679"/>
      <c r="G167" s="679"/>
      <c r="H167" s="679"/>
      <c r="I167" s="679"/>
      <c r="J167" s="166" t="s">
        <v>80</v>
      </c>
      <c r="K167" s="166" t="s">
        <v>81</v>
      </c>
      <c r="L167" s="166" t="s">
        <v>82</v>
      </c>
      <c r="M167" s="166" t="s">
        <v>83</v>
      </c>
      <c r="N167" s="166" t="s">
        <v>84</v>
      </c>
      <c r="O167" s="166" t="s">
        <v>85</v>
      </c>
      <c r="P167" s="682"/>
      <c r="R167" s="528" t="s">
        <v>425</v>
      </c>
    </row>
    <row r="168" spans="1:18">
      <c r="A168" s="209">
        <f>$A$30</f>
        <v>44256</v>
      </c>
      <c r="B168" s="535"/>
      <c r="C168" s="535"/>
      <c r="D168" s="503">
        <f t="shared" ref="D168:D179" ca="1" si="72">IFERROR(LEN(_xlfn.FORMULATEXT(B168))-LEN(SUBSTITUTE(_xlfn.FORMULATEXT(B168),"+",""))+1,0)</f>
        <v>0</v>
      </c>
      <c r="E168" s="503">
        <f t="shared" ref="E168:E179" ca="1" si="73">IFERROR(LEN(_xlfn.FORMULATEXT(C168))-LEN(SUBSTITUTE(_xlfn.FORMULATEXT(C168),"+",""))+1,0)</f>
        <v>0</v>
      </c>
      <c r="F168" s="206"/>
      <c r="G168" s="206"/>
      <c r="H168" s="206"/>
      <c r="I168" s="207"/>
      <c r="J168" s="536"/>
      <c r="K168" s="536"/>
      <c r="L168" s="536"/>
      <c r="M168" s="536"/>
      <c r="N168" s="536"/>
      <c r="O168" s="536"/>
      <c r="P168" s="530" t="str">
        <f>IFERROR(SUM(J168:O168)/COUNT(J168:O168),"")</f>
        <v/>
      </c>
      <c r="R168" s="675">
        <f>IF(J165="Yes", AVERAGE(J168:O173), 0)</f>
        <v>0</v>
      </c>
    </row>
    <row r="169" spans="1:18">
      <c r="A169" s="209">
        <f>EDATE(A168,-1)</f>
        <v>44228</v>
      </c>
      <c r="B169" s="535"/>
      <c r="C169" s="535"/>
      <c r="D169" s="503">
        <f t="shared" ca="1" si="72"/>
        <v>0</v>
      </c>
      <c r="E169" s="503">
        <f t="shared" ca="1" si="73"/>
        <v>0</v>
      </c>
      <c r="F169" s="206"/>
      <c r="G169" s="206"/>
      <c r="H169" s="206"/>
      <c r="I169" s="207"/>
      <c r="J169" s="536"/>
      <c r="K169" s="536"/>
      <c r="L169" s="536"/>
      <c r="M169" s="536"/>
      <c r="N169" s="536"/>
      <c r="O169" s="536"/>
      <c r="P169" s="530" t="str">
        <f t="shared" ref="P169:P179" si="74">IFERROR(SUM(J169:O169)/COUNT(J169:O169),"")</f>
        <v/>
      </c>
      <c r="R169" s="675"/>
    </row>
    <row r="170" spans="1:18">
      <c r="A170" s="209">
        <f t="shared" ref="A170:A179" si="75">EDATE(A169,-1)</f>
        <v>44197</v>
      </c>
      <c r="B170" s="535"/>
      <c r="C170" s="535"/>
      <c r="D170" s="503">
        <f t="shared" ca="1" si="72"/>
        <v>0</v>
      </c>
      <c r="E170" s="503">
        <f t="shared" ca="1" si="73"/>
        <v>0</v>
      </c>
      <c r="F170" s="206"/>
      <c r="G170" s="206"/>
      <c r="H170" s="206"/>
      <c r="I170" s="207"/>
      <c r="J170" s="536"/>
      <c r="K170" s="536"/>
      <c r="L170" s="536"/>
      <c r="M170" s="536"/>
      <c r="N170" s="536"/>
      <c r="O170" s="536"/>
      <c r="P170" s="530" t="str">
        <f t="shared" si="74"/>
        <v/>
      </c>
      <c r="R170" s="675"/>
    </row>
    <row r="171" spans="1:18">
      <c r="A171" s="209">
        <f t="shared" si="75"/>
        <v>44166</v>
      </c>
      <c r="B171" s="535"/>
      <c r="C171" s="535"/>
      <c r="D171" s="503">
        <f t="shared" ca="1" si="72"/>
        <v>0</v>
      </c>
      <c r="E171" s="503">
        <f t="shared" ca="1" si="73"/>
        <v>0</v>
      </c>
      <c r="F171" s="206"/>
      <c r="G171" s="206"/>
      <c r="H171" s="206"/>
      <c r="I171" s="207"/>
      <c r="J171" s="536"/>
      <c r="K171" s="536"/>
      <c r="L171" s="536"/>
      <c r="M171" s="536"/>
      <c r="N171" s="536"/>
      <c r="O171" s="536"/>
      <c r="P171" s="530" t="str">
        <f t="shared" si="74"/>
        <v/>
      </c>
      <c r="R171" s="675"/>
    </row>
    <row r="172" spans="1:18">
      <c r="A172" s="209">
        <f t="shared" si="75"/>
        <v>44136</v>
      </c>
      <c r="B172" s="535"/>
      <c r="C172" s="535"/>
      <c r="D172" s="503">
        <f t="shared" ca="1" si="72"/>
        <v>0</v>
      </c>
      <c r="E172" s="503">
        <f t="shared" ca="1" si="73"/>
        <v>0</v>
      </c>
      <c r="F172" s="206"/>
      <c r="G172" s="206"/>
      <c r="H172" s="206"/>
      <c r="I172" s="207"/>
      <c r="J172" s="536"/>
      <c r="K172" s="536"/>
      <c r="L172" s="536"/>
      <c r="M172" s="536"/>
      <c r="N172" s="536"/>
      <c r="O172" s="536"/>
      <c r="P172" s="530" t="str">
        <f t="shared" si="74"/>
        <v/>
      </c>
      <c r="R172" s="675"/>
    </row>
    <row r="173" spans="1:18">
      <c r="A173" s="209">
        <f t="shared" si="75"/>
        <v>44105</v>
      </c>
      <c r="B173" s="535"/>
      <c r="C173" s="535"/>
      <c r="D173" s="503">
        <f t="shared" ca="1" si="72"/>
        <v>0</v>
      </c>
      <c r="E173" s="503">
        <f t="shared" ca="1" si="73"/>
        <v>0</v>
      </c>
      <c r="F173" s="206"/>
      <c r="G173" s="206"/>
      <c r="H173" s="206"/>
      <c r="I173" s="207"/>
      <c r="J173" s="536"/>
      <c r="K173" s="536"/>
      <c r="L173" s="536"/>
      <c r="M173" s="536"/>
      <c r="N173" s="536"/>
      <c r="O173" s="536"/>
      <c r="P173" s="530" t="str">
        <f t="shared" si="74"/>
        <v/>
      </c>
      <c r="R173" s="675"/>
    </row>
    <row r="174" spans="1:18">
      <c r="A174" s="209">
        <f t="shared" si="75"/>
        <v>44075</v>
      </c>
      <c r="B174" s="535"/>
      <c r="C174" s="535"/>
      <c r="D174" s="503">
        <f t="shared" ca="1" si="72"/>
        <v>0</v>
      </c>
      <c r="E174" s="503">
        <f t="shared" ca="1" si="73"/>
        <v>0</v>
      </c>
      <c r="F174" s="206"/>
      <c r="G174" s="206"/>
      <c r="H174" s="206"/>
      <c r="I174" s="207"/>
      <c r="J174" s="536"/>
      <c r="K174" s="536"/>
      <c r="L174" s="536"/>
      <c r="M174" s="536"/>
      <c r="N174" s="536"/>
      <c r="O174" s="536"/>
      <c r="P174" s="530" t="str">
        <f t="shared" si="74"/>
        <v/>
      </c>
      <c r="R174" s="675">
        <f>IF(J165="Yes", AVERAGE(J168:O179), 0)</f>
        <v>0</v>
      </c>
    </row>
    <row r="175" spans="1:18">
      <c r="A175" s="209">
        <f t="shared" si="75"/>
        <v>44044</v>
      </c>
      <c r="B175" s="535"/>
      <c r="C175" s="535"/>
      <c r="D175" s="503">
        <f t="shared" ca="1" si="72"/>
        <v>0</v>
      </c>
      <c r="E175" s="503">
        <f t="shared" ca="1" si="73"/>
        <v>0</v>
      </c>
      <c r="F175" s="206"/>
      <c r="G175" s="206"/>
      <c r="H175" s="206"/>
      <c r="I175" s="207"/>
      <c r="J175" s="536"/>
      <c r="K175" s="536"/>
      <c r="L175" s="536"/>
      <c r="M175" s="536"/>
      <c r="N175" s="536"/>
      <c r="O175" s="536"/>
      <c r="P175" s="530" t="str">
        <f t="shared" si="74"/>
        <v/>
      </c>
      <c r="R175" s="675"/>
    </row>
    <row r="176" spans="1:18">
      <c r="A176" s="209">
        <f t="shared" si="75"/>
        <v>44013</v>
      </c>
      <c r="B176" s="535"/>
      <c r="C176" s="535"/>
      <c r="D176" s="503">
        <f t="shared" ca="1" si="72"/>
        <v>0</v>
      </c>
      <c r="E176" s="503">
        <f t="shared" ca="1" si="73"/>
        <v>0</v>
      </c>
      <c r="F176" s="206"/>
      <c r="G176" s="206"/>
      <c r="H176" s="206"/>
      <c r="I176" s="207"/>
      <c r="J176" s="536"/>
      <c r="K176" s="536"/>
      <c r="L176" s="536"/>
      <c r="M176" s="536"/>
      <c r="N176" s="536"/>
      <c r="O176" s="536"/>
      <c r="P176" s="530" t="str">
        <f t="shared" si="74"/>
        <v/>
      </c>
      <c r="R176" s="675"/>
    </row>
    <row r="177" spans="1:18">
      <c r="A177" s="209">
        <f t="shared" si="75"/>
        <v>43983</v>
      </c>
      <c r="B177" s="535"/>
      <c r="C177" s="535"/>
      <c r="D177" s="503">
        <f t="shared" ca="1" si="72"/>
        <v>0</v>
      </c>
      <c r="E177" s="503">
        <f t="shared" ca="1" si="73"/>
        <v>0</v>
      </c>
      <c r="F177" s="206"/>
      <c r="G177" s="206"/>
      <c r="H177" s="206"/>
      <c r="I177" s="207"/>
      <c r="J177" s="536"/>
      <c r="K177" s="536"/>
      <c r="L177" s="536"/>
      <c r="M177" s="536"/>
      <c r="N177" s="536"/>
      <c r="O177" s="536"/>
      <c r="P177" s="530" t="str">
        <f t="shared" si="74"/>
        <v/>
      </c>
      <c r="R177" s="675"/>
    </row>
    <row r="178" spans="1:18">
      <c r="A178" s="209">
        <f t="shared" si="75"/>
        <v>43952</v>
      </c>
      <c r="B178" s="535"/>
      <c r="C178" s="535"/>
      <c r="D178" s="503">
        <f t="shared" ca="1" si="72"/>
        <v>0</v>
      </c>
      <c r="E178" s="503">
        <f t="shared" ca="1" si="73"/>
        <v>0</v>
      </c>
      <c r="F178" s="206"/>
      <c r="G178" s="206"/>
      <c r="H178" s="206"/>
      <c r="I178" s="207"/>
      <c r="J178" s="536"/>
      <c r="K178" s="536"/>
      <c r="L178" s="536"/>
      <c r="M178" s="536"/>
      <c r="N178" s="536"/>
      <c r="O178" s="536"/>
      <c r="P178" s="530" t="str">
        <f t="shared" si="74"/>
        <v/>
      </c>
      <c r="R178" s="675"/>
    </row>
    <row r="179" spans="1:18">
      <c r="A179" s="209">
        <f t="shared" si="75"/>
        <v>43922</v>
      </c>
      <c r="B179" s="535"/>
      <c r="C179" s="535"/>
      <c r="D179" s="503">
        <f t="shared" ca="1" si="72"/>
        <v>0</v>
      </c>
      <c r="E179" s="503">
        <f t="shared" ca="1" si="73"/>
        <v>0</v>
      </c>
      <c r="F179" s="206"/>
      <c r="G179" s="206"/>
      <c r="H179" s="206"/>
      <c r="I179" s="207"/>
      <c r="J179" s="536"/>
      <c r="K179" s="536"/>
      <c r="L179" s="536"/>
      <c r="M179" s="536"/>
      <c r="N179" s="536"/>
      <c r="O179" s="536"/>
      <c r="P179" s="530" t="str">
        <f t="shared" si="74"/>
        <v/>
      </c>
      <c r="R179" s="675"/>
    </row>
    <row r="180" spans="1:18">
      <c r="A180" s="165" t="s">
        <v>52</v>
      </c>
      <c r="B180" s="193">
        <f t="shared" ref="B180:H180" si="76">SUM(B168:B179)</f>
        <v>0</v>
      </c>
      <c r="C180" s="193">
        <f t="shared" si="76"/>
        <v>0</v>
      </c>
      <c r="D180" s="193">
        <f t="shared" ca="1" si="76"/>
        <v>0</v>
      </c>
      <c r="E180" s="193">
        <f t="shared" ca="1" si="76"/>
        <v>0</v>
      </c>
      <c r="F180" s="193">
        <f t="shared" si="76"/>
        <v>0</v>
      </c>
      <c r="G180" s="193">
        <f t="shared" si="76"/>
        <v>0</v>
      </c>
      <c r="H180" s="193">
        <f t="shared" si="76"/>
        <v>0</v>
      </c>
      <c r="I180" s="193"/>
      <c r="J180" s="193">
        <f t="shared" ref="J180:O180" si="77">SUM(J168:J179)</f>
        <v>0</v>
      </c>
      <c r="K180" s="193">
        <f t="shared" si="77"/>
        <v>0</v>
      </c>
      <c r="L180" s="193">
        <f t="shared" si="77"/>
        <v>0</v>
      </c>
      <c r="M180" s="193">
        <f t="shared" si="77"/>
        <v>0</v>
      </c>
      <c r="N180" s="193">
        <f t="shared" si="77"/>
        <v>0</v>
      </c>
      <c r="O180" s="193">
        <f t="shared" si="77"/>
        <v>0</v>
      </c>
      <c r="P180" s="532" t="str">
        <f>IFERROR(AVERAGE(P168:P179),"")</f>
        <v/>
      </c>
    </row>
    <row r="181" spans="1:18">
      <c r="A181" s="165" t="s">
        <v>89</v>
      </c>
      <c r="B181" s="193" t="str">
        <f>IFERROR(+AVERAGE(B168:B179),"")</f>
        <v/>
      </c>
      <c r="C181" s="193" t="str">
        <f>IFERROR(+AVERAGE(C168:C179),"")</f>
        <v/>
      </c>
      <c r="D181" s="193">
        <f t="shared" ref="D181:E181" ca="1" si="78">+AVERAGE(D168:D179)</f>
        <v>0</v>
      </c>
      <c r="E181" s="193">
        <f t="shared" ca="1" si="78"/>
        <v>0</v>
      </c>
      <c r="F181" s="193" t="str">
        <f>IFERROR(+AVERAGE(F168:F179),"")</f>
        <v/>
      </c>
      <c r="G181" s="193" t="str">
        <f>IFERROR(+AVERAGE(G168:G179),"")</f>
        <v/>
      </c>
      <c r="H181" s="193" t="str">
        <f>IFERROR(+AVERAGE(H168:H179),"")</f>
        <v/>
      </c>
      <c r="I181" s="194"/>
      <c r="J181" s="194"/>
      <c r="K181" s="195"/>
      <c r="L181" s="195"/>
      <c r="M181" s="196"/>
      <c r="N181" s="195"/>
      <c r="O181" s="531"/>
      <c r="P181" s="533" t="str">
        <f>IFERROR(AVERAGE(J168:O179),"")</f>
        <v/>
      </c>
    </row>
    <row r="182" spans="1:18" ht="15.75" thickBot="1"/>
    <row r="183" spans="1:18">
      <c r="A183" s="705" t="s">
        <v>430</v>
      </c>
      <c r="B183" s="706"/>
      <c r="C183" s="707"/>
      <c r="D183" s="708"/>
      <c r="E183" s="708"/>
      <c r="F183" s="708"/>
      <c r="G183" s="708"/>
      <c r="H183" s="708"/>
      <c r="I183" s="708"/>
      <c r="J183" s="708"/>
      <c r="K183" s="708"/>
      <c r="L183" s="708"/>
      <c r="M183" s="708"/>
      <c r="N183" s="708"/>
      <c r="O183" s="709"/>
    </row>
    <row r="184" spans="1:18">
      <c r="A184" s="710" t="s">
        <v>120</v>
      </c>
      <c r="B184" s="711"/>
      <c r="C184" s="712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14"/>
    </row>
    <row r="185" spans="1:18">
      <c r="A185" s="683" t="s">
        <v>121</v>
      </c>
      <c r="B185" s="684"/>
      <c r="C185" s="689"/>
      <c r="D185" s="690"/>
      <c r="E185" s="690"/>
      <c r="F185" s="690"/>
      <c r="G185" s="692"/>
      <c r="H185" s="688" t="s">
        <v>122</v>
      </c>
      <c r="I185" s="684"/>
      <c r="J185" s="715"/>
      <c r="K185" s="716"/>
      <c r="L185" s="716"/>
      <c r="M185" s="716"/>
      <c r="N185" s="716"/>
      <c r="O185" s="717"/>
    </row>
    <row r="186" spans="1:18" ht="15" customHeight="1">
      <c r="A186" s="683" t="s">
        <v>123</v>
      </c>
      <c r="B186" s="684"/>
      <c r="C186" s="685"/>
      <c r="D186" s="686"/>
      <c r="E186" s="686"/>
      <c r="F186" s="686"/>
      <c r="G186" s="687"/>
      <c r="H186" s="688" t="s">
        <v>124</v>
      </c>
      <c r="I186" s="684"/>
      <c r="J186" s="689"/>
      <c r="K186" s="690"/>
      <c r="L186" s="690"/>
      <c r="M186" s="690"/>
      <c r="N186" s="690"/>
      <c r="O186" s="691"/>
    </row>
    <row r="187" spans="1:18">
      <c r="A187" s="683" t="s">
        <v>125</v>
      </c>
      <c r="B187" s="684"/>
      <c r="C187" s="690"/>
      <c r="D187" s="690"/>
      <c r="E187" s="690"/>
      <c r="F187" s="690"/>
      <c r="G187" s="692"/>
      <c r="H187" s="688" t="str">
        <f>IF(J186="Overdraft","Limit",IF(J186="Cash Credit","Limit",""))</f>
        <v/>
      </c>
      <c r="I187" s="684"/>
      <c r="J187" s="693"/>
      <c r="K187" s="693"/>
      <c r="L187" s="693"/>
      <c r="M187" s="693"/>
      <c r="N187" s="693"/>
      <c r="O187" s="694"/>
    </row>
    <row r="188" spans="1:18" ht="32.25" customHeight="1">
      <c r="A188" s="695" t="s">
        <v>126</v>
      </c>
      <c r="B188" s="696"/>
      <c r="C188" s="697"/>
      <c r="D188" s="698"/>
      <c r="E188" s="698"/>
      <c r="F188" s="698"/>
      <c r="G188" s="699"/>
      <c r="H188" s="700"/>
      <c r="I188" s="701"/>
      <c r="J188" s="702"/>
      <c r="K188" s="703"/>
      <c r="L188" s="703"/>
      <c r="M188" s="703"/>
      <c r="N188" s="703"/>
      <c r="O188" s="704"/>
    </row>
    <row r="189" spans="1:18" ht="15" customHeight="1">
      <c r="A189" s="165" t="s">
        <v>115</v>
      </c>
      <c r="B189" s="676" t="s">
        <v>240</v>
      </c>
      <c r="C189" s="677"/>
      <c r="D189" s="676" t="s">
        <v>241</v>
      </c>
      <c r="E189" s="677"/>
      <c r="F189" s="678" t="s">
        <v>242</v>
      </c>
      <c r="G189" s="678" t="s">
        <v>243</v>
      </c>
      <c r="H189" s="678" t="s">
        <v>244</v>
      </c>
      <c r="I189" s="678" t="s">
        <v>245</v>
      </c>
      <c r="J189" s="676" t="s">
        <v>116</v>
      </c>
      <c r="K189" s="680"/>
      <c r="L189" s="680"/>
      <c r="M189" s="680"/>
      <c r="N189" s="680"/>
      <c r="O189" s="677"/>
      <c r="P189" s="681" t="s">
        <v>246</v>
      </c>
    </row>
    <row r="190" spans="1:18" ht="42" customHeight="1">
      <c r="A190" s="165" t="s">
        <v>117</v>
      </c>
      <c r="B190" s="166" t="s">
        <v>78</v>
      </c>
      <c r="C190" s="166" t="s">
        <v>79</v>
      </c>
      <c r="D190" s="166" t="s">
        <v>78</v>
      </c>
      <c r="E190" s="166" t="s">
        <v>79</v>
      </c>
      <c r="F190" s="679"/>
      <c r="G190" s="679"/>
      <c r="H190" s="679"/>
      <c r="I190" s="679"/>
      <c r="J190" s="166" t="s">
        <v>80</v>
      </c>
      <c r="K190" s="166" t="s">
        <v>81</v>
      </c>
      <c r="L190" s="166" t="s">
        <v>82</v>
      </c>
      <c r="M190" s="166" t="s">
        <v>83</v>
      </c>
      <c r="N190" s="166" t="s">
        <v>84</v>
      </c>
      <c r="O190" s="166" t="s">
        <v>85</v>
      </c>
      <c r="P190" s="682"/>
      <c r="R190" s="528" t="s">
        <v>425</v>
      </c>
    </row>
    <row r="191" spans="1:18">
      <c r="A191" s="209">
        <f>$A$30</f>
        <v>44256</v>
      </c>
      <c r="B191" s="535"/>
      <c r="C191" s="535"/>
      <c r="D191" s="503">
        <f t="shared" ref="D191:D202" ca="1" si="79">IFERROR(LEN(_xlfn.FORMULATEXT(B191))-LEN(SUBSTITUTE(_xlfn.FORMULATEXT(B191),"+",""))+1,0)</f>
        <v>0</v>
      </c>
      <c r="E191" s="503">
        <f t="shared" ref="E191:E202" ca="1" si="80">IFERROR(LEN(_xlfn.FORMULATEXT(C191))-LEN(SUBSTITUTE(_xlfn.FORMULATEXT(C191),"+",""))+1,0)</f>
        <v>0</v>
      </c>
      <c r="F191" s="206"/>
      <c r="G191" s="206"/>
      <c r="H191" s="206"/>
      <c r="I191" s="207"/>
      <c r="J191" s="536"/>
      <c r="K191" s="536"/>
      <c r="L191" s="536"/>
      <c r="M191" s="536"/>
      <c r="N191" s="536"/>
      <c r="O191" s="536"/>
      <c r="P191" s="530" t="str">
        <f>IFERROR(SUM(J191:O191)/COUNT(J191:O191),"")</f>
        <v/>
      </c>
      <c r="R191" s="675">
        <f>IF(J188="Yes", AVERAGE(J191:O196), 0)</f>
        <v>0</v>
      </c>
    </row>
    <row r="192" spans="1:18">
      <c r="A192" s="209">
        <f>EDATE(A191,-1)</f>
        <v>44228</v>
      </c>
      <c r="B192" s="535"/>
      <c r="C192" s="535"/>
      <c r="D192" s="503">
        <f t="shared" ca="1" si="79"/>
        <v>0</v>
      </c>
      <c r="E192" s="503">
        <f t="shared" ca="1" si="80"/>
        <v>0</v>
      </c>
      <c r="F192" s="206"/>
      <c r="G192" s="206"/>
      <c r="H192" s="206"/>
      <c r="I192" s="207"/>
      <c r="J192" s="536"/>
      <c r="K192" s="536"/>
      <c r="L192" s="536"/>
      <c r="M192" s="536"/>
      <c r="N192" s="536"/>
      <c r="O192" s="536"/>
      <c r="P192" s="530" t="str">
        <f t="shared" ref="P192:P202" si="81">IFERROR(SUM(J192:O192)/COUNT(J192:O192),"")</f>
        <v/>
      </c>
      <c r="R192" s="675"/>
    </row>
    <row r="193" spans="1:18">
      <c r="A193" s="209">
        <f t="shared" ref="A193:A202" si="82">EDATE(A192,-1)</f>
        <v>44197</v>
      </c>
      <c r="B193" s="535"/>
      <c r="C193" s="535"/>
      <c r="D193" s="503">
        <f t="shared" ca="1" si="79"/>
        <v>0</v>
      </c>
      <c r="E193" s="503">
        <f t="shared" ca="1" si="80"/>
        <v>0</v>
      </c>
      <c r="F193" s="206"/>
      <c r="G193" s="206"/>
      <c r="H193" s="206"/>
      <c r="I193" s="207"/>
      <c r="J193" s="536"/>
      <c r="K193" s="536"/>
      <c r="L193" s="536"/>
      <c r="M193" s="536"/>
      <c r="N193" s="536"/>
      <c r="O193" s="536"/>
      <c r="P193" s="530" t="str">
        <f t="shared" si="81"/>
        <v/>
      </c>
      <c r="R193" s="675"/>
    </row>
    <row r="194" spans="1:18">
      <c r="A194" s="209">
        <f t="shared" si="82"/>
        <v>44166</v>
      </c>
      <c r="B194" s="535"/>
      <c r="C194" s="535"/>
      <c r="D194" s="503">
        <f t="shared" ca="1" si="79"/>
        <v>0</v>
      </c>
      <c r="E194" s="503">
        <f t="shared" ca="1" si="80"/>
        <v>0</v>
      </c>
      <c r="F194" s="206"/>
      <c r="G194" s="206"/>
      <c r="H194" s="206"/>
      <c r="I194" s="207"/>
      <c r="J194" s="536"/>
      <c r="K194" s="536"/>
      <c r="L194" s="536"/>
      <c r="M194" s="536"/>
      <c r="N194" s="536"/>
      <c r="O194" s="536"/>
      <c r="P194" s="530" t="str">
        <f t="shared" si="81"/>
        <v/>
      </c>
      <c r="R194" s="675"/>
    </row>
    <row r="195" spans="1:18">
      <c r="A195" s="209">
        <f t="shared" si="82"/>
        <v>44136</v>
      </c>
      <c r="B195" s="535"/>
      <c r="C195" s="535"/>
      <c r="D195" s="503">
        <f t="shared" ca="1" si="79"/>
        <v>0</v>
      </c>
      <c r="E195" s="503">
        <f t="shared" ca="1" si="80"/>
        <v>0</v>
      </c>
      <c r="F195" s="206"/>
      <c r="G195" s="206"/>
      <c r="H195" s="206"/>
      <c r="I195" s="207"/>
      <c r="J195" s="536"/>
      <c r="K195" s="536"/>
      <c r="L195" s="536"/>
      <c r="M195" s="536"/>
      <c r="N195" s="536"/>
      <c r="O195" s="536"/>
      <c r="P195" s="530" t="str">
        <f t="shared" si="81"/>
        <v/>
      </c>
      <c r="R195" s="675"/>
    </row>
    <row r="196" spans="1:18">
      <c r="A196" s="209">
        <f t="shared" si="82"/>
        <v>44105</v>
      </c>
      <c r="B196" s="535"/>
      <c r="C196" s="535"/>
      <c r="D196" s="503">
        <f t="shared" ca="1" si="79"/>
        <v>0</v>
      </c>
      <c r="E196" s="503">
        <f t="shared" ca="1" si="80"/>
        <v>0</v>
      </c>
      <c r="F196" s="206"/>
      <c r="G196" s="206"/>
      <c r="H196" s="206"/>
      <c r="I196" s="207"/>
      <c r="J196" s="536"/>
      <c r="K196" s="536"/>
      <c r="L196" s="536"/>
      <c r="M196" s="536"/>
      <c r="N196" s="536"/>
      <c r="O196" s="536"/>
      <c r="P196" s="530" t="str">
        <f t="shared" si="81"/>
        <v/>
      </c>
      <c r="R196" s="675"/>
    </row>
    <row r="197" spans="1:18">
      <c r="A197" s="209">
        <f t="shared" si="82"/>
        <v>44075</v>
      </c>
      <c r="B197" s="535"/>
      <c r="C197" s="535"/>
      <c r="D197" s="503">
        <f t="shared" ca="1" si="79"/>
        <v>0</v>
      </c>
      <c r="E197" s="503">
        <f t="shared" ca="1" si="80"/>
        <v>0</v>
      </c>
      <c r="F197" s="206"/>
      <c r="G197" s="206"/>
      <c r="H197" s="206"/>
      <c r="I197" s="207"/>
      <c r="J197" s="536"/>
      <c r="K197" s="536"/>
      <c r="L197" s="536"/>
      <c r="M197" s="536"/>
      <c r="N197" s="536"/>
      <c r="O197" s="536"/>
      <c r="P197" s="530" t="str">
        <f t="shared" si="81"/>
        <v/>
      </c>
      <c r="R197" s="675">
        <f>IF(J188="Yes", AVERAGE(J191:O202), 0)</f>
        <v>0</v>
      </c>
    </row>
    <row r="198" spans="1:18">
      <c r="A198" s="209">
        <f t="shared" si="82"/>
        <v>44044</v>
      </c>
      <c r="B198" s="535"/>
      <c r="C198" s="535"/>
      <c r="D198" s="503">
        <f t="shared" ca="1" si="79"/>
        <v>0</v>
      </c>
      <c r="E198" s="503">
        <f t="shared" ca="1" si="80"/>
        <v>0</v>
      </c>
      <c r="F198" s="206"/>
      <c r="G198" s="206"/>
      <c r="H198" s="206"/>
      <c r="I198" s="207"/>
      <c r="J198" s="536"/>
      <c r="K198" s="536"/>
      <c r="L198" s="536"/>
      <c r="M198" s="536"/>
      <c r="N198" s="536"/>
      <c r="O198" s="536"/>
      <c r="P198" s="530" t="str">
        <f t="shared" si="81"/>
        <v/>
      </c>
      <c r="R198" s="675"/>
    </row>
    <row r="199" spans="1:18">
      <c r="A199" s="209">
        <f t="shared" si="82"/>
        <v>44013</v>
      </c>
      <c r="B199" s="535"/>
      <c r="C199" s="535"/>
      <c r="D199" s="503">
        <f t="shared" ca="1" si="79"/>
        <v>0</v>
      </c>
      <c r="E199" s="503">
        <f t="shared" ca="1" si="80"/>
        <v>0</v>
      </c>
      <c r="F199" s="206"/>
      <c r="G199" s="206"/>
      <c r="H199" s="206"/>
      <c r="I199" s="207"/>
      <c r="J199" s="536"/>
      <c r="K199" s="536"/>
      <c r="L199" s="536"/>
      <c r="M199" s="536"/>
      <c r="N199" s="536"/>
      <c r="O199" s="536"/>
      <c r="P199" s="530" t="str">
        <f t="shared" si="81"/>
        <v/>
      </c>
      <c r="R199" s="675"/>
    </row>
    <row r="200" spans="1:18">
      <c r="A200" s="209">
        <f t="shared" si="82"/>
        <v>43983</v>
      </c>
      <c r="B200" s="535"/>
      <c r="C200" s="535"/>
      <c r="D200" s="503">
        <f t="shared" ca="1" si="79"/>
        <v>0</v>
      </c>
      <c r="E200" s="503">
        <f t="shared" ca="1" si="80"/>
        <v>0</v>
      </c>
      <c r="F200" s="206"/>
      <c r="G200" s="206"/>
      <c r="H200" s="206"/>
      <c r="I200" s="207"/>
      <c r="J200" s="536"/>
      <c r="K200" s="536"/>
      <c r="L200" s="536"/>
      <c r="M200" s="536"/>
      <c r="N200" s="536"/>
      <c r="O200" s="536"/>
      <c r="P200" s="530" t="str">
        <f t="shared" si="81"/>
        <v/>
      </c>
      <c r="R200" s="675"/>
    </row>
    <row r="201" spans="1:18">
      <c r="A201" s="209">
        <f t="shared" si="82"/>
        <v>43952</v>
      </c>
      <c r="B201" s="535"/>
      <c r="C201" s="535"/>
      <c r="D201" s="503">
        <f t="shared" ca="1" si="79"/>
        <v>0</v>
      </c>
      <c r="E201" s="503">
        <f t="shared" ca="1" si="80"/>
        <v>0</v>
      </c>
      <c r="F201" s="206"/>
      <c r="G201" s="206"/>
      <c r="H201" s="206"/>
      <c r="I201" s="207"/>
      <c r="J201" s="536"/>
      <c r="K201" s="536"/>
      <c r="L201" s="536"/>
      <c r="M201" s="536"/>
      <c r="N201" s="536"/>
      <c r="O201" s="536"/>
      <c r="P201" s="530" t="str">
        <f t="shared" si="81"/>
        <v/>
      </c>
      <c r="R201" s="675"/>
    </row>
    <row r="202" spans="1:18">
      <c r="A202" s="209">
        <f t="shared" si="82"/>
        <v>43922</v>
      </c>
      <c r="B202" s="535"/>
      <c r="C202" s="535"/>
      <c r="D202" s="503">
        <f t="shared" ca="1" si="79"/>
        <v>0</v>
      </c>
      <c r="E202" s="503">
        <f t="shared" ca="1" si="80"/>
        <v>0</v>
      </c>
      <c r="F202" s="206"/>
      <c r="G202" s="206"/>
      <c r="H202" s="206"/>
      <c r="I202" s="207"/>
      <c r="J202" s="536"/>
      <c r="K202" s="536"/>
      <c r="L202" s="536"/>
      <c r="M202" s="536"/>
      <c r="N202" s="536"/>
      <c r="O202" s="536"/>
      <c r="P202" s="530" t="str">
        <f t="shared" si="81"/>
        <v/>
      </c>
      <c r="R202" s="675"/>
    </row>
    <row r="203" spans="1:18">
      <c r="A203" s="165" t="s">
        <v>52</v>
      </c>
      <c r="B203" s="193">
        <f t="shared" ref="B203:H203" si="83">SUM(B191:B202)</f>
        <v>0</v>
      </c>
      <c r="C203" s="193">
        <f t="shared" si="83"/>
        <v>0</v>
      </c>
      <c r="D203" s="193">
        <f t="shared" ca="1" si="83"/>
        <v>0</v>
      </c>
      <c r="E203" s="193">
        <f t="shared" ca="1" si="83"/>
        <v>0</v>
      </c>
      <c r="F203" s="193">
        <f t="shared" si="83"/>
        <v>0</v>
      </c>
      <c r="G203" s="193">
        <f t="shared" si="83"/>
        <v>0</v>
      </c>
      <c r="H203" s="193">
        <f t="shared" si="83"/>
        <v>0</v>
      </c>
      <c r="I203" s="193"/>
      <c r="J203" s="193">
        <f t="shared" ref="J203:O203" si="84">SUM(J191:J202)</f>
        <v>0</v>
      </c>
      <c r="K203" s="193">
        <f t="shared" si="84"/>
        <v>0</v>
      </c>
      <c r="L203" s="193">
        <f t="shared" si="84"/>
        <v>0</v>
      </c>
      <c r="M203" s="193">
        <f t="shared" si="84"/>
        <v>0</v>
      </c>
      <c r="N203" s="193">
        <f t="shared" si="84"/>
        <v>0</v>
      </c>
      <c r="O203" s="193">
        <f t="shared" si="84"/>
        <v>0</v>
      </c>
      <c r="P203" s="532" t="str">
        <f>IFERROR(AVERAGE(P191:P202),"")</f>
        <v/>
      </c>
    </row>
    <row r="204" spans="1:18">
      <c r="A204" s="165" t="s">
        <v>89</v>
      </c>
      <c r="B204" s="193" t="str">
        <f>IFERROR(+AVERAGE(B191:B202),"")</f>
        <v/>
      </c>
      <c r="C204" s="193" t="str">
        <f>IFERROR(+AVERAGE(C191:C202),"")</f>
        <v/>
      </c>
      <c r="D204" s="193">
        <f t="shared" ref="D204:E204" ca="1" si="85">+AVERAGE(D191:D202)</f>
        <v>0</v>
      </c>
      <c r="E204" s="193">
        <f t="shared" ca="1" si="85"/>
        <v>0</v>
      </c>
      <c r="F204" s="193" t="str">
        <f>IFERROR(+AVERAGE(F191:F202),"")</f>
        <v/>
      </c>
      <c r="G204" s="193" t="str">
        <f>IFERROR(+AVERAGE(G191:G202),"")</f>
        <v/>
      </c>
      <c r="H204" s="193" t="str">
        <f>IFERROR(+AVERAGE(H191:H202),"")</f>
        <v/>
      </c>
      <c r="I204" s="194"/>
      <c r="J204" s="194"/>
      <c r="K204" s="195"/>
      <c r="L204" s="195"/>
      <c r="M204" s="196"/>
      <c r="N204" s="195"/>
      <c r="O204" s="531"/>
      <c r="P204" s="533" t="str">
        <f>IFERROR(AVERAGE(J191:O202),"")</f>
        <v/>
      </c>
    </row>
    <row r="205" spans="1:18" ht="15.75" thickBot="1"/>
    <row r="206" spans="1:18">
      <c r="A206" s="705" t="s">
        <v>431</v>
      </c>
      <c r="B206" s="706"/>
      <c r="C206" s="707"/>
      <c r="D206" s="708"/>
      <c r="E206" s="708"/>
      <c r="F206" s="708"/>
      <c r="G206" s="708"/>
      <c r="H206" s="708"/>
      <c r="I206" s="708"/>
      <c r="J206" s="708"/>
      <c r="K206" s="708"/>
      <c r="L206" s="708"/>
      <c r="M206" s="708"/>
      <c r="N206" s="708"/>
      <c r="O206" s="709"/>
    </row>
    <row r="207" spans="1:18">
      <c r="A207" s="710" t="s">
        <v>120</v>
      </c>
      <c r="B207" s="711"/>
      <c r="C207" s="712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14"/>
    </row>
    <row r="208" spans="1:18">
      <c r="A208" s="683" t="s">
        <v>121</v>
      </c>
      <c r="B208" s="684"/>
      <c r="C208" s="689"/>
      <c r="D208" s="690"/>
      <c r="E208" s="690"/>
      <c r="F208" s="690"/>
      <c r="G208" s="692"/>
      <c r="H208" s="688" t="s">
        <v>122</v>
      </c>
      <c r="I208" s="684"/>
      <c r="J208" s="715"/>
      <c r="K208" s="716"/>
      <c r="L208" s="716"/>
      <c r="M208" s="716"/>
      <c r="N208" s="716"/>
      <c r="O208" s="717"/>
    </row>
    <row r="209" spans="1:18" ht="15" customHeight="1">
      <c r="A209" s="683" t="s">
        <v>123</v>
      </c>
      <c r="B209" s="684"/>
      <c r="C209" s="685"/>
      <c r="D209" s="686"/>
      <c r="E209" s="686"/>
      <c r="F209" s="686"/>
      <c r="G209" s="687"/>
      <c r="H209" s="688" t="s">
        <v>124</v>
      </c>
      <c r="I209" s="684"/>
      <c r="J209" s="689"/>
      <c r="K209" s="690"/>
      <c r="L209" s="690"/>
      <c r="M209" s="690"/>
      <c r="N209" s="690"/>
      <c r="O209" s="691"/>
    </row>
    <row r="210" spans="1:18">
      <c r="A210" s="683" t="s">
        <v>125</v>
      </c>
      <c r="B210" s="684"/>
      <c r="C210" s="690"/>
      <c r="D210" s="690"/>
      <c r="E210" s="690"/>
      <c r="F210" s="690"/>
      <c r="G210" s="692"/>
      <c r="H210" s="688" t="str">
        <f>IF(J209="Overdraft","Limit",IF(J209="Cash Credit","Limit",""))</f>
        <v/>
      </c>
      <c r="I210" s="684"/>
      <c r="J210" s="693"/>
      <c r="K210" s="693"/>
      <c r="L210" s="693"/>
      <c r="M210" s="693"/>
      <c r="N210" s="693"/>
      <c r="O210" s="694"/>
    </row>
    <row r="211" spans="1:18" ht="32.25" customHeight="1">
      <c r="A211" s="695" t="s">
        <v>126</v>
      </c>
      <c r="B211" s="696"/>
      <c r="C211" s="697"/>
      <c r="D211" s="698"/>
      <c r="E211" s="698"/>
      <c r="F211" s="698"/>
      <c r="G211" s="699"/>
      <c r="H211" s="700"/>
      <c r="I211" s="701"/>
      <c r="J211" s="702"/>
      <c r="K211" s="703"/>
      <c r="L211" s="703"/>
      <c r="M211" s="703"/>
      <c r="N211" s="703"/>
      <c r="O211" s="704"/>
    </row>
    <row r="212" spans="1:18" ht="15" customHeight="1">
      <c r="A212" s="165" t="s">
        <v>115</v>
      </c>
      <c r="B212" s="676" t="s">
        <v>240</v>
      </c>
      <c r="C212" s="677"/>
      <c r="D212" s="676" t="s">
        <v>241</v>
      </c>
      <c r="E212" s="677"/>
      <c r="F212" s="678" t="s">
        <v>242</v>
      </c>
      <c r="G212" s="678" t="s">
        <v>243</v>
      </c>
      <c r="H212" s="678" t="s">
        <v>244</v>
      </c>
      <c r="I212" s="678" t="s">
        <v>245</v>
      </c>
      <c r="J212" s="676" t="s">
        <v>116</v>
      </c>
      <c r="K212" s="680"/>
      <c r="L212" s="680"/>
      <c r="M212" s="680"/>
      <c r="N212" s="680"/>
      <c r="O212" s="677"/>
      <c r="P212" s="681" t="s">
        <v>246</v>
      </c>
    </row>
    <row r="213" spans="1:18" ht="42" customHeight="1">
      <c r="A213" s="165" t="s">
        <v>117</v>
      </c>
      <c r="B213" s="166" t="s">
        <v>78</v>
      </c>
      <c r="C213" s="166" t="s">
        <v>79</v>
      </c>
      <c r="D213" s="166" t="s">
        <v>78</v>
      </c>
      <c r="E213" s="166" t="s">
        <v>79</v>
      </c>
      <c r="F213" s="679"/>
      <c r="G213" s="679"/>
      <c r="H213" s="679"/>
      <c r="I213" s="679"/>
      <c r="J213" s="166" t="s">
        <v>80</v>
      </c>
      <c r="K213" s="166" t="s">
        <v>81</v>
      </c>
      <c r="L213" s="166" t="s">
        <v>82</v>
      </c>
      <c r="M213" s="166" t="s">
        <v>83</v>
      </c>
      <c r="N213" s="166" t="s">
        <v>84</v>
      </c>
      <c r="O213" s="166" t="s">
        <v>85</v>
      </c>
      <c r="P213" s="682"/>
      <c r="R213" s="528" t="s">
        <v>425</v>
      </c>
    </row>
    <row r="214" spans="1:18">
      <c r="A214" s="209">
        <f>$A$30</f>
        <v>44256</v>
      </c>
      <c r="B214" s="535"/>
      <c r="C214" s="535"/>
      <c r="D214" s="503">
        <f t="shared" ref="D214:D225" ca="1" si="86">IFERROR(LEN(_xlfn.FORMULATEXT(B214))-LEN(SUBSTITUTE(_xlfn.FORMULATEXT(B214),"+",""))+1,0)</f>
        <v>0</v>
      </c>
      <c r="E214" s="503">
        <f t="shared" ref="E214:E225" ca="1" si="87">IFERROR(LEN(_xlfn.FORMULATEXT(C214))-LEN(SUBSTITUTE(_xlfn.FORMULATEXT(C214),"+",""))+1,0)</f>
        <v>0</v>
      </c>
      <c r="F214" s="206"/>
      <c r="G214" s="206"/>
      <c r="H214" s="206"/>
      <c r="I214" s="207"/>
      <c r="J214" s="536"/>
      <c r="K214" s="536"/>
      <c r="L214" s="536"/>
      <c r="M214" s="536"/>
      <c r="N214" s="536"/>
      <c r="O214" s="536"/>
      <c r="P214" s="530" t="str">
        <f>IFERROR(SUM(J214:O214)/COUNT(J214:O214),"")</f>
        <v/>
      </c>
      <c r="R214" s="675">
        <f>IF(J211="Yes", AVERAGE(J214:O219), 0)</f>
        <v>0</v>
      </c>
    </row>
    <row r="215" spans="1:18">
      <c r="A215" s="209">
        <f>EDATE(A214,-1)</f>
        <v>44228</v>
      </c>
      <c r="B215" s="535"/>
      <c r="C215" s="535"/>
      <c r="D215" s="503">
        <f t="shared" ca="1" si="86"/>
        <v>0</v>
      </c>
      <c r="E215" s="503">
        <f t="shared" ca="1" si="87"/>
        <v>0</v>
      </c>
      <c r="F215" s="206"/>
      <c r="G215" s="206"/>
      <c r="H215" s="206"/>
      <c r="I215" s="207"/>
      <c r="J215" s="536"/>
      <c r="K215" s="536"/>
      <c r="L215" s="536"/>
      <c r="M215" s="536"/>
      <c r="N215" s="536"/>
      <c r="O215" s="536"/>
      <c r="P215" s="530" t="str">
        <f t="shared" ref="P215:P225" si="88">IFERROR(SUM(J215:O215)/COUNT(J215:O215),"")</f>
        <v/>
      </c>
      <c r="R215" s="675"/>
    </row>
    <row r="216" spans="1:18">
      <c r="A216" s="209">
        <f t="shared" ref="A216:A225" si="89">EDATE(A215,-1)</f>
        <v>44197</v>
      </c>
      <c r="B216" s="535"/>
      <c r="C216" s="535"/>
      <c r="D216" s="503">
        <f t="shared" ca="1" si="86"/>
        <v>0</v>
      </c>
      <c r="E216" s="503">
        <f t="shared" ca="1" si="87"/>
        <v>0</v>
      </c>
      <c r="F216" s="206"/>
      <c r="G216" s="206"/>
      <c r="H216" s="206"/>
      <c r="I216" s="207"/>
      <c r="J216" s="536"/>
      <c r="K216" s="536"/>
      <c r="L216" s="536"/>
      <c r="M216" s="536"/>
      <c r="N216" s="536"/>
      <c r="O216" s="536"/>
      <c r="P216" s="530" t="str">
        <f t="shared" si="88"/>
        <v/>
      </c>
      <c r="R216" s="675"/>
    </row>
    <row r="217" spans="1:18">
      <c r="A217" s="209">
        <f t="shared" si="89"/>
        <v>44166</v>
      </c>
      <c r="B217" s="535"/>
      <c r="C217" s="535"/>
      <c r="D217" s="503">
        <f t="shared" ca="1" si="86"/>
        <v>0</v>
      </c>
      <c r="E217" s="503">
        <f t="shared" ca="1" si="87"/>
        <v>0</v>
      </c>
      <c r="F217" s="206"/>
      <c r="G217" s="206"/>
      <c r="H217" s="206"/>
      <c r="I217" s="207"/>
      <c r="J217" s="536"/>
      <c r="K217" s="536"/>
      <c r="L217" s="536"/>
      <c r="M217" s="536"/>
      <c r="N217" s="536"/>
      <c r="O217" s="536"/>
      <c r="P217" s="530" t="str">
        <f t="shared" si="88"/>
        <v/>
      </c>
      <c r="R217" s="675"/>
    </row>
    <row r="218" spans="1:18">
      <c r="A218" s="209">
        <f t="shared" si="89"/>
        <v>44136</v>
      </c>
      <c r="B218" s="535"/>
      <c r="C218" s="535"/>
      <c r="D218" s="503">
        <f t="shared" ca="1" si="86"/>
        <v>0</v>
      </c>
      <c r="E218" s="503">
        <f t="shared" ca="1" si="87"/>
        <v>0</v>
      </c>
      <c r="F218" s="206"/>
      <c r="G218" s="206"/>
      <c r="H218" s="206"/>
      <c r="I218" s="207"/>
      <c r="J218" s="536"/>
      <c r="K218" s="536"/>
      <c r="L218" s="536"/>
      <c r="M218" s="536"/>
      <c r="N218" s="536"/>
      <c r="O218" s="536"/>
      <c r="P218" s="530" t="str">
        <f t="shared" si="88"/>
        <v/>
      </c>
      <c r="R218" s="675"/>
    </row>
    <row r="219" spans="1:18">
      <c r="A219" s="209">
        <f t="shared" si="89"/>
        <v>44105</v>
      </c>
      <c r="B219" s="535"/>
      <c r="C219" s="535"/>
      <c r="D219" s="503">
        <f t="shared" ca="1" si="86"/>
        <v>0</v>
      </c>
      <c r="E219" s="503">
        <f t="shared" ca="1" si="87"/>
        <v>0</v>
      </c>
      <c r="F219" s="206"/>
      <c r="G219" s="206"/>
      <c r="H219" s="206"/>
      <c r="I219" s="207"/>
      <c r="J219" s="536"/>
      <c r="K219" s="536"/>
      <c r="L219" s="536"/>
      <c r="M219" s="536"/>
      <c r="N219" s="536"/>
      <c r="O219" s="536"/>
      <c r="P219" s="530" t="str">
        <f t="shared" si="88"/>
        <v/>
      </c>
      <c r="R219" s="675"/>
    </row>
    <row r="220" spans="1:18">
      <c r="A220" s="209">
        <f t="shared" si="89"/>
        <v>44075</v>
      </c>
      <c r="B220" s="535"/>
      <c r="C220" s="535"/>
      <c r="D220" s="503">
        <f t="shared" ca="1" si="86"/>
        <v>0</v>
      </c>
      <c r="E220" s="503">
        <f t="shared" ca="1" si="87"/>
        <v>0</v>
      </c>
      <c r="F220" s="206"/>
      <c r="G220" s="206"/>
      <c r="H220" s="206"/>
      <c r="I220" s="207"/>
      <c r="J220" s="536"/>
      <c r="K220" s="536"/>
      <c r="L220" s="536"/>
      <c r="M220" s="536"/>
      <c r="N220" s="536"/>
      <c r="O220" s="536"/>
      <c r="P220" s="530" t="str">
        <f t="shared" si="88"/>
        <v/>
      </c>
      <c r="R220" s="675">
        <f>IF(J211="Yes", AVERAGE(J214:O225), 0)</f>
        <v>0</v>
      </c>
    </row>
    <row r="221" spans="1:18">
      <c r="A221" s="209">
        <f t="shared" si="89"/>
        <v>44044</v>
      </c>
      <c r="B221" s="535"/>
      <c r="C221" s="535"/>
      <c r="D221" s="503">
        <f t="shared" ca="1" si="86"/>
        <v>0</v>
      </c>
      <c r="E221" s="503">
        <f t="shared" ca="1" si="87"/>
        <v>0</v>
      </c>
      <c r="F221" s="206"/>
      <c r="G221" s="206"/>
      <c r="H221" s="206"/>
      <c r="I221" s="207"/>
      <c r="J221" s="536"/>
      <c r="K221" s="536"/>
      <c r="L221" s="536"/>
      <c r="M221" s="536"/>
      <c r="N221" s="536"/>
      <c r="O221" s="536"/>
      <c r="P221" s="530" t="str">
        <f t="shared" si="88"/>
        <v/>
      </c>
      <c r="R221" s="675"/>
    </row>
    <row r="222" spans="1:18">
      <c r="A222" s="209">
        <f t="shared" si="89"/>
        <v>44013</v>
      </c>
      <c r="B222" s="535"/>
      <c r="C222" s="535"/>
      <c r="D222" s="503">
        <f t="shared" ca="1" si="86"/>
        <v>0</v>
      </c>
      <c r="E222" s="503">
        <f t="shared" ca="1" si="87"/>
        <v>0</v>
      </c>
      <c r="F222" s="206"/>
      <c r="G222" s="206"/>
      <c r="H222" s="206"/>
      <c r="I222" s="207"/>
      <c r="J222" s="536"/>
      <c r="K222" s="536"/>
      <c r="L222" s="536"/>
      <c r="M222" s="536"/>
      <c r="N222" s="536"/>
      <c r="O222" s="536"/>
      <c r="P222" s="530" t="str">
        <f t="shared" si="88"/>
        <v/>
      </c>
      <c r="R222" s="675"/>
    </row>
    <row r="223" spans="1:18">
      <c r="A223" s="209">
        <f t="shared" si="89"/>
        <v>43983</v>
      </c>
      <c r="B223" s="535"/>
      <c r="C223" s="535"/>
      <c r="D223" s="503">
        <f t="shared" ca="1" si="86"/>
        <v>0</v>
      </c>
      <c r="E223" s="503">
        <f t="shared" ca="1" si="87"/>
        <v>0</v>
      </c>
      <c r="F223" s="206"/>
      <c r="G223" s="206"/>
      <c r="H223" s="206"/>
      <c r="I223" s="207"/>
      <c r="J223" s="536"/>
      <c r="K223" s="536"/>
      <c r="L223" s="536"/>
      <c r="M223" s="536"/>
      <c r="N223" s="536"/>
      <c r="O223" s="536"/>
      <c r="P223" s="530" t="str">
        <f t="shared" si="88"/>
        <v/>
      </c>
      <c r="R223" s="675"/>
    </row>
    <row r="224" spans="1:18">
      <c r="A224" s="209">
        <f t="shared" si="89"/>
        <v>43952</v>
      </c>
      <c r="B224" s="535"/>
      <c r="C224" s="535"/>
      <c r="D224" s="503">
        <f t="shared" ca="1" si="86"/>
        <v>0</v>
      </c>
      <c r="E224" s="503">
        <f t="shared" ca="1" si="87"/>
        <v>0</v>
      </c>
      <c r="F224" s="206"/>
      <c r="G224" s="206"/>
      <c r="H224" s="206"/>
      <c r="I224" s="207"/>
      <c r="J224" s="536"/>
      <c r="K224" s="536"/>
      <c r="L224" s="536"/>
      <c r="M224" s="536"/>
      <c r="N224" s="536"/>
      <c r="O224" s="536"/>
      <c r="P224" s="530" t="str">
        <f t="shared" si="88"/>
        <v/>
      </c>
      <c r="R224" s="675"/>
    </row>
    <row r="225" spans="1:18">
      <c r="A225" s="209">
        <f t="shared" si="89"/>
        <v>43922</v>
      </c>
      <c r="B225" s="535"/>
      <c r="C225" s="535"/>
      <c r="D225" s="503">
        <f t="shared" ca="1" si="86"/>
        <v>0</v>
      </c>
      <c r="E225" s="503">
        <f t="shared" ca="1" si="87"/>
        <v>0</v>
      </c>
      <c r="F225" s="206"/>
      <c r="G225" s="206"/>
      <c r="H225" s="206"/>
      <c r="I225" s="207"/>
      <c r="J225" s="536"/>
      <c r="K225" s="536"/>
      <c r="L225" s="536"/>
      <c r="M225" s="536"/>
      <c r="N225" s="536"/>
      <c r="O225" s="536"/>
      <c r="P225" s="530" t="str">
        <f t="shared" si="88"/>
        <v/>
      </c>
      <c r="R225" s="675"/>
    </row>
    <row r="226" spans="1:18">
      <c r="A226" s="165" t="s">
        <v>52</v>
      </c>
      <c r="B226" s="193">
        <f t="shared" ref="B226:H226" si="90">SUM(B214:B225)</f>
        <v>0</v>
      </c>
      <c r="C226" s="193">
        <f t="shared" si="90"/>
        <v>0</v>
      </c>
      <c r="D226" s="193">
        <f t="shared" ca="1" si="90"/>
        <v>0</v>
      </c>
      <c r="E226" s="193">
        <f t="shared" ca="1" si="90"/>
        <v>0</v>
      </c>
      <c r="F226" s="193">
        <f t="shared" si="90"/>
        <v>0</v>
      </c>
      <c r="G226" s="193">
        <f t="shared" si="90"/>
        <v>0</v>
      </c>
      <c r="H226" s="193">
        <f t="shared" si="90"/>
        <v>0</v>
      </c>
      <c r="I226" s="193"/>
      <c r="J226" s="193">
        <f t="shared" ref="J226:O226" si="91">SUM(J214:J225)</f>
        <v>0</v>
      </c>
      <c r="K226" s="193">
        <f t="shared" si="91"/>
        <v>0</v>
      </c>
      <c r="L226" s="193">
        <f t="shared" si="91"/>
        <v>0</v>
      </c>
      <c r="M226" s="193">
        <f t="shared" si="91"/>
        <v>0</v>
      </c>
      <c r="N226" s="193">
        <f t="shared" si="91"/>
        <v>0</v>
      </c>
      <c r="O226" s="193">
        <f t="shared" si="91"/>
        <v>0</v>
      </c>
      <c r="P226" s="532" t="str">
        <f>IFERROR(AVERAGE(P214:P225),"")</f>
        <v/>
      </c>
    </row>
    <row r="227" spans="1:18">
      <c r="A227" s="165" t="s">
        <v>89</v>
      </c>
      <c r="B227" s="193" t="str">
        <f>IFERROR(+AVERAGE(B214:B225),"")</f>
        <v/>
      </c>
      <c r="C227" s="193" t="str">
        <f>IFERROR(+AVERAGE(C214:C225),"")</f>
        <v/>
      </c>
      <c r="D227" s="193">
        <f t="shared" ref="D227:E227" ca="1" si="92">+AVERAGE(D214:D225)</f>
        <v>0</v>
      </c>
      <c r="E227" s="193">
        <f t="shared" ca="1" si="92"/>
        <v>0</v>
      </c>
      <c r="F227" s="193" t="str">
        <f>IFERROR(+AVERAGE(F214:F225),"")</f>
        <v/>
      </c>
      <c r="G227" s="193" t="str">
        <f>IFERROR(+AVERAGE(G214:G225),"")</f>
        <v/>
      </c>
      <c r="H227" s="193" t="str">
        <f>IFERROR(+AVERAGE(H214:H225),"")</f>
        <v/>
      </c>
      <c r="I227" s="194"/>
      <c r="J227" s="194"/>
      <c r="K227" s="195"/>
      <c r="L227" s="195"/>
      <c r="M227" s="196"/>
      <c r="N227" s="195"/>
      <c r="O227" s="531"/>
      <c r="P227" s="533" t="str">
        <f>IFERROR(AVERAGE(J214:O225),"")</f>
        <v/>
      </c>
    </row>
    <row r="228" spans="1:18" ht="15.75" thickBot="1"/>
    <row r="229" spans="1:18">
      <c r="A229" s="705" t="s">
        <v>432</v>
      </c>
      <c r="B229" s="706"/>
      <c r="C229" s="707"/>
      <c r="D229" s="708"/>
      <c r="E229" s="708"/>
      <c r="F229" s="708"/>
      <c r="G229" s="708"/>
      <c r="H229" s="708"/>
      <c r="I229" s="708"/>
      <c r="J229" s="708"/>
      <c r="K229" s="708"/>
      <c r="L229" s="708"/>
      <c r="M229" s="708"/>
      <c r="N229" s="708"/>
      <c r="O229" s="709"/>
    </row>
    <row r="230" spans="1:18">
      <c r="A230" s="710" t="s">
        <v>120</v>
      </c>
      <c r="B230" s="711"/>
      <c r="C230" s="712"/>
      <c r="D230" s="713"/>
      <c r="E230" s="713"/>
      <c r="F230" s="713"/>
      <c r="G230" s="713"/>
      <c r="H230" s="713"/>
      <c r="I230" s="713"/>
      <c r="J230" s="713"/>
      <c r="K230" s="713"/>
      <c r="L230" s="713"/>
      <c r="M230" s="713"/>
      <c r="N230" s="713"/>
      <c r="O230" s="714"/>
    </row>
    <row r="231" spans="1:18">
      <c r="A231" s="683" t="s">
        <v>121</v>
      </c>
      <c r="B231" s="684"/>
      <c r="C231" s="689"/>
      <c r="D231" s="690"/>
      <c r="E231" s="690"/>
      <c r="F231" s="690"/>
      <c r="G231" s="692"/>
      <c r="H231" s="688" t="s">
        <v>122</v>
      </c>
      <c r="I231" s="684"/>
      <c r="J231" s="715"/>
      <c r="K231" s="716"/>
      <c r="L231" s="716"/>
      <c r="M231" s="716"/>
      <c r="N231" s="716"/>
      <c r="O231" s="717"/>
    </row>
    <row r="232" spans="1:18" ht="15" customHeight="1">
      <c r="A232" s="683" t="s">
        <v>123</v>
      </c>
      <c r="B232" s="684"/>
      <c r="C232" s="685"/>
      <c r="D232" s="686"/>
      <c r="E232" s="686"/>
      <c r="F232" s="686"/>
      <c r="G232" s="687"/>
      <c r="H232" s="688" t="s">
        <v>124</v>
      </c>
      <c r="I232" s="684"/>
      <c r="J232" s="689"/>
      <c r="K232" s="690"/>
      <c r="L232" s="690"/>
      <c r="M232" s="690"/>
      <c r="N232" s="690"/>
      <c r="O232" s="691"/>
    </row>
    <row r="233" spans="1:18">
      <c r="A233" s="683" t="s">
        <v>125</v>
      </c>
      <c r="B233" s="684"/>
      <c r="C233" s="690"/>
      <c r="D233" s="690"/>
      <c r="E233" s="690"/>
      <c r="F233" s="690"/>
      <c r="G233" s="692"/>
      <c r="H233" s="688" t="str">
        <f>IF(J232="Overdraft","Limit",IF(J232="Cash Credit","Limit",""))</f>
        <v/>
      </c>
      <c r="I233" s="684"/>
      <c r="J233" s="693"/>
      <c r="K233" s="693"/>
      <c r="L233" s="693"/>
      <c r="M233" s="693"/>
      <c r="N233" s="693"/>
      <c r="O233" s="694"/>
    </row>
    <row r="234" spans="1:18" ht="32.25" customHeight="1">
      <c r="A234" s="695" t="s">
        <v>126</v>
      </c>
      <c r="B234" s="696"/>
      <c r="C234" s="697"/>
      <c r="D234" s="698"/>
      <c r="E234" s="698"/>
      <c r="F234" s="698"/>
      <c r="G234" s="699"/>
      <c r="H234" s="700"/>
      <c r="I234" s="701"/>
      <c r="J234" s="702"/>
      <c r="K234" s="703"/>
      <c r="L234" s="703"/>
      <c r="M234" s="703"/>
      <c r="N234" s="703"/>
      <c r="O234" s="704"/>
    </row>
    <row r="235" spans="1:18" ht="15" customHeight="1">
      <c r="A235" s="165" t="s">
        <v>115</v>
      </c>
      <c r="B235" s="676" t="s">
        <v>240</v>
      </c>
      <c r="C235" s="677"/>
      <c r="D235" s="676" t="s">
        <v>241</v>
      </c>
      <c r="E235" s="677"/>
      <c r="F235" s="678" t="s">
        <v>242</v>
      </c>
      <c r="G235" s="678" t="s">
        <v>243</v>
      </c>
      <c r="H235" s="678" t="s">
        <v>244</v>
      </c>
      <c r="I235" s="678" t="s">
        <v>245</v>
      </c>
      <c r="J235" s="676" t="s">
        <v>116</v>
      </c>
      <c r="K235" s="680"/>
      <c r="L235" s="680"/>
      <c r="M235" s="680"/>
      <c r="N235" s="680"/>
      <c r="O235" s="677"/>
      <c r="P235" s="681" t="s">
        <v>246</v>
      </c>
    </row>
    <row r="236" spans="1:18" ht="42" customHeight="1">
      <c r="A236" s="165" t="s">
        <v>117</v>
      </c>
      <c r="B236" s="166" t="s">
        <v>78</v>
      </c>
      <c r="C236" s="166" t="s">
        <v>79</v>
      </c>
      <c r="D236" s="166" t="s">
        <v>78</v>
      </c>
      <c r="E236" s="166" t="s">
        <v>79</v>
      </c>
      <c r="F236" s="679"/>
      <c r="G236" s="679"/>
      <c r="H236" s="679"/>
      <c r="I236" s="679"/>
      <c r="J236" s="166" t="s">
        <v>80</v>
      </c>
      <c r="K236" s="166" t="s">
        <v>81</v>
      </c>
      <c r="L236" s="166" t="s">
        <v>82</v>
      </c>
      <c r="M236" s="166" t="s">
        <v>83</v>
      </c>
      <c r="N236" s="166" t="s">
        <v>84</v>
      </c>
      <c r="O236" s="166" t="s">
        <v>85</v>
      </c>
      <c r="P236" s="682"/>
      <c r="R236" s="528" t="s">
        <v>425</v>
      </c>
    </row>
    <row r="237" spans="1:18">
      <c r="A237" s="209">
        <f>$A$30</f>
        <v>44256</v>
      </c>
      <c r="B237" s="535"/>
      <c r="C237" s="535"/>
      <c r="D237" s="503">
        <f t="shared" ref="D237:D248" ca="1" si="93">IFERROR(LEN(_xlfn.FORMULATEXT(B237))-LEN(SUBSTITUTE(_xlfn.FORMULATEXT(B237),"+",""))+1,0)</f>
        <v>0</v>
      </c>
      <c r="E237" s="503">
        <f t="shared" ref="E237:E248" ca="1" si="94">IFERROR(LEN(_xlfn.FORMULATEXT(C237))-LEN(SUBSTITUTE(_xlfn.FORMULATEXT(C237),"+",""))+1,0)</f>
        <v>0</v>
      </c>
      <c r="F237" s="206"/>
      <c r="G237" s="206"/>
      <c r="H237" s="206"/>
      <c r="I237" s="207"/>
      <c r="J237" s="536"/>
      <c r="K237" s="536"/>
      <c r="L237" s="536"/>
      <c r="M237" s="536"/>
      <c r="N237" s="536"/>
      <c r="O237" s="536"/>
      <c r="P237" s="530" t="str">
        <f>IFERROR(SUM(J237:O237)/COUNT(J237:O237),"")</f>
        <v/>
      </c>
      <c r="R237" s="675">
        <f>IF(J234="Yes", AVERAGE(J237:O242), 0)</f>
        <v>0</v>
      </c>
    </row>
    <row r="238" spans="1:18">
      <c r="A238" s="209">
        <f>EDATE(A237,-1)</f>
        <v>44228</v>
      </c>
      <c r="B238" s="535"/>
      <c r="C238" s="535"/>
      <c r="D238" s="503">
        <f t="shared" ca="1" si="93"/>
        <v>0</v>
      </c>
      <c r="E238" s="503">
        <f t="shared" ca="1" si="94"/>
        <v>0</v>
      </c>
      <c r="F238" s="206"/>
      <c r="G238" s="206"/>
      <c r="H238" s="206"/>
      <c r="I238" s="207"/>
      <c r="J238" s="536"/>
      <c r="K238" s="536"/>
      <c r="L238" s="536"/>
      <c r="M238" s="536"/>
      <c r="N238" s="536"/>
      <c r="O238" s="536"/>
      <c r="P238" s="530" t="str">
        <f t="shared" ref="P238:P248" si="95">IFERROR(SUM(J238:O238)/COUNT(J238:O238),"")</f>
        <v/>
      </c>
      <c r="R238" s="675"/>
    </row>
    <row r="239" spans="1:18">
      <c r="A239" s="209">
        <f t="shared" ref="A239:A248" si="96">EDATE(A238,-1)</f>
        <v>44197</v>
      </c>
      <c r="B239" s="535"/>
      <c r="C239" s="535"/>
      <c r="D239" s="503">
        <f t="shared" ca="1" si="93"/>
        <v>0</v>
      </c>
      <c r="E239" s="503">
        <f t="shared" ca="1" si="94"/>
        <v>0</v>
      </c>
      <c r="F239" s="206"/>
      <c r="G239" s="206"/>
      <c r="H239" s="206"/>
      <c r="I239" s="207"/>
      <c r="J239" s="536"/>
      <c r="K239" s="536"/>
      <c r="L239" s="536"/>
      <c r="M239" s="536"/>
      <c r="N239" s="536"/>
      <c r="O239" s="536"/>
      <c r="P239" s="530" t="str">
        <f t="shared" si="95"/>
        <v/>
      </c>
      <c r="R239" s="675"/>
    </row>
    <row r="240" spans="1:18">
      <c r="A240" s="209">
        <f t="shared" si="96"/>
        <v>44166</v>
      </c>
      <c r="B240" s="535"/>
      <c r="C240" s="535"/>
      <c r="D240" s="503">
        <f t="shared" ca="1" si="93"/>
        <v>0</v>
      </c>
      <c r="E240" s="503">
        <f t="shared" ca="1" si="94"/>
        <v>0</v>
      </c>
      <c r="F240" s="206"/>
      <c r="G240" s="206"/>
      <c r="H240" s="206"/>
      <c r="I240" s="207"/>
      <c r="J240" s="536"/>
      <c r="K240" s="536"/>
      <c r="L240" s="536"/>
      <c r="M240" s="536"/>
      <c r="N240" s="536"/>
      <c r="O240" s="536"/>
      <c r="P240" s="530" t="str">
        <f t="shared" si="95"/>
        <v/>
      </c>
      <c r="R240" s="675"/>
    </row>
    <row r="241" spans="1:18">
      <c r="A241" s="209">
        <f t="shared" si="96"/>
        <v>44136</v>
      </c>
      <c r="B241" s="535"/>
      <c r="C241" s="535"/>
      <c r="D241" s="503">
        <f t="shared" ca="1" si="93"/>
        <v>0</v>
      </c>
      <c r="E241" s="503">
        <f t="shared" ca="1" si="94"/>
        <v>0</v>
      </c>
      <c r="F241" s="206"/>
      <c r="G241" s="206"/>
      <c r="H241" s="206"/>
      <c r="I241" s="207"/>
      <c r="J241" s="536"/>
      <c r="K241" s="536"/>
      <c r="L241" s="536"/>
      <c r="M241" s="536"/>
      <c r="N241" s="536"/>
      <c r="O241" s="536"/>
      <c r="P241" s="530" t="str">
        <f t="shared" si="95"/>
        <v/>
      </c>
      <c r="R241" s="675"/>
    </row>
    <row r="242" spans="1:18">
      <c r="A242" s="209">
        <f t="shared" si="96"/>
        <v>44105</v>
      </c>
      <c r="B242" s="535"/>
      <c r="C242" s="535"/>
      <c r="D242" s="503">
        <f t="shared" ca="1" si="93"/>
        <v>0</v>
      </c>
      <c r="E242" s="503">
        <f t="shared" ca="1" si="94"/>
        <v>0</v>
      </c>
      <c r="F242" s="206"/>
      <c r="G242" s="206"/>
      <c r="H242" s="206"/>
      <c r="I242" s="207"/>
      <c r="J242" s="536"/>
      <c r="K242" s="536"/>
      <c r="L242" s="536"/>
      <c r="M242" s="536"/>
      <c r="N242" s="536"/>
      <c r="O242" s="536"/>
      <c r="P242" s="530" t="str">
        <f t="shared" si="95"/>
        <v/>
      </c>
      <c r="R242" s="675"/>
    </row>
    <row r="243" spans="1:18">
      <c r="A243" s="209">
        <f t="shared" si="96"/>
        <v>44075</v>
      </c>
      <c r="B243" s="535"/>
      <c r="C243" s="535"/>
      <c r="D243" s="503">
        <f t="shared" ca="1" si="93"/>
        <v>0</v>
      </c>
      <c r="E243" s="503">
        <f t="shared" ca="1" si="94"/>
        <v>0</v>
      </c>
      <c r="F243" s="206"/>
      <c r="G243" s="206"/>
      <c r="H243" s="206"/>
      <c r="I243" s="207"/>
      <c r="J243" s="536"/>
      <c r="K243" s="536"/>
      <c r="L243" s="536"/>
      <c r="M243" s="536"/>
      <c r="N243" s="536"/>
      <c r="O243" s="536"/>
      <c r="P243" s="530" t="str">
        <f t="shared" si="95"/>
        <v/>
      </c>
      <c r="R243" s="675">
        <f>IF(J234="Yes", AVERAGE(J237:O248), 0)</f>
        <v>0</v>
      </c>
    </row>
    <row r="244" spans="1:18">
      <c r="A244" s="209">
        <f t="shared" si="96"/>
        <v>44044</v>
      </c>
      <c r="B244" s="535"/>
      <c r="C244" s="535"/>
      <c r="D244" s="503">
        <f t="shared" ca="1" si="93"/>
        <v>0</v>
      </c>
      <c r="E244" s="503">
        <f t="shared" ca="1" si="94"/>
        <v>0</v>
      </c>
      <c r="F244" s="206"/>
      <c r="G244" s="206"/>
      <c r="H244" s="206"/>
      <c r="I244" s="207"/>
      <c r="J244" s="536"/>
      <c r="K244" s="536"/>
      <c r="L244" s="536"/>
      <c r="M244" s="536"/>
      <c r="N244" s="536"/>
      <c r="O244" s="536"/>
      <c r="P244" s="530" t="str">
        <f t="shared" si="95"/>
        <v/>
      </c>
      <c r="R244" s="675"/>
    </row>
    <row r="245" spans="1:18">
      <c r="A245" s="209">
        <f t="shared" si="96"/>
        <v>44013</v>
      </c>
      <c r="B245" s="535"/>
      <c r="C245" s="535"/>
      <c r="D245" s="503">
        <f t="shared" ca="1" si="93"/>
        <v>0</v>
      </c>
      <c r="E245" s="503">
        <f t="shared" ca="1" si="94"/>
        <v>0</v>
      </c>
      <c r="F245" s="206"/>
      <c r="G245" s="206"/>
      <c r="H245" s="206"/>
      <c r="I245" s="207"/>
      <c r="J245" s="536"/>
      <c r="K245" s="536"/>
      <c r="L245" s="536"/>
      <c r="M245" s="536"/>
      <c r="N245" s="536"/>
      <c r="O245" s="536"/>
      <c r="P245" s="530" t="str">
        <f t="shared" si="95"/>
        <v/>
      </c>
      <c r="R245" s="675"/>
    </row>
    <row r="246" spans="1:18">
      <c r="A246" s="209">
        <f t="shared" si="96"/>
        <v>43983</v>
      </c>
      <c r="B246" s="535"/>
      <c r="C246" s="535"/>
      <c r="D246" s="503">
        <f t="shared" ca="1" si="93"/>
        <v>0</v>
      </c>
      <c r="E246" s="503">
        <f t="shared" ca="1" si="94"/>
        <v>0</v>
      </c>
      <c r="F246" s="206"/>
      <c r="G246" s="206"/>
      <c r="H246" s="206"/>
      <c r="I246" s="207"/>
      <c r="J246" s="536"/>
      <c r="K246" s="536"/>
      <c r="L246" s="536"/>
      <c r="M246" s="536"/>
      <c r="N246" s="536"/>
      <c r="O246" s="536"/>
      <c r="P246" s="530" t="str">
        <f t="shared" si="95"/>
        <v/>
      </c>
      <c r="R246" s="675"/>
    </row>
    <row r="247" spans="1:18">
      <c r="A247" s="209">
        <f t="shared" si="96"/>
        <v>43952</v>
      </c>
      <c r="B247" s="535"/>
      <c r="C247" s="535"/>
      <c r="D247" s="503">
        <f t="shared" ca="1" si="93"/>
        <v>0</v>
      </c>
      <c r="E247" s="503">
        <f t="shared" ca="1" si="94"/>
        <v>0</v>
      </c>
      <c r="F247" s="206"/>
      <c r="G247" s="206"/>
      <c r="H247" s="206"/>
      <c r="I247" s="207"/>
      <c r="J247" s="536"/>
      <c r="K247" s="536"/>
      <c r="L247" s="536"/>
      <c r="M247" s="536"/>
      <c r="N247" s="536"/>
      <c r="O247" s="536"/>
      <c r="P247" s="530" t="str">
        <f t="shared" si="95"/>
        <v/>
      </c>
      <c r="R247" s="675"/>
    </row>
    <row r="248" spans="1:18">
      <c r="A248" s="209">
        <f t="shared" si="96"/>
        <v>43922</v>
      </c>
      <c r="B248" s="535"/>
      <c r="C248" s="535"/>
      <c r="D248" s="503">
        <f t="shared" ca="1" si="93"/>
        <v>0</v>
      </c>
      <c r="E248" s="503">
        <f t="shared" ca="1" si="94"/>
        <v>0</v>
      </c>
      <c r="F248" s="206"/>
      <c r="G248" s="206"/>
      <c r="H248" s="206"/>
      <c r="I248" s="207"/>
      <c r="J248" s="536"/>
      <c r="K248" s="536"/>
      <c r="L248" s="536"/>
      <c r="M248" s="536"/>
      <c r="N248" s="536"/>
      <c r="O248" s="536"/>
      <c r="P248" s="530" t="str">
        <f t="shared" si="95"/>
        <v/>
      </c>
      <c r="R248" s="675"/>
    </row>
    <row r="249" spans="1:18">
      <c r="A249" s="165" t="s">
        <v>52</v>
      </c>
      <c r="B249" s="193">
        <f t="shared" ref="B249:H249" si="97">SUM(B237:B248)</f>
        <v>0</v>
      </c>
      <c r="C249" s="193">
        <f t="shared" si="97"/>
        <v>0</v>
      </c>
      <c r="D249" s="193">
        <f t="shared" ca="1" si="97"/>
        <v>0</v>
      </c>
      <c r="E249" s="193">
        <f t="shared" ca="1" si="97"/>
        <v>0</v>
      </c>
      <c r="F249" s="193">
        <f t="shared" si="97"/>
        <v>0</v>
      </c>
      <c r="G249" s="193">
        <f t="shared" si="97"/>
        <v>0</v>
      </c>
      <c r="H249" s="193">
        <f t="shared" si="97"/>
        <v>0</v>
      </c>
      <c r="I249" s="193"/>
      <c r="J249" s="193">
        <f t="shared" ref="J249:O249" si="98">SUM(J237:J248)</f>
        <v>0</v>
      </c>
      <c r="K249" s="193">
        <f t="shared" si="98"/>
        <v>0</v>
      </c>
      <c r="L249" s="193">
        <f t="shared" si="98"/>
        <v>0</v>
      </c>
      <c r="M249" s="193">
        <f t="shared" si="98"/>
        <v>0</v>
      </c>
      <c r="N249" s="193">
        <f t="shared" si="98"/>
        <v>0</v>
      </c>
      <c r="O249" s="193">
        <f t="shared" si="98"/>
        <v>0</v>
      </c>
      <c r="P249" s="532" t="str">
        <f>IFERROR(AVERAGE(P237:P248),"")</f>
        <v/>
      </c>
    </row>
    <row r="250" spans="1:18">
      <c r="A250" s="165" t="s">
        <v>89</v>
      </c>
      <c r="B250" s="193" t="str">
        <f>IFERROR(+AVERAGE(B237:B248),"")</f>
        <v/>
      </c>
      <c r="C250" s="193" t="str">
        <f>IFERROR(+AVERAGE(C237:C248),"")</f>
        <v/>
      </c>
      <c r="D250" s="193">
        <f t="shared" ref="D250:E250" ca="1" si="99">+AVERAGE(D237:D248)</f>
        <v>0</v>
      </c>
      <c r="E250" s="193">
        <f t="shared" ca="1" si="99"/>
        <v>0</v>
      </c>
      <c r="F250" s="193" t="str">
        <f>IFERROR(+AVERAGE(F237:F248),"")</f>
        <v/>
      </c>
      <c r="G250" s="193" t="str">
        <f>IFERROR(+AVERAGE(G237:G248),"")</f>
        <v/>
      </c>
      <c r="H250" s="193" t="str">
        <f>IFERROR(+AVERAGE(H237:H248),"")</f>
        <v/>
      </c>
      <c r="I250" s="194"/>
      <c r="J250" s="194"/>
      <c r="K250" s="195"/>
      <c r="L250" s="195"/>
      <c r="M250" s="196"/>
      <c r="N250" s="195"/>
      <c r="O250" s="531"/>
      <c r="P250" s="533" t="str">
        <f>IFERROR(AVERAGE(J237:O248),"")</f>
        <v/>
      </c>
    </row>
    <row r="251" spans="1:18" ht="16.5" customHeight="1"/>
  </sheetData>
  <sheetProtection algorithmName="SHA-512" hashValue="1p4an1K23+Fx7noYs0FDHMbwFDVCWk04F6K5x6woNZkL8jeDHxlTnT+4txt+ETvw6c4bpAvwLLb3IvlY4jqnKA==" saltValue="e1eZY/IFdZ7pk4Qz3i9tXA==" spinCount="100000" sheet="1" objects="1" scenarios="1"/>
  <mergeCells count="318">
    <mergeCell ref="P28:P29"/>
    <mergeCell ref="A22:C22"/>
    <mergeCell ref="D22:O22"/>
    <mergeCell ref="A23:C23"/>
    <mergeCell ref="D23:O23"/>
    <mergeCell ref="A24:B24"/>
    <mergeCell ref="C24:G24"/>
    <mergeCell ref="H24:I24"/>
    <mergeCell ref="J24:O24"/>
    <mergeCell ref="B28:C28"/>
    <mergeCell ref="D28:E28"/>
    <mergeCell ref="F28:F29"/>
    <mergeCell ref="G28:G29"/>
    <mergeCell ref="H28:H29"/>
    <mergeCell ref="I28:I29"/>
    <mergeCell ref="A27:C27"/>
    <mergeCell ref="D27:G27"/>
    <mergeCell ref="H27:I27"/>
    <mergeCell ref="J27:O27"/>
    <mergeCell ref="A45:C45"/>
    <mergeCell ref="D45:O45"/>
    <mergeCell ref="A25:B25"/>
    <mergeCell ref="C25:G25"/>
    <mergeCell ref="H25:I25"/>
    <mergeCell ref="J25:O25"/>
    <mergeCell ref="A26:B26"/>
    <mergeCell ref="C26:G26"/>
    <mergeCell ref="H26:I26"/>
    <mergeCell ref="J26:O26"/>
    <mergeCell ref="J28:O28"/>
    <mergeCell ref="A48:B48"/>
    <mergeCell ref="C48:G48"/>
    <mergeCell ref="H48:I48"/>
    <mergeCell ref="J48:O48"/>
    <mergeCell ref="A49:B49"/>
    <mergeCell ref="C49:G49"/>
    <mergeCell ref="H49:I49"/>
    <mergeCell ref="J49:O49"/>
    <mergeCell ref="A46:C46"/>
    <mergeCell ref="D46:O46"/>
    <mergeCell ref="A47:B47"/>
    <mergeCell ref="C47:G47"/>
    <mergeCell ref="H47:I47"/>
    <mergeCell ref="J47:O47"/>
    <mergeCell ref="J51:O51"/>
    <mergeCell ref="P51:P52"/>
    <mergeCell ref="A68:C68"/>
    <mergeCell ref="D68:O68"/>
    <mergeCell ref="A69:C69"/>
    <mergeCell ref="D69:O69"/>
    <mergeCell ref="A50:C50"/>
    <mergeCell ref="D50:G50"/>
    <mergeCell ref="H50:I50"/>
    <mergeCell ref="J50:O50"/>
    <mergeCell ref="B51:C51"/>
    <mergeCell ref="D51:E51"/>
    <mergeCell ref="F51:F52"/>
    <mergeCell ref="G51:G52"/>
    <mergeCell ref="H51:H52"/>
    <mergeCell ref="I51:I52"/>
    <mergeCell ref="A72:B72"/>
    <mergeCell ref="C72:G72"/>
    <mergeCell ref="H72:I72"/>
    <mergeCell ref="J72:O72"/>
    <mergeCell ref="A73:C73"/>
    <mergeCell ref="D73:G73"/>
    <mergeCell ref="H73:I73"/>
    <mergeCell ref="J73:O73"/>
    <mergeCell ref="A70:B70"/>
    <mergeCell ref="C70:G70"/>
    <mergeCell ref="H70:I70"/>
    <mergeCell ref="J70:O70"/>
    <mergeCell ref="A71:B71"/>
    <mergeCell ref="C71:G71"/>
    <mergeCell ref="H71:I71"/>
    <mergeCell ref="J71:O71"/>
    <mergeCell ref="J74:O74"/>
    <mergeCell ref="P74:P75"/>
    <mergeCell ref="A91:C91"/>
    <mergeCell ref="D91:O91"/>
    <mergeCell ref="A92:C92"/>
    <mergeCell ref="D92:O92"/>
    <mergeCell ref="B74:C74"/>
    <mergeCell ref="D74:E74"/>
    <mergeCell ref="F74:F75"/>
    <mergeCell ref="G74:G75"/>
    <mergeCell ref="H74:H75"/>
    <mergeCell ref="I74:I75"/>
    <mergeCell ref="A95:B95"/>
    <mergeCell ref="C95:G95"/>
    <mergeCell ref="H95:I95"/>
    <mergeCell ref="J95:O95"/>
    <mergeCell ref="A96:C96"/>
    <mergeCell ref="D96:G96"/>
    <mergeCell ref="H96:I96"/>
    <mergeCell ref="J96:O96"/>
    <mergeCell ref="A93:B93"/>
    <mergeCell ref="C93:G93"/>
    <mergeCell ref="H93:I93"/>
    <mergeCell ref="J93:O93"/>
    <mergeCell ref="A94:B94"/>
    <mergeCell ref="C94:G94"/>
    <mergeCell ref="H94:I94"/>
    <mergeCell ref="J94:O94"/>
    <mergeCell ref="H117:I117"/>
    <mergeCell ref="J117:O117"/>
    <mergeCell ref="J97:O97"/>
    <mergeCell ref="P97:P98"/>
    <mergeCell ref="A114:C114"/>
    <mergeCell ref="D114:O114"/>
    <mergeCell ref="A115:C115"/>
    <mergeCell ref="D115:O115"/>
    <mergeCell ref="B97:C97"/>
    <mergeCell ref="D97:E97"/>
    <mergeCell ref="F97:F98"/>
    <mergeCell ref="G97:G98"/>
    <mergeCell ref="H97:H98"/>
    <mergeCell ref="I97:I98"/>
    <mergeCell ref="A20:C20"/>
    <mergeCell ref="H1:O1"/>
    <mergeCell ref="J120:O120"/>
    <mergeCell ref="P120:P121"/>
    <mergeCell ref="B120:C120"/>
    <mergeCell ref="D120:E120"/>
    <mergeCell ref="F120:F121"/>
    <mergeCell ref="G120:G121"/>
    <mergeCell ref="H120:H121"/>
    <mergeCell ref="I120:I121"/>
    <mergeCell ref="A118:B118"/>
    <mergeCell ref="C118:G118"/>
    <mergeCell ref="H118:I118"/>
    <mergeCell ref="J118:O118"/>
    <mergeCell ref="A119:C119"/>
    <mergeCell ref="D119:G119"/>
    <mergeCell ref="H119:I119"/>
    <mergeCell ref="J119:O119"/>
    <mergeCell ref="A116:B116"/>
    <mergeCell ref="C116:G116"/>
    <mergeCell ref="H116:I116"/>
    <mergeCell ref="J116:O116"/>
    <mergeCell ref="A117:B117"/>
    <mergeCell ref="C117:G117"/>
    <mergeCell ref="R4:R9"/>
    <mergeCell ref="R10:R15"/>
    <mergeCell ref="D18:E18"/>
    <mergeCell ref="F18:G18"/>
    <mergeCell ref="D19:E19"/>
    <mergeCell ref="F19:G19"/>
    <mergeCell ref="J2:O2"/>
    <mergeCell ref="P2:P3"/>
    <mergeCell ref="A1:C1"/>
    <mergeCell ref="B2:C2"/>
    <mergeCell ref="D2:E2"/>
    <mergeCell ref="F2:F3"/>
    <mergeCell ref="G2:G3"/>
    <mergeCell ref="H2:H3"/>
    <mergeCell ref="I2:I3"/>
    <mergeCell ref="D1:F1"/>
    <mergeCell ref="R128:R133"/>
    <mergeCell ref="R30:R35"/>
    <mergeCell ref="R36:R41"/>
    <mergeCell ref="R53:R58"/>
    <mergeCell ref="R59:R64"/>
    <mergeCell ref="R76:R81"/>
    <mergeCell ref="R82:R87"/>
    <mergeCell ref="R99:R104"/>
    <mergeCell ref="R105:R110"/>
    <mergeCell ref="R122:R127"/>
    <mergeCell ref="A137:C137"/>
    <mergeCell ref="D137:O137"/>
    <mergeCell ref="A138:C138"/>
    <mergeCell ref="D138:O138"/>
    <mergeCell ref="A139:B139"/>
    <mergeCell ref="C139:G139"/>
    <mergeCell ref="H139:I139"/>
    <mergeCell ref="J139:O139"/>
    <mergeCell ref="A140:B140"/>
    <mergeCell ref="C140:G140"/>
    <mergeCell ref="H140:I140"/>
    <mergeCell ref="J140:O140"/>
    <mergeCell ref="A141:B141"/>
    <mergeCell ref="C141:G141"/>
    <mergeCell ref="H141:I141"/>
    <mergeCell ref="J141:O141"/>
    <mergeCell ref="A142:C142"/>
    <mergeCell ref="D142:G142"/>
    <mergeCell ref="H142:I142"/>
    <mergeCell ref="J142:O142"/>
    <mergeCell ref="B143:C143"/>
    <mergeCell ref="D143:E143"/>
    <mergeCell ref="F143:F144"/>
    <mergeCell ref="G143:G144"/>
    <mergeCell ref="H143:H144"/>
    <mergeCell ref="I143:I144"/>
    <mergeCell ref="J143:O143"/>
    <mergeCell ref="P143:P144"/>
    <mergeCell ref="R145:R150"/>
    <mergeCell ref="R151:R156"/>
    <mergeCell ref="A160:C160"/>
    <mergeCell ref="D160:O160"/>
    <mergeCell ref="A161:C161"/>
    <mergeCell ref="D161:O161"/>
    <mergeCell ref="A162:B162"/>
    <mergeCell ref="C162:G162"/>
    <mergeCell ref="H162:I162"/>
    <mergeCell ref="J162:O162"/>
    <mergeCell ref="A163:B163"/>
    <mergeCell ref="C163:G163"/>
    <mergeCell ref="H163:I163"/>
    <mergeCell ref="J163:O163"/>
    <mergeCell ref="A164:B164"/>
    <mergeCell ref="C164:G164"/>
    <mergeCell ref="H164:I164"/>
    <mergeCell ref="J164:O164"/>
    <mergeCell ref="A165:C165"/>
    <mergeCell ref="D165:G165"/>
    <mergeCell ref="H165:I165"/>
    <mergeCell ref="J165:O165"/>
    <mergeCell ref="B166:C166"/>
    <mergeCell ref="D166:E166"/>
    <mergeCell ref="F166:F167"/>
    <mergeCell ref="G166:G167"/>
    <mergeCell ref="H166:H167"/>
    <mergeCell ref="I166:I167"/>
    <mergeCell ref="J166:O166"/>
    <mergeCell ref="P166:P167"/>
    <mergeCell ref="R168:R173"/>
    <mergeCell ref="R174:R179"/>
    <mergeCell ref="A183:C183"/>
    <mergeCell ref="D183:O183"/>
    <mergeCell ref="A184:C184"/>
    <mergeCell ref="D184:O184"/>
    <mergeCell ref="A185:B185"/>
    <mergeCell ref="C185:G185"/>
    <mergeCell ref="H185:I185"/>
    <mergeCell ref="J185:O185"/>
    <mergeCell ref="A186:B186"/>
    <mergeCell ref="C186:G186"/>
    <mergeCell ref="H186:I186"/>
    <mergeCell ref="J186:O186"/>
    <mergeCell ref="A187:B187"/>
    <mergeCell ref="C187:G187"/>
    <mergeCell ref="H187:I187"/>
    <mergeCell ref="J187:O187"/>
    <mergeCell ref="A188:C188"/>
    <mergeCell ref="D188:G188"/>
    <mergeCell ref="H188:I188"/>
    <mergeCell ref="J188:O188"/>
    <mergeCell ref="B189:C189"/>
    <mergeCell ref="D189:E189"/>
    <mergeCell ref="F189:F190"/>
    <mergeCell ref="G189:G190"/>
    <mergeCell ref="H189:H190"/>
    <mergeCell ref="I189:I190"/>
    <mergeCell ref="J189:O189"/>
    <mergeCell ref="P189:P190"/>
    <mergeCell ref="R191:R196"/>
    <mergeCell ref="R197:R202"/>
    <mergeCell ref="A206:C206"/>
    <mergeCell ref="D206:O206"/>
    <mergeCell ref="A207:C207"/>
    <mergeCell ref="D207:O207"/>
    <mergeCell ref="A208:B208"/>
    <mergeCell ref="C208:G208"/>
    <mergeCell ref="H208:I208"/>
    <mergeCell ref="J208:O208"/>
    <mergeCell ref="A209:B209"/>
    <mergeCell ref="C209:G209"/>
    <mergeCell ref="H209:I209"/>
    <mergeCell ref="J209:O209"/>
    <mergeCell ref="A210:B210"/>
    <mergeCell ref="C210:G210"/>
    <mergeCell ref="H210:I210"/>
    <mergeCell ref="J210:O210"/>
    <mergeCell ref="A211:C211"/>
    <mergeCell ref="D211:G211"/>
    <mergeCell ref="H211:I211"/>
    <mergeCell ref="J211:O211"/>
    <mergeCell ref="B212:C212"/>
    <mergeCell ref="D212:E212"/>
    <mergeCell ref="F212:F213"/>
    <mergeCell ref="G212:G213"/>
    <mergeCell ref="H212:H213"/>
    <mergeCell ref="I212:I213"/>
    <mergeCell ref="J212:O212"/>
    <mergeCell ref="P212:P213"/>
    <mergeCell ref="R214:R219"/>
    <mergeCell ref="R220:R225"/>
    <mergeCell ref="A229:C229"/>
    <mergeCell ref="D229:O229"/>
    <mergeCell ref="A230:C230"/>
    <mergeCell ref="D230:O230"/>
    <mergeCell ref="A231:B231"/>
    <mergeCell ref="C231:G231"/>
    <mergeCell ref="H231:I231"/>
    <mergeCell ref="J231:O231"/>
    <mergeCell ref="A232:B232"/>
    <mergeCell ref="C232:G232"/>
    <mergeCell ref="H232:I232"/>
    <mergeCell ref="J232:O232"/>
    <mergeCell ref="A233:B233"/>
    <mergeCell ref="C233:G233"/>
    <mergeCell ref="H233:I233"/>
    <mergeCell ref="J233:O233"/>
    <mergeCell ref="A234:C234"/>
    <mergeCell ref="D234:G234"/>
    <mergeCell ref="H234:I234"/>
    <mergeCell ref="J234:O234"/>
    <mergeCell ref="R243:R248"/>
    <mergeCell ref="B235:C235"/>
    <mergeCell ref="D235:E235"/>
    <mergeCell ref="F235:F236"/>
    <mergeCell ref="G235:G236"/>
    <mergeCell ref="H235:H236"/>
    <mergeCell ref="I235:I236"/>
    <mergeCell ref="J235:O235"/>
    <mergeCell ref="P235:P236"/>
    <mergeCell ref="R237:R242"/>
  </mergeCells>
  <conditionalFormatting sqref="J26:O26">
    <cfRule type="cellIs" dxfId="231" priority="146" operator="greaterThan">
      <formula>0</formula>
    </cfRule>
    <cfRule type="expression" dxfId="230" priority="147">
      <formula>J25="Cash Credit"</formula>
    </cfRule>
    <cfRule type="cellIs" dxfId="229" priority="148" operator="greaterThan">
      <formula>0</formula>
    </cfRule>
    <cfRule type="expression" dxfId="228" priority="149">
      <formula>J25="Overdraft"</formula>
    </cfRule>
  </conditionalFormatting>
  <conditionalFormatting sqref="I30:I41">
    <cfRule type="cellIs" dxfId="227" priority="124" operator="equal">
      <formula>"No"</formula>
    </cfRule>
    <cfRule type="cellIs" dxfId="226" priority="125" operator="equal">
      <formula>"Yes"</formula>
    </cfRule>
  </conditionalFormatting>
  <conditionalFormatting sqref="A20:C20">
    <cfRule type="containsText" dxfId="225" priority="115" operator="containsText" text="Recheck on BTO">
      <formula>NOT(ISERROR(SEARCH("Recheck on BTO",A20)))</formula>
    </cfRule>
  </conditionalFormatting>
  <conditionalFormatting sqref="J27:O27">
    <cfRule type="expression" dxfId="224" priority="112">
      <formula>$H$27&lt;&gt;""</formula>
    </cfRule>
  </conditionalFormatting>
  <conditionalFormatting sqref="J49:O49">
    <cfRule type="cellIs" dxfId="223" priority="60" operator="greaterThan">
      <formula>0</formula>
    </cfRule>
    <cfRule type="expression" dxfId="222" priority="61">
      <formula>J48="Cash Credit"</formula>
    </cfRule>
    <cfRule type="cellIs" dxfId="221" priority="62" operator="greaterThan">
      <formula>0</formula>
    </cfRule>
    <cfRule type="expression" dxfId="220" priority="63">
      <formula>J48="Overdraft"</formula>
    </cfRule>
  </conditionalFormatting>
  <conditionalFormatting sqref="I53:I64">
    <cfRule type="cellIs" dxfId="219" priority="58" operator="equal">
      <formula>"No"</formula>
    </cfRule>
    <cfRule type="cellIs" dxfId="218" priority="59" operator="equal">
      <formula>"Yes"</formula>
    </cfRule>
  </conditionalFormatting>
  <conditionalFormatting sqref="J50:O50">
    <cfRule type="expression" dxfId="217" priority="57">
      <formula>$H$27&lt;&gt;""</formula>
    </cfRule>
  </conditionalFormatting>
  <conditionalFormatting sqref="J72:O72">
    <cfRule type="cellIs" dxfId="216" priority="53" operator="greaterThan">
      <formula>0</formula>
    </cfRule>
    <cfRule type="expression" dxfId="215" priority="54">
      <formula>J71="Cash Credit"</formula>
    </cfRule>
    <cfRule type="cellIs" dxfId="214" priority="55" operator="greaterThan">
      <formula>0</formula>
    </cfRule>
    <cfRule type="expression" dxfId="213" priority="56">
      <formula>J71="Overdraft"</formula>
    </cfRule>
  </conditionalFormatting>
  <conditionalFormatting sqref="I76:I87">
    <cfRule type="cellIs" dxfId="212" priority="51" operator="equal">
      <formula>"No"</formula>
    </cfRule>
    <cfRule type="cellIs" dxfId="211" priority="52" operator="equal">
      <formula>"Yes"</formula>
    </cfRule>
  </conditionalFormatting>
  <conditionalFormatting sqref="J73:O73">
    <cfRule type="expression" dxfId="210" priority="50">
      <formula>$H$27&lt;&gt;""</formula>
    </cfRule>
  </conditionalFormatting>
  <conditionalFormatting sqref="J95:O95">
    <cfRule type="cellIs" dxfId="209" priority="46" operator="greaterThan">
      <formula>0</formula>
    </cfRule>
    <cfRule type="expression" dxfId="208" priority="47">
      <formula>J94="Cash Credit"</formula>
    </cfRule>
    <cfRule type="cellIs" dxfId="207" priority="48" operator="greaterThan">
      <formula>0</formula>
    </cfRule>
    <cfRule type="expression" dxfId="206" priority="49">
      <formula>J94="Overdraft"</formula>
    </cfRule>
  </conditionalFormatting>
  <conditionalFormatting sqref="I99:I110">
    <cfRule type="cellIs" dxfId="205" priority="44" operator="equal">
      <formula>"No"</formula>
    </cfRule>
    <cfRule type="cellIs" dxfId="204" priority="45" operator="equal">
      <formula>"Yes"</formula>
    </cfRule>
  </conditionalFormatting>
  <conditionalFormatting sqref="J118:O118">
    <cfRule type="cellIs" dxfId="203" priority="39" operator="greaterThan">
      <formula>0</formula>
    </cfRule>
    <cfRule type="expression" dxfId="202" priority="40">
      <formula>J117="Cash Credit"</formula>
    </cfRule>
    <cfRule type="cellIs" dxfId="201" priority="41" operator="greaterThan">
      <formula>0</formula>
    </cfRule>
    <cfRule type="expression" dxfId="200" priority="42">
      <formula>J117="Overdraft"</formula>
    </cfRule>
  </conditionalFormatting>
  <conditionalFormatting sqref="I122:I133">
    <cfRule type="cellIs" dxfId="199" priority="37" operator="equal">
      <formula>"No"</formula>
    </cfRule>
    <cfRule type="cellIs" dxfId="198" priority="38" operator="equal">
      <formula>"Yes"</formula>
    </cfRule>
  </conditionalFormatting>
  <conditionalFormatting sqref="J141:O141">
    <cfRule type="cellIs" dxfId="197" priority="32" operator="greaterThan">
      <formula>0</formula>
    </cfRule>
    <cfRule type="expression" dxfId="196" priority="33">
      <formula>J140="Cash Credit"</formula>
    </cfRule>
    <cfRule type="cellIs" dxfId="195" priority="34" operator="greaterThan">
      <formula>0</formula>
    </cfRule>
    <cfRule type="expression" dxfId="194" priority="35">
      <formula>J140="Overdraft"</formula>
    </cfRule>
  </conditionalFormatting>
  <conditionalFormatting sqref="I145:I156">
    <cfRule type="cellIs" dxfId="193" priority="30" operator="equal">
      <formula>"No"</formula>
    </cfRule>
    <cfRule type="cellIs" dxfId="192" priority="31" operator="equal">
      <formula>"Yes"</formula>
    </cfRule>
  </conditionalFormatting>
  <conditionalFormatting sqref="J164:O164">
    <cfRule type="cellIs" dxfId="191" priority="25" operator="greaterThan">
      <formula>0</formula>
    </cfRule>
    <cfRule type="expression" dxfId="190" priority="26">
      <formula>J163="Cash Credit"</formula>
    </cfRule>
    <cfRule type="cellIs" dxfId="189" priority="27" operator="greaterThan">
      <formula>0</formula>
    </cfRule>
    <cfRule type="expression" dxfId="188" priority="28">
      <formula>J163="Overdraft"</formula>
    </cfRule>
  </conditionalFormatting>
  <conditionalFormatting sqref="I168:I179">
    <cfRule type="cellIs" dxfId="187" priority="23" operator="equal">
      <formula>"No"</formula>
    </cfRule>
    <cfRule type="cellIs" dxfId="186" priority="24" operator="equal">
      <formula>"Yes"</formula>
    </cfRule>
  </conditionalFormatting>
  <conditionalFormatting sqref="J187:O187">
    <cfRule type="cellIs" dxfId="185" priority="18" operator="greaterThan">
      <formula>0</formula>
    </cfRule>
    <cfRule type="expression" dxfId="184" priority="19">
      <formula>J186="Cash Credit"</formula>
    </cfRule>
    <cfRule type="cellIs" dxfId="183" priority="20" operator="greaterThan">
      <formula>0</formula>
    </cfRule>
    <cfRule type="expression" dxfId="182" priority="21">
      <formula>J186="Overdraft"</formula>
    </cfRule>
  </conditionalFormatting>
  <conditionalFormatting sqref="I191:I202">
    <cfRule type="cellIs" dxfId="181" priority="16" operator="equal">
      <formula>"No"</formula>
    </cfRule>
    <cfRule type="cellIs" dxfId="180" priority="17" operator="equal">
      <formula>"Yes"</formula>
    </cfRule>
  </conditionalFormatting>
  <conditionalFormatting sqref="J210:O210">
    <cfRule type="cellIs" dxfId="179" priority="11" operator="greaterThan">
      <formula>0</formula>
    </cfRule>
    <cfRule type="expression" dxfId="178" priority="12">
      <formula>J209="Cash Credit"</formula>
    </cfRule>
    <cfRule type="cellIs" dxfId="177" priority="13" operator="greaterThan">
      <formula>0</formula>
    </cfRule>
    <cfRule type="expression" dxfId="176" priority="14">
      <formula>J209="Overdraft"</formula>
    </cfRule>
  </conditionalFormatting>
  <conditionalFormatting sqref="I214:I225">
    <cfRule type="cellIs" dxfId="175" priority="9" operator="equal">
      <formula>"No"</formula>
    </cfRule>
    <cfRule type="cellIs" dxfId="174" priority="10" operator="equal">
      <formula>"Yes"</formula>
    </cfRule>
  </conditionalFormatting>
  <conditionalFormatting sqref="J233:O233">
    <cfRule type="cellIs" dxfId="173" priority="4" operator="greaterThan">
      <formula>0</formula>
    </cfRule>
    <cfRule type="expression" dxfId="172" priority="5">
      <formula>J232="Cash Credit"</formula>
    </cfRule>
    <cfRule type="cellIs" dxfId="171" priority="6" operator="greaterThan">
      <formula>0</formula>
    </cfRule>
    <cfRule type="expression" dxfId="170" priority="7">
      <formula>J232="Overdraft"</formula>
    </cfRule>
  </conditionalFormatting>
  <conditionalFormatting sqref="I237:I248">
    <cfRule type="cellIs" dxfId="169" priority="2" operator="equal">
      <formula>"No"</formula>
    </cfRule>
    <cfRule type="cellIs" dxfId="168" priority="3" operator="equal">
      <formula>"Yes"</formula>
    </cfRule>
  </conditionalFormatting>
  <dataValidations count="5">
    <dataValidation type="whole" operator="greaterThan" allowBlank="1" showInputMessage="1" showErrorMessage="1" errorTitle="Error" error="Please mention Limit greater than 50000" sqref="J26:O26 J210:O210 J49:O49 J72:O72 J95:O95 J118:O118 J141:O141 J164:O164 J187:O187 J233:O233" xr:uid="{00000000-0002-0000-0900-000000000000}">
      <formula1>50000</formula1>
    </dataValidation>
    <dataValidation type="list" allowBlank="1" showInputMessage="1" showErrorMessage="1" sqref="J209:O209 J71:O71 J94:O94 J117:O117 J140:O140 J163:O163 J186:O186 J232:O232" xr:uid="{00000000-0002-0000-0900-000001000000}">
      <formula1>"Current Account, Savings Account, Overdraft, Cash Credit"</formula1>
    </dataValidation>
    <dataValidation type="list" allowBlank="1" showInputMessage="1" showErrorMessage="1" sqref="I30:I41 I214:I225 I53:I64 I76:I87 I99:I110 J27:O27 I168:I179 J50:O50 J73:O73 I191:I202 I122:I133 I237:I248 I145:I156" xr:uid="{00000000-0002-0000-0900-000002000000}">
      <formula1>"Yes,No"</formula1>
    </dataValidation>
    <dataValidation type="list" allowBlank="1" showInputMessage="1" showErrorMessage="1" sqref="G1" xr:uid="{00000000-0002-0000-0900-000003000000}">
      <formula1>"Absolute,Lacs"</formula1>
    </dataValidation>
    <dataValidation type="list" allowBlank="1" showInputMessage="1" showErrorMessage="1" sqref="J25:O25 J48:O48" xr:uid="{00000000-0002-0000-0900-000004000000}">
      <formula1>"Current Account, Savings Account"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0F30-8AAF-4E5F-BF25-0C9CF1FE9305}">
  <sheetPr codeName="Sheet20">
    <tabColor theme="3" tint="-0.499984740745262"/>
  </sheetPr>
  <dimension ref="A1:BD30"/>
  <sheetViews>
    <sheetView zoomScale="90" zoomScaleNormal="90" workbookViewId="0">
      <selection activeCell="B13" sqref="B13:D13"/>
    </sheetView>
  </sheetViews>
  <sheetFormatPr defaultRowHeight="15" customHeight="1" outlineLevelRow="1"/>
  <cols>
    <col min="1" max="1" width="1.7109375" style="537" customWidth="1"/>
    <col min="2" max="2" width="4.5703125" style="538" customWidth="1"/>
    <col min="3" max="3" width="22.5703125" style="538" customWidth="1"/>
    <col min="4" max="4" width="20.7109375" style="538" customWidth="1"/>
    <col min="5" max="5" width="14.140625" style="538" customWidth="1"/>
    <col min="6" max="7" width="11.7109375" style="538" customWidth="1"/>
    <col min="8" max="8" width="11.140625" style="538" customWidth="1"/>
    <col min="9" max="9" width="14.140625" style="538" customWidth="1"/>
    <col min="10" max="11" width="7.7109375" style="538" customWidth="1"/>
    <col min="12" max="12" width="4" style="538" customWidth="1"/>
    <col min="13" max="13" width="9.7109375" style="538" customWidth="1"/>
    <col min="14" max="14" width="12" style="538" customWidth="1"/>
    <col min="15" max="15" width="5.7109375" style="538" customWidth="1"/>
    <col min="16" max="16" width="7.28515625" style="538" customWidth="1"/>
    <col min="17" max="17" width="9.7109375" style="538" customWidth="1"/>
    <col min="18" max="18" width="13.7109375" style="538" customWidth="1"/>
    <col min="19" max="19" width="5.140625" style="538" customWidth="1"/>
    <col min="20" max="20" width="9.7109375" style="538" customWidth="1"/>
    <col min="21" max="21" width="12.5703125" style="538" customWidth="1"/>
    <col min="22" max="22" width="5.140625" style="538" customWidth="1"/>
    <col min="23" max="23" width="9.7109375" style="538" customWidth="1"/>
    <col min="24" max="24" width="12.7109375" style="538" customWidth="1"/>
    <col min="25" max="25" width="5.140625" style="538" customWidth="1"/>
    <col min="26" max="26" width="9.7109375" style="538" customWidth="1"/>
    <col min="27" max="27" width="12.7109375" style="538" customWidth="1"/>
    <col min="28" max="28" width="5.140625" style="538" customWidth="1"/>
    <col min="29" max="29" width="9.7109375" style="538" customWidth="1"/>
    <col min="30" max="30" width="12.7109375" style="538" customWidth="1"/>
    <col min="31" max="31" width="5.140625" style="538" customWidth="1"/>
    <col min="32" max="32" width="9.7109375" style="538" customWidth="1"/>
    <col min="33" max="33" width="12.7109375" style="538" customWidth="1"/>
    <col min="34" max="34" width="5.140625" style="538" customWidth="1"/>
    <col min="35" max="35" width="9.7109375" style="538" customWidth="1"/>
    <col min="36" max="36" width="12.7109375" style="538" customWidth="1"/>
    <col min="37" max="37" width="5.140625" style="538" customWidth="1"/>
    <col min="38" max="38" width="9.7109375" style="538" customWidth="1"/>
    <col min="39" max="39" width="12.7109375" style="538" customWidth="1"/>
    <col min="40" max="40" width="5.140625" style="538" customWidth="1"/>
    <col min="41" max="41" width="9.7109375" style="538" customWidth="1"/>
    <col min="42" max="42" width="12.7109375" style="538" customWidth="1"/>
    <col min="43" max="43" width="5.140625" style="538" customWidth="1"/>
    <col min="44" max="44" width="9.7109375" style="538" customWidth="1"/>
    <col min="45" max="45" width="12.7109375" style="538" customWidth="1"/>
    <col min="46" max="46" width="5.140625" style="538" customWidth="1"/>
    <col min="47" max="47" width="9.7109375" style="538" customWidth="1"/>
    <col min="48" max="48" width="12.7109375" style="538" customWidth="1"/>
    <col min="49" max="49" width="5.140625" style="538" customWidth="1"/>
    <col min="50" max="50" width="9.7109375" style="538" customWidth="1"/>
    <col min="51" max="51" width="12.7109375" style="538" customWidth="1"/>
    <col min="52" max="52" width="5.140625" style="538" customWidth="1"/>
    <col min="53" max="53" width="9.7109375" style="538" customWidth="1"/>
    <col min="54" max="54" width="12.7109375" style="538" customWidth="1"/>
    <col min="55" max="55" width="37.7109375" style="538" customWidth="1"/>
    <col min="56" max="56" width="9.140625" style="538"/>
    <col min="57" max="16384" width="9.140625" style="539"/>
  </cols>
  <sheetData>
    <row r="1" spans="1:56" ht="13.5" thickBot="1">
      <c r="A1" s="537">
        <v>130</v>
      </c>
    </row>
    <row r="2" spans="1:56" ht="18.75" customHeight="1" outlineLevel="1" thickBot="1">
      <c r="B2" s="780" t="s">
        <v>433</v>
      </c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2"/>
      <c r="BC2" s="539"/>
      <c r="BD2" s="539"/>
    </row>
    <row r="3" spans="1:56" s="542" customFormat="1" ht="17.25" customHeight="1" outlineLevel="1">
      <c r="A3" s="540"/>
      <c r="B3" s="783" t="s">
        <v>8</v>
      </c>
      <c r="C3" s="784"/>
      <c r="D3" s="784"/>
      <c r="E3" s="785" t="s">
        <v>364</v>
      </c>
      <c r="F3" s="785"/>
      <c r="G3" s="785"/>
      <c r="H3" s="785" t="s">
        <v>434</v>
      </c>
      <c r="I3" s="785"/>
      <c r="J3" s="785"/>
      <c r="K3" s="785" t="s">
        <v>435</v>
      </c>
      <c r="L3" s="785"/>
      <c r="M3" s="785"/>
      <c r="N3" s="785"/>
      <c r="O3" s="785" t="s">
        <v>436</v>
      </c>
      <c r="P3" s="785"/>
      <c r="Q3" s="785"/>
      <c r="R3" s="785"/>
      <c r="S3" s="785" t="s">
        <v>437</v>
      </c>
      <c r="T3" s="785"/>
      <c r="U3" s="785"/>
      <c r="V3" s="785"/>
      <c r="W3" s="785" t="s">
        <v>438</v>
      </c>
      <c r="X3" s="785"/>
      <c r="Y3" s="785"/>
      <c r="Z3" s="786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1"/>
      <c r="AZ3" s="541"/>
      <c r="BA3" s="541"/>
      <c r="BB3" s="541"/>
    </row>
    <row r="4" spans="1:56" ht="15" customHeight="1" outlineLevel="1">
      <c r="B4" s="768" t="s">
        <v>439</v>
      </c>
      <c r="C4" s="769"/>
      <c r="D4" s="769"/>
      <c r="E4" s="770"/>
      <c r="F4" s="770"/>
      <c r="G4" s="770"/>
      <c r="H4" s="770"/>
      <c r="I4" s="770"/>
      <c r="J4" s="770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0"/>
      <c r="X4" s="770"/>
      <c r="Y4" s="770"/>
      <c r="Z4" s="771"/>
      <c r="BA4" s="539"/>
      <c r="BB4" s="539"/>
      <c r="BC4" s="539"/>
      <c r="BD4" s="539"/>
    </row>
    <row r="5" spans="1:56" ht="15" customHeight="1" outlineLevel="1">
      <c r="B5" s="768" t="s">
        <v>440</v>
      </c>
      <c r="C5" s="769"/>
      <c r="D5" s="769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770"/>
      <c r="P5" s="770"/>
      <c r="Q5" s="770"/>
      <c r="R5" s="770"/>
      <c r="S5" s="770"/>
      <c r="T5" s="770"/>
      <c r="U5" s="770"/>
      <c r="V5" s="770"/>
      <c r="W5" s="770"/>
      <c r="X5" s="770"/>
      <c r="Y5" s="770"/>
      <c r="Z5" s="771"/>
      <c r="BA5" s="539"/>
      <c r="BB5" s="539"/>
      <c r="BC5" s="539"/>
      <c r="BD5" s="539"/>
    </row>
    <row r="6" spans="1:56" ht="15" customHeight="1" outlineLevel="1">
      <c r="B6" s="768" t="s">
        <v>441</v>
      </c>
      <c r="C6" s="769"/>
      <c r="D6" s="769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9"/>
      <c r="BA6" s="539"/>
      <c r="BB6" s="539"/>
      <c r="BC6" s="539"/>
      <c r="BD6" s="539"/>
    </row>
    <row r="7" spans="1:56" ht="15" customHeight="1" outlineLevel="1">
      <c r="B7" s="768" t="s">
        <v>442</v>
      </c>
      <c r="C7" s="769"/>
      <c r="D7" s="769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  <c r="R7" s="770"/>
      <c r="S7" s="770"/>
      <c r="T7" s="770"/>
      <c r="U7" s="770"/>
      <c r="V7" s="770"/>
      <c r="W7" s="770"/>
      <c r="X7" s="770"/>
      <c r="Y7" s="770"/>
      <c r="Z7" s="771"/>
      <c r="BA7" s="539"/>
      <c r="BB7" s="539"/>
      <c r="BC7" s="539"/>
      <c r="BD7" s="539"/>
    </row>
    <row r="8" spans="1:56" s="545" customFormat="1" ht="21" customHeight="1" outlineLevel="1">
      <c r="A8" s="543"/>
      <c r="B8" s="768" t="s">
        <v>443</v>
      </c>
      <c r="C8" s="769"/>
      <c r="D8" s="769"/>
      <c r="E8" s="776"/>
      <c r="F8" s="776"/>
      <c r="G8" s="776"/>
      <c r="H8" s="776"/>
      <c r="I8" s="776"/>
      <c r="J8" s="776"/>
      <c r="K8" s="776"/>
      <c r="L8" s="776"/>
      <c r="M8" s="776"/>
      <c r="N8" s="776"/>
      <c r="O8" s="776"/>
      <c r="P8" s="776"/>
      <c r="Q8" s="776"/>
      <c r="R8" s="776"/>
      <c r="S8" s="776"/>
      <c r="T8" s="776"/>
      <c r="U8" s="776"/>
      <c r="V8" s="776"/>
      <c r="W8" s="776"/>
      <c r="X8" s="776"/>
      <c r="Y8" s="776"/>
      <c r="Z8" s="777"/>
      <c r="AA8" s="544"/>
      <c r="AB8" s="544"/>
      <c r="AC8" s="544"/>
      <c r="AD8" s="544"/>
      <c r="AE8" s="544"/>
      <c r="AF8" s="544"/>
      <c r="AG8" s="544"/>
      <c r="AH8" s="544"/>
      <c r="AI8" s="544"/>
      <c r="AJ8" s="544"/>
      <c r="AK8" s="544"/>
      <c r="AL8" s="544"/>
      <c r="AM8" s="544"/>
      <c r="AN8" s="544"/>
      <c r="AO8" s="544"/>
      <c r="AP8" s="544"/>
      <c r="AQ8" s="544"/>
      <c r="AR8" s="544"/>
      <c r="AS8" s="544"/>
      <c r="AT8" s="544"/>
      <c r="AU8" s="544"/>
      <c r="AV8" s="544"/>
      <c r="AW8" s="544"/>
      <c r="AX8" s="544"/>
      <c r="AY8" s="544"/>
      <c r="AZ8" s="544"/>
    </row>
    <row r="9" spans="1:56" ht="15" customHeight="1" outlineLevel="1">
      <c r="B9" s="768" t="s">
        <v>444</v>
      </c>
      <c r="C9" s="769"/>
      <c r="D9" s="769"/>
      <c r="E9" s="770"/>
      <c r="F9" s="770"/>
      <c r="G9" s="770"/>
      <c r="H9" s="770"/>
      <c r="I9" s="770"/>
      <c r="J9" s="770"/>
      <c r="K9" s="770"/>
      <c r="L9" s="770"/>
      <c r="M9" s="770"/>
      <c r="N9" s="770"/>
      <c r="O9" s="770"/>
      <c r="P9" s="770"/>
      <c r="Q9" s="770"/>
      <c r="R9" s="770"/>
      <c r="S9" s="770"/>
      <c r="T9" s="770"/>
      <c r="U9" s="770"/>
      <c r="V9" s="770"/>
      <c r="W9" s="770"/>
      <c r="X9" s="770"/>
      <c r="Y9" s="770"/>
      <c r="Z9" s="771"/>
      <c r="BA9" s="539"/>
      <c r="BB9" s="539"/>
      <c r="BC9" s="539"/>
      <c r="BD9" s="539"/>
    </row>
    <row r="10" spans="1:56" ht="15" customHeight="1" outlineLevel="1">
      <c r="B10" s="768" t="s">
        <v>445</v>
      </c>
      <c r="C10" s="769"/>
      <c r="D10" s="769"/>
      <c r="E10" s="770"/>
      <c r="F10" s="770"/>
      <c r="G10" s="770"/>
      <c r="H10" s="770"/>
      <c r="I10" s="770"/>
      <c r="J10" s="770"/>
      <c r="K10" s="770"/>
      <c r="L10" s="770"/>
      <c r="M10" s="770"/>
      <c r="N10" s="770"/>
      <c r="O10" s="770"/>
      <c r="P10" s="770"/>
      <c r="Q10" s="770"/>
      <c r="R10" s="770"/>
      <c r="S10" s="770"/>
      <c r="T10" s="770"/>
      <c r="U10" s="770"/>
      <c r="V10" s="770"/>
      <c r="W10" s="770"/>
      <c r="X10" s="770"/>
      <c r="Y10" s="770"/>
      <c r="Z10" s="771"/>
      <c r="BA10" s="539"/>
      <c r="BB10" s="539"/>
      <c r="BC10" s="539"/>
      <c r="BD10" s="539"/>
    </row>
    <row r="11" spans="1:56" ht="15" customHeight="1" outlineLevel="1">
      <c r="B11" s="768" t="s">
        <v>446</v>
      </c>
      <c r="C11" s="769"/>
      <c r="D11" s="769"/>
      <c r="E11" s="772"/>
      <c r="F11" s="772"/>
      <c r="G11" s="772"/>
      <c r="H11" s="772"/>
      <c r="I11" s="772"/>
      <c r="J11" s="772"/>
      <c r="K11" s="772"/>
      <c r="L11" s="772"/>
      <c r="M11" s="772"/>
      <c r="N11" s="772"/>
      <c r="O11" s="772"/>
      <c r="P11" s="772"/>
      <c r="Q11" s="772"/>
      <c r="R11" s="772"/>
      <c r="S11" s="772"/>
      <c r="T11" s="772"/>
      <c r="U11" s="772"/>
      <c r="V11" s="772"/>
      <c r="W11" s="772"/>
      <c r="X11" s="772"/>
      <c r="Y11" s="772"/>
      <c r="Z11" s="773"/>
      <c r="BA11" s="539"/>
      <c r="BB11" s="539"/>
      <c r="BC11" s="539"/>
      <c r="BD11" s="539"/>
    </row>
    <row r="12" spans="1:56" ht="15" customHeight="1" outlineLevel="1">
      <c r="B12" s="768" t="s">
        <v>447</v>
      </c>
      <c r="C12" s="769"/>
      <c r="D12" s="769"/>
      <c r="E12" s="772"/>
      <c r="F12" s="772"/>
      <c r="G12" s="772"/>
      <c r="H12" s="772"/>
      <c r="I12" s="772"/>
      <c r="J12" s="772"/>
      <c r="K12" s="772"/>
      <c r="L12" s="772"/>
      <c r="M12" s="772"/>
      <c r="N12" s="772"/>
      <c r="O12" s="772"/>
      <c r="P12" s="772"/>
      <c r="Q12" s="772"/>
      <c r="R12" s="772"/>
      <c r="S12" s="772"/>
      <c r="T12" s="772"/>
      <c r="U12" s="772"/>
      <c r="V12" s="772"/>
      <c r="W12" s="772"/>
      <c r="X12" s="772"/>
      <c r="Y12" s="772"/>
      <c r="Z12" s="773"/>
      <c r="BA12" s="539"/>
      <c r="BB12" s="539"/>
      <c r="BC12" s="539"/>
      <c r="BD12" s="539"/>
    </row>
    <row r="13" spans="1:56" ht="15" customHeight="1" outlineLevel="1">
      <c r="B13" s="768" t="s">
        <v>448</v>
      </c>
      <c r="C13" s="769"/>
      <c r="D13" s="769"/>
      <c r="E13" s="774" t="str">
        <f>IFERROR(E11/E12,"")</f>
        <v/>
      </c>
      <c r="F13" s="774" t="str">
        <f>IFERROR(F11/F12,"")</f>
        <v/>
      </c>
      <c r="G13" s="774" t="str">
        <f>IFERROR(G11/G12,"")</f>
        <v/>
      </c>
      <c r="H13" s="774" t="str">
        <f>IFERROR(H11/H12,"")</f>
        <v/>
      </c>
      <c r="I13" s="774"/>
      <c r="J13" s="774"/>
      <c r="K13" s="774" t="str">
        <f>IFERROR(K11/K12,"")</f>
        <v/>
      </c>
      <c r="L13" s="774"/>
      <c r="M13" s="774"/>
      <c r="N13" s="774"/>
      <c r="O13" s="774" t="str">
        <f>IFERROR(O11/O12,"")</f>
        <v/>
      </c>
      <c r="P13" s="774"/>
      <c r="Q13" s="774"/>
      <c r="R13" s="774"/>
      <c r="S13" s="774" t="str">
        <f>IFERROR(S11/S12,"")</f>
        <v/>
      </c>
      <c r="T13" s="774"/>
      <c r="U13" s="774"/>
      <c r="V13" s="774"/>
      <c r="W13" s="774" t="str">
        <f>IFERROR(W11/W12,"")</f>
        <v/>
      </c>
      <c r="X13" s="774"/>
      <c r="Y13" s="774"/>
      <c r="Z13" s="775"/>
      <c r="BA13" s="539"/>
      <c r="BB13" s="539"/>
      <c r="BC13" s="539"/>
      <c r="BD13" s="539"/>
    </row>
    <row r="14" spans="1:56" ht="15" customHeight="1" outlineLevel="1">
      <c r="B14" s="768" t="s">
        <v>449</v>
      </c>
      <c r="C14" s="769"/>
      <c r="D14" s="769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770"/>
      <c r="P14" s="770"/>
      <c r="Q14" s="770"/>
      <c r="R14" s="770"/>
      <c r="S14" s="770"/>
      <c r="T14" s="770"/>
      <c r="U14" s="770"/>
      <c r="V14" s="770"/>
      <c r="W14" s="770"/>
      <c r="X14" s="770"/>
      <c r="Y14" s="770"/>
      <c r="Z14" s="771"/>
      <c r="BA14" s="539"/>
      <c r="BB14" s="539"/>
      <c r="BC14" s="539"/>
      <c r="BD14" s="539"/>
    </row>
    <row r="15" spans="1:56" ht="15" customHeight="1" outlineLevel="1">
      <c r="B15" s="768" t="s">
        <v>450</v>
      </c>
      <c r="C15" s="769"/>
      <c r="D15" s="769"/>
      <c r="E15" s="770"/>
      <c r="F15" s="770"/>
      <c r="G15" s="770"/>
      <c r="H15" s="770"/>
      <c r="I15" s="770"/>
      <c r="J15" s="770"/>
      <c r="K15" s="770"/>
      <c r="L15" s="770"/>
      <c r="M15" s="770"/>
      <c r="N15" s="770"/>
      <c r="O15" s="770"/>
      <c r="P15" s="770"/>
      <c r="Q15" s="770"/>
      <c r="R15" s="770"/>
      <c r="S15" s="770"/>
      <c r="T15" s="770"/>
      <c r="U15" s="770"/>
      <c r="V15" s="770"/>
      <c r="W15" s="770"/>
      <c r="X15" s="770"/>
      <c r="Y15" s="770"/>
      <c r="Z15" s="771"/>
      <c r="BA15" s="539"/>
      <c r="BB15" s="539"/>
      <c r="BC15" s="539"/>
      <c r="BD15" s="539"/>
    </row>
    <row r="16" spans="1:56" ht="15" customHeight="1" outlineLevel="1">
      <c r="B16" s="768" t="s">
        <v>451</v>
      </c>
      <c r="C16" s="769"/>
      <c r="D16" s="769"/>
      <c r="E16" s="762"/>
      <c r="F16" s="762"/>
      <c r="G16" s="762"/>
      <c r="H16" s="762"/>
      <c r="I16" s="762"/>
      <c r="J16" s="762"/>
      <c r="K16" s="762"/>
      <c r="L16" s="762"/>
      <c r="M16" s="762"/>
      <c r="N16" s="762"/>
      <c r="O16" s="762"/>
      <c r="P16" s="762"/>
      <c r="Q16" s="762"/>
      <c r="R16" s="762"/>
      <c r="S16" s="762"/>
      <c r="T16" s="762"/>
      <c r="U16" s="762"/>
      <c r="V16" s="762"/>
      <c r="W16" s="762"/>
      <c r="X16" s="762"/>
      <c r="Y16" s="762"/>
      <c r="Z16" s="763"/>
      <c r="BA16" s="539"/>
      <c r="BB16" s="539"/>
      <c r="BC16" s="539"/>
      <c r="BD16" s="539"/>
    </row>
    <row r="17" spans="1:56" ht="15" customHeight="1" outlineLevel="1">
      <c r="B17" s="768" t="s">
        <v>452</v>
      </c>
      <c r="C17" s="769"/>
      <c r="D17" s="769"/>
      <c r="E17" s="762"/>
      <c r="F17" s="762"/>
      <c r="G17" s="762"/>
      <c r="H17" s="762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3"/>
      <c r="BA17" s="539"/>
      <c r="BB17" s="539"/>
      <c r="BC17" s="539"/>
      <c r="BD17" s="539"/>
    </row>
    <row r="18" spans="1:56" ht="15" customHeight="1" outlineLevel="1">
      <c r="B18" s="768" t="s">
        <v>453</v>
      </c>
      <c r="C18" s="769"/>
      <c r="D18" s="769"/>
      <c r="E18" s="762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2"/>
      <c r="X18" s="762"/>
      <c r="Y18" s="762"/>
      <c r="Z18" s="763"/>
      <c r="BA18" s="539"/>
      <c r="BB18" s="539"/>
      <c r="BC18" s="539"/>
      <c r="BD18" s="539"/>
    </row>
    <row r="19" spans="1:56" ht="15" customHeight="1" outlineLevel="1">
      <c r="B19" s="768" t="s">
        <v>454</v>
      </c>
      <c r="C19" s="769"/>
      <c r="D19" s="769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3"/>
      <c r="BA19" s="539"/>
      <c r="BB19" s="539"/>
      <c r="BC19" s="539"/>
      <c r="BD19" s="539"/>
    </row>
    <row r="20" spans="1:56" ht="15" customHeight="1" outlineLevel="1">
      <c r="B20" s="768" t="s">
        <v>455</v>
      </c>
      <c r="C20" s="769"/>
      <c r="D20" s="769"/>
      <c r="E20" s="762"/>
      <c r="F20" s="762"/>
      <c r="G20" s="762"/>
      <c r="H20" s="762"/>
      <c r="I20" s="762"/>
      <c r="J20" s="762"/>
      <c r="K20" s="762"/>
      <c r="L20" s="762"/>
      <c r="M20" s="762"/>
      <c r="N20" s="762"/>
      <c r="O20" s="762"/>
      <c r="P20" s="762"/>
      <c r="Q20" s="762"/>
      <c r="R20" s="762"/>
      <c r="S20" s="762"/>
      <c r="T20" s="762"/>
      <c r="U20" s="762"/>
      <c r="V20" s="762"/>
      <c r="W20" s="762"/>
      <c r="X20" s="762"/>
      <c r="Y20" s="762"/>
      <c r="Z20" s="763"/>
      <c r="BA20" s="539"/>
      <c r="BB20" s="539"/>
      <c r="BC20" s="539"/>
      <c r="BD20" s="539"/>
    </row>
    <row r="21" spans="1:56" ht="15" customHeight="1" outlineLevel="1" thickBot="1">
      <c r="B21" s="764" t="s">
        <v>77</v>
      </c>
      <c r="C21" s="765"/>
      <c r="D21" s="765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7"/>
      <c r="BA21" s="539"/>
      <c r="BB21" s="539"/>
      <c r="BC21" s="539"/>
      <c r="BD21" s="539"/>
    </row>
    <row r="22" spans="1:56" ht="15" customHeight="1" outlineLevel="1" thickBot="1"/>
    <row r="23" spans="1:56" ht="19.5" thickBot="1">
      <c r="A23" s="538"/>
      <c r="B23" s="752" t="s">
        <v>456</v>
      </c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4"/>
      <c r="O23" s="752" t="s">
        <v>457</v>
      </c>
      <c r="P23" s="753"/>
      <c r="Q23" s="753"/>
      <c r="R23" s="753"/>
      <c r="S23" s="753"/>
      <c r="T23" s="753"/>
      <c r="U23" s="753"/>
      <c r="V23" s="753"/>
      <c r="W23" s="753"/>
      <c r="X23" s="753"/>
      <c r="Y23" s="753"/>
      <c r="Z23" s="753"/>
      <c r="AA23" s="753"/>
      <c r="AB23" s="753"/>
      <c r="AC23" s="753"/>
      <c r="AD23" s="753"/>
      <c r="AE23" s="753"/>
      <c r="AF23" s="753"/>
      <c r="AG23" s="753"/>
      <c r="AH23" s="753"/>
      <c r="AI23" s="753"/>
      <c r="AJ23" s="753"/>
      <c r="AK23" s="753"/>
      <c r="AL23" s="753"/>
      <c r="AM23" s="753"/>
      <c r="AN23" s="753"/>
      <c r="AO23" s="753"/>
      <c r="AP23" s="753"/>
      <c r="AQ23" s="753"/>
      <c r="AR23" s="753"/>
      <c r="AS23" s="753"/>
      <c r="AT23" s="753"/>
      <c r="AU23" s="753"/>
      <c r="AV23" s="753"/>
      <c r="AW23" s="753"/>
      <c r="AX23" s="753"/>
      <c r="AY23" s="753"/>
      <c r="AZ23" s="753"/>
      <c r="BA23" s="753"/>
      <c r="BB23" s="753"/>
      <c r="BC23" s="754"/>
    </row>
    <row r="24" spans="1:56" s="542" customFormat="1">
      <c r="A24" s="541"/>
      <c r="B24" s="755" t="s">
        <v>458</v>
      </c>
      <c r="C24" s="740" t="s">
        <v>459</v>
      </c>
      <c r="D24" s="740" t="s">
        <v>460</v>
      </c>
      <c r="E24" s="742" t="s">
        <v>461</v>
      </c>
      <c r="F24" s="757" t="s">
        <v>462</v>
      </c>
      <c r="G24" s="757" t="s">
        <v>74</v>
      </c>
      <c r="H24" s="740" t="s">
        <v>463</v>
      </c>
      <c r="I24" s="759" t="s">
        <v>464</v>
      </c>
      <c r="J24" s="740" t="s">
        <v>465</v>
      </c>
      <c r="K24" s="742" t="s">
        <v>466</v>
      </c>
      <c r="L24" s="744" t="s">
        <v>467</v>
      </c>
      <c r="M24" s="745"/>
      <c r="N24" s="746" t="s">
        <v>468</v>
      </c>
      <c r="O24" s="748" t="s">
        <v>469</v>
      </c>
      <c r="P24" s="748"/>
      <c r="Q24" s="749"/>
      <c r="R24" s="750"/>
      <c r="S24" s="751"/>
      <c r="T24" s="738"/>
      <c r="U24" s="739"/>
      <c r="V24" s="737" t="e">
        <f>EDATE(S24,-1)</f>
        <v>#NUM!</v>
      </c>
      <c r="W24" s="738"/>
      <c r="X24" s="739"/>
      <c r="Y24" s="737" t="e">
        <f>EDATE(V24,-1)</f>
        <v>#NUM!</v>
      </c>
      <c r="Z24" s="738"/>
      <c r="AA24" s="739"/>
      <c r="AB24" s="737" t="e">
        <f>EDATE(Y24,-1)</f>
        <v>#NUM!</v>
      </c>
      <c r="AC24" s="738"/>
      <c r="AD24" s="739"/>
      <c r="AE24" s="737" t="e">
        <f>EDATE(AB24,-1)</f>
        <v>#NUM!</v>
      </c>
      <c r="AF24" s="738"/>
      <c r="AG24" s="739"/>
      <c r="AH24" s="737" t="e">
        <f>EDATE(AE24,-1)</f>
        <v>#NUM!</v>
      </c>
      <c r="AI24" s="738"/>
      <c r="AJ24" s="739"/>
      <c r="AK24" s="737" t="e">
        <f>EDATE(AH24,-1)</f>
        <v>#NUM!</v>
      </c>
      <c r="AL24" s="738"/>
      <c r="AM24" s="739"/>
      <c r="AN24" s="737" t="e">
        <f>EDATE(AK24,-1)</f>
        <v>#NUM!</v>
      </c>
      <c r="AO24" s="738"/>
      <c r="AP24" s="739"/>
      <c r="AQ24" s="737" t="e">
        <f>EDATE(AN24,-1)</f>
        <v>#NUM!</v>
      </c>
      <c r="AR24" s="738"/>
      <c r="AS24" s="739"/>
      <c r="AT24" s="737" t="e">
        <f>EDATE(AQ24,-1)</f>
        <v>#NUM!</v>
      </c>
      <c r="AU24" s="738"/>
      <c r="AV24" s="739"/>
      <c r="AW24" s="737" t="e">
        <f>EDATE(AT24,-1)</f>
        <v>#NUM!</v>
      </c>
      <c r="AX24" s="738"/>
      <c r="AY24" s="739"/>
      <c r="AZ24" s="737" t="e">
        <f>EDATE(AW24,-1)</f>
        <v>#NUM!</v>
      </c>
      <c r="BA24" s="738"/>
      <c r="BB24" s="739"/>
      <c r="BC24" s="761" t="s">
        <v>470</v>
      </c>
      <c r="BD24" s="541"/>
    </row>
    <row r="25" spans="1:56" s="542" customFormat="1" ht="45">
      <c r="A25" s="541"/>
      <c r="B25" s="756"/>
      <c r="C25" s="741"/>
      <c r="D25" s="741"/>
      <c r="E25" s="743"/>
      <c r="F25" s="758"/>
      <c r="G25" s="758"/>
      <c r="H25" s="741"/>
      <c r="I25" s="760"/>
      <c r="J25" s="741"/>
      <c r="K25" s="743"/>
      <c r="L25" s="744"/>
      <c r="M25" s="745"/>
      <c r="N25" s="747"/>
      <c r="O25" s="546" t="s">
        <v>471</v>
      </c>
      <c r="P25" s="546" t="s">
        <v>472</v>
      </c>
      <c r="Q25" s="547" t="s">
        <v>473</v>
      </c>
      <c r="R25" s="548" t="s">
        <v>474</v>
      </c>
      <c r="S25" s="549" t="s">
        <v>475</v>
      </c>
      <c r="T25" s="550" t="s">
        <v>74</v>
      </c>
      <c r="U25" s="548" t="s">
        <v>476</v>
      </c>
      <c r="V25" s="551" t="s">
        <v>475</v>
      </c>
      <c r="W25" s="550" t="s">
        <v>74</v>
      </c>
      <c r="X25" s="548" t="s">
        <v>476</v>
      </c>
      <c r="Y25" s="551" t="s">
        <v>475</v>
      </c>
      <c r="Z25" s="550" t="s">
        <v>74</v>
      </c>
      <c r="AA25" s="548" t="s">
        <v>476</v>
      </c>
      <c r="AB25" s="551" t="s">
        <v>475</v>
      </c>
      <c r="AC25" s="550" t="s">
        <v>74</v>
      </c>
      <c r="AD25" s="548" t="s">
        <v>476</v>
      </c>
      <c r="AE25" s="551" t="s">
        <v>475</v>
      </c>
      <c r="AF25" s="550" t="s">
        <v>74</v>
      </c>
      <c r="AG25" s="552" t="s">
        <v>477</v>
      </c>
      <c r="AH25" s="551" t="s">
        <v>475</v>
      </c>
      <c r="AI25" s="550" t="s">
        <v>74</v>
      </c>
      <c r="AJ25" s="548" t="s">
        <v>476</v>
      </c>
      <c r="AK25" s="551" t="s">
        <v>475</v>
      </c>
      <c r="AL25" s="550" t="s">
        <v>74</v>
      </c>
      <c r="AM25" s="548" t="s">
        <v>476</v>
      </c>
      <c r="AN25" s="551" t="s">
        <v>475</v>
      </c>
      <c r="AO25" s="550" t="s">
        <v>74</v>
      </c>
      <c r="AP25" s="548" t="s">
        <v>476</v>
      </c>
      <c r="AQ25" s="551" t="s">
        <v>475</v>
      </c>
      <c r="AR25" s="550" t="s">
        <v>74</v>
      </c>
      <c r="AS25" s="548" t="s">
        <v>476</v>
      </c>
      <c r="AT25" s="551" t="s">
        <v>475</v>
      </c>
      <c r="AU25" s="550" t="s">
        <v>74</v>
      </c>
      <c r="AV25" s="548" t="s">
        <v>476</v>
      </c>
      <c r="AW25" s="551" t="s">
        <v>475</v>
      </c>
      <c r="AX25" s="550" t="s">
        <v>74</v>
      </c>
      <c r="AY25" s="548" t="s">
        <v>476</v>
      </c>
      <c r="AZ25" s="551" t="s">
        <v>475</v>
      </c>
      <c r="BA25" s="550" t="s">
        <v>74</v>
      </c>
      <c r="BB25" s="548" t="s">
        <v>476</v>
      </c>
      <c r="BC25" s="761"/>
      <c r="BD25" s="541"/>
    </row>
    <row r="26" spans="1:56" ht="15" customHeight="1">
      <c r="B26" s="553"/>
      <c r="C26" s="554"/>
      <c r="D26" s="554"/>
      <c r="E26" s="555"/>
      <c r="F26" s="555"/>
      <c r="G26" s="556"/>
      <c r="H26" s="557"/>
      <c r="I26" s="555"/>
      <c r="J26" s="554"/>
      <c r="K26" s="558" t="str">
        <f ca="1">IFERROR(IF(J26&lt;(TODAY()-H26)/30,"",J26-((TODAY()-H26)/30)+1),"")</f>
        <v/>
      </c>
      <c r="L26" s="559"/>
      <c r="M26" s="560" t="str">
        <f t="shared" ref="M26:M29" ca="1" si="0">IF(OR(L26="Yes",AND(K26&gt;1,K26&lt;&gt;"")),G26,"")</f>
        <v/>
      </c>
      <c r="N26" s="554"/>
      <c r="O26" s="561" t="str">
        <f t="shared" ref="O26:O29" si="1">IF($G26&lt;&gt;"",COUNT($S26,$V26,$Y26,$AB26,$AE26,$AH26,$AK26,$AN26,$AQ26,$AT26,$AW26,$AZ26),"")</f>
        <v/>
      </c>
      <c r="P26" s="561"/>
      <c r="Q26" s="562" t="str">
        <f t="shared" ref="Q26:Q29" si="2">IF($G26&lt;&gt;"",SUM($T26,$W26,$Z26,$AC26,$AF26,$AI26,$AL26,$AO26,$AR26,$AU26,$AX26,$BA26),"")</f>
        <v/>
      </c>
      <c r="R26" s="563" t="str">
        <f t="shared" ref="R26:R29" si="3">IF($G26&lt;&gt;"",IFERROR(AVERAGE($U26,$X26,$AA26,$AD26,$AG26,$AJ26,$AM26,$AP26,$AS26,$AV26,$AY26,$BB26),""),"")</f>
        <v/>
      </c>
      <c r="S26" s="554"/>
      <c r="T26" s="555"/>
      <c r="U26" s="562"/>
      <c r="V26" s="554"/>
      <c r="W26" s="555"/>
      <c r="X26" s="562"/>
      <c r="Y26" s="554"/>
      <c r="Z26" s="555"/>
      <c r="AA26" s="562"/>
      <c r="AB26" s="554"/>
      <c r="AC26" s="555"/>
      <c r="AD26" s="562"/>
      <c r="AE26" s="554"/>
      <c r="AF26" s="555"/>
      <c r="AG26" s="562"/>
      <c r="AH26" s="554"/>
      <c r="AI26" s="555"/>
      <c r="AJ26" s="562"/>
      <c r="AK26" s="554"/>
      <c r="AL26" s="555"/>
      <c r="AM26" s="562"/>
      <c r="AN26" s="554"/>
      <c r="AO26" s="555"/>
      <c r="AP26" s="562"/>
      <c r="AQ26" s="554"/>
      <c r="AR26" s="555"/>
      <c r="AS26" s="562"/>
      <c r="AT26" s="554"/>
      <c r="AU26" s="555"/>
      <c r="AV26" s="562"/>
      <c r="AW26" s="554"/>
      <c r="AX26" s="555"/>
      <c r="AY26" s="562"/>
      <c r="AZ26" s="554"/>
      <c r="BA26" s="555"/>
      <c r="BB26" s="562"/>
      <c r="BC26" s="564"/>
    </row>
    <row r="27" spans="1:56" ht="15" customHeight="1">
      <c r="B27" s="553"/>
      <c r="C27" s="565"/>
      <c r="D27" s="554"/>
      <c r="E27" s="566"/>
      <c r="F27" s="555"/>
      <c r="G27" s="567"/>
      <c r="H27" s="568"/>
      <c r="I27" s="566"/>
      <c r="J27" s="565"/>
      <c r="K27" s="558" t="str">
        <f ca="1">IFERROR(IF(J27&lt;(TODAY()-H27)/30,"",J27-((TODAY()-H27)/30)+1),"")</f>
        <v/>
      </c>
      <c r="L27" s="569"/>
      <c r="M27" s="560" t="str">
        <f t="shared" ca="1" si="0"/>
        <v/>
      </c>
      <c r="N27" s="565"/>
      <c r="O27" s="561" t="str">
        <f t="shared" si="1"/>
        <v/>
      </c>
      <c r="P27" s="561"/>
      <c r="Q27" s="562" t="str">
        <f t="shared" si="2"/>
        <v/>
      </c>
      <c r="R27" s="563" t="str">
        <f t="shared" si="3"/>
        <v/>
      </c>
      <c r="S27" s="554"/>
      <c r="T27" s="555"/>
      <c r="U27" s="562"/>
      <c r="V27" s="554"/>
      <c r="W27" s="555"/>
      <c r="X27" s="562"/>
      <c r="Y27" s="554"/>
      <c r="Z27" s="555"/>
      <c r="AA27" s="562"/>
      <c r="AB27" s="554"/>
      <c r="AC27" s="555"/>
      <c r="AD27" s="562"/>
      <c r="AE27" s="554"/>
      <c r="AF27" s="555"/>
      <c r="AG27" s="562"/>
      <c r="AH27" s="554"/>
      <c r="AI27" s="555"/>
      <c r="AJ27" s="562"/>
      <c r="AK27" s="554"/>
      <c r="AL27" s="555"/>
      <c r="AM27" s="562"/>
      <c r="AN27" s="554"/>
      <c r="AO27" s="555"/>
      <c r="AP27" s="562"/>
      <c r="AQ27" s="554"/>
      <c r="AR27" s="555"/>
      <c r="AS27" s="562"/>
      <c r="AT27" s="554"/>
      <c r="AU27" s="555"/>
      <c r="AV27" s="562"/>
      <c r="AW27" s="554"/>
      <c r="AX27" s="555"/>
      <c r="AY27" s="562"/>
      <c r="AZ27" s="554"/>
      <c r="BA27" s="555"/>
      <c r="BB27" s="562"/>
      <c r="BC27" s="570"/>
    </row>
    <row r="28" spans="1:56" ht="15" customHeight="1">
      <c r="B28" s="553"/>
      <c r="C28" s="565"/>
      <c r="D28" s="554"/>
      <c r="E28" s="566"/>
      <c r="F28" s="555"/>
      <c r="G28" s="567"/>
      <c r="H28" s="568"/>
      <c r="I28" s="566"/>
      <c r="J28" s="565"/>
      <c r="K28" s="558" t="str">
        <f ca="1">IFERROR(IF(J28&lt;(TODAY()-H28)/30,"",J28-((TODAY()-H28)/30)+1),"")</f>
        <v/>
      </c>
      <c r="L28" s="569"/>
      <c r="M28" s="560" t="str">
        <f t="shared" ca="1" si="0"/>
        <v/>
      </c>
      <c r="N28" s="565"/>
      <c r="O28" s="561" t="str">
        <f t="shared" si="1"/>
        <v/>
      </c>
      <c r="P28" s="561"/>
      <c r="Q28" s="562" t="str">
        <f t="shared" si="2"/>
        <v/>
      </c>
      <c r="R28" s="562" t="str">
        <f t="shared" si="3"/>
        <v/>
      </c>
      <c r="S28" s="554"/>
      <c r="T28" s="555"/>
      <c r="U28" s="562"/>
      <c r="V28" s="554"/>
      <c r="W28" s="555"/>
      <c r="X28" s="562"/>
      <c r="Y28" s="554"/>
      <c r="Z28" s="555"/>
      <c r="AA28" s="562"/>
      <c r="AB28" s="554"/>
      <c r="AC28" s="555"/>
      <c r="AD28" s="562"/>
      <c r="AE28" s="554"/>
      <c r="AF28" s="555"/>
      <c r="AG28" s="562"/>
      <c r="AH28" s="554"/>
      <c r="AI28" s="555"/>
      <c r="AJ28" s="562"/>
      <c r="AK28" s="554"/>
      <c r="AL28" s="555"/>
      <c r="AM28" s="562"/>
      <c r="AN28" s="554"/>
      <c r="AO28" s="555"/>
      <c r="AP28" s="562"/>
      <c r="AQ28" s="554"/>
      <c r="AR28" s="555"/>
      <c r="AS28" s="562"/>
      <c r="AT28" s="554"/>
      <c r="AU28" s="555"/>
      <c r="AV28" s="562"/>
      <c r="AW28" s="554"/>
      <c r="AX28" s="555"/>
      <c r="AY28" s="562"/>
      <c r="AZ28" s="554"/>
      <c r="BA28" s="555"/>
      <c r="BB28" s="562"/>
      <c r="BC28" s="570"/>
    </row>
    <row r="29" spans="1:56" ht="15" customHeight="1" thickBot="1">
      <c r="B29" s="553"/>
      <c r="C29" s="565"/>
      <c r="D29" s="554"/>
      <c r="E29" s="566"/>
      <c r="F29" s="555"/>
      <c r="G29" s="567"/>
      <c r="H29" s="568"/>
      <c r="I29" s="566"/>
      <c r="J29" s="565"/>
      <c r="K29" s="558" t="str">
        <f ca="1">IFERROR(IF(J29&lt;(TODAY()-H29)/30,"",J29-((TODAY()-H29)/30)+1),"")</f>
        <v/>
      </c>
      <c r="L29" s="569"/>
      <c r="M29" s="560" t="str">
        <f t="shared" ca="1" si="0"/>
        <v/>
      </c>
      <c r="N29" s="565"/>
      <c r="O29" s="561" t="str">
        <f t="shared" si="1"/>
        <v/>
      </c>
      <c r="P29" s="561"/>
      <c r="Q29" s="562" t="str">
        <f t="shared" si="2"/>
        <v/>
      </c>
      <c r="R29" s="562" t="str">
        <f t="shared" si="3"/>
        <v/>
      </c>
      <c r="S29" s="554"/>
      <c r="T29" s="555"/>
      <c r="U29" s="562"/>
      <c r="V29" s="554"/>
      <c r="W29" s="555"/>
      <c r="X29" s="562"/>
      <c r="Y29" s="554"/>
      <c r="Z29" s="555"/>
      <c r="AA29" s="562"/>
      <c r="AB29" s="554"/>
      <c r="AC29" s="555"/>
      <c r="AD29" s="562"/>
      <c r="AE29" s="554"/>
      <c r="AF29" s="555"/>
      <c r="AG29" s="562"/>
      <c r="AH29" s="554"/>
      <c r="AI29" s="555"/>
      <c r="AJ29" s="562"/>
      <c r="AK29" s="554"/>
      <c r="AL29" s="555"/>
      <c r="AM29" s="562"/>
      <c r="AN29" s="554"/>
      <c r="AO29" s="555"/>
      <c r="AP29" s="562"/>
      <c r="AQ29" s="554"/>
      <c r="AR29" s="555"/>
      <c r="AS29" s="562"/>
      <c r="AT29" s="554"/>
      <c r="AU29" s="555"/>
      <c r="AV29" s="562"/>
      <c r="AW29" s="554"/>
      <c r="AX29" s="555"/>
      <c r="AY29" s="562"/>
      <c r="AZ29" s="554"/>
      <c r="BA29" s="555"/>
      <c r="BB29" s="562"/>
      <c r="BC29" s="570"/>
    </row>
    <row r="30" spans="1:56" ht="15" customHeight="1" thickBot="1">
      <c r="B30" s="571" t="s">
        <v>52</v>
      </c>
      <c r="C30" s="572"/>
      <c r="D30" s="573">
        <f>SUBTOTAL(103,LoanTrack[Column3])</f>
        <v>0</v>
      </c>
      <c r="E30" s="574">
        <f>SUBTOTAL(109,LoanTrack[Column4])</f>
        <v>0</v>
      </c>
      <c r="F30" s="574">
        <f>SUBTOTAL(109,LoanTrack[Column52])</f>
        <v>0</v>
      </c>
      <c r="G30" s="575">
        <f>SUBTOTAL(109,LoanTrack[Column5])</f>
        <v>0</v>
      </c>
      <c r="H30" s="572"/>
      <c r="I30" s="574">
        <f>SUBTOTAL(109,LoanTrack[Column54])</f>
        <v>0</v>
      </c>
      <c r="J30" s="572"/>
      <c r="K30" s="572"/>
      <c r="L30" s="572">
        <f>COUNTIF(L26:L29,"Yes")</f>
        <v>0</v>
      </c>
      <c r="M30" s="574">
        <f ca="1">SUBTOTAL(109,LoanTrack[Column10])</f>
        <v>0</v>
      </c>
      <c r="N30" s="573">
        <f>SUMPRODUCT((N26:N29&lt;&gt;"")/COUNTIF(N26:N29,N26:N29&amp;""))</f>
        <v>0</v>
      </c>
      <c r="O30" s="574">
        <f>SUBTOTAL(109,LoanTrack[Column51])</f>
        <v>0</v>
      </c>
      <c r="P30" s="574"/>
      <c r="Q30" s="574">
        <f>SUBTOTAL(109,LoanTrack[Column50])</f>
        <v>0</v>
      </c>
      <c r="R30" s="574" t="str">
        <f>IFERROR(SUBTOTAL(101,R26:R29),"")</f>
        <v/>
      </c>
      <c r="S30" s="574">
        <f>SUBTOTAL(103,LoanTrack[Column12])</f>
        <v>0</v>
      </c>
      <c r="T30" s="574">
        <f>SUBTOTAL(109,LoanTrack[Column13])</f>
        <v>0</v>
      </c>
      <c r="U30" s="574" t="str">
        <f>IFERROR(SUBTOTAL(101,U26:U29),"")</f>
        <v/>
      </c>
      <c r="V30" s="574">
        <f>SUBTOTAL(103,LoanTrack[Column15])</f>
        <v>0</v>
      </c>
      <c r="W30" s="574">
        <f>SUBTOTAL(109,LoanTrack[Column16])</f>
        <v>0</v>
      </c>
      <c r="X30" s="574" t="str">
        <f>IFERROR(SUBTOTAL(101,X26:X29),"")</f>
        <v/>
      </c>
      <c r="Y30" s="574">
        <f>SUBTOTAL(103,LoanTrack[Column18])</f>
        <v>0</v>
      </c>
      <c r="Z30" s="574">
        <f>SUBTOTAL(109,LoanTrack[Column19])</f>
        <v>0</v>
      </c>
      <c r="AA30" s="574" t="str">
        <f>IFERROR(SUBTOTAL(101,AA26:AA29),"")</f>
        <v/>
      </c>
      <c r="AB30" s="574">
        <f>SUBTOTAL(103,LoanTrack[Column21])</f>
        <v>0</v>
      </c>
      <c r="AC30" s="574">
        <f>SUBTOTAL(109,LoanTrack[Column22])</f>
        <v>0</v>
      </c>
      <c r="AD30" s="574" t="str">
        <f>IFERROR(SUBTOTAL(101,AD26:AD29),"")</f>
        <v/>
      </c>
      <c r="AE30" s="574">
        <f>SUBTOTAL(103,LoanTrack[Column24])</f>
        <v>0</v>
      </c>
      <c r="AF30" s="574">
        <f>SUBTOTAL(109,LoanTrack[Column25])</f>
        <v>0</v>
      </c>
      <c r="AG30" s="574" t="str">
        <f>IFERROR(SUBTOTAL(101,AG26:AG29),"")</f>
        <v/>
      </c>
      <c r="AH30" s="574">
        <f>SUBTOTAL(103,LoanTrack[Column27])</f>
        <v>0</v>
      </c>
      <c r="AI30" s="574">
        <f>SUBTOTAL(109,LoanTrack[Column28])</f>
        <v>0</v>
      </c>
      <c r="AJ30" s="574" t="str">
        <f>IFERROR(SUBTOTAL(101,AJ26:AJ29),"")</f>
        <v/>
      </c>
      <c r="AK30" s="574">
        <f>SUBTOTAL(103,LoanTrack[Column30])</f>
        <v>0</v>
      </c>
      <c r="AL30" s="574">
        <f>SUBTOTAL(109,LoanTrack[Column31])</f>
        <v>0</v>
      </c>
      <c r="AM30" s="574" t="str">
        <f>IFERROR(SUBTOTAL(101,AM26:AM29),"")</f>
        <v/>
      </c>
      <c r="AN30" s="574">
        <f>SUBTOTAL(103,LoanTrack[Column33])</f>
        <v>0</v>
      </c>
      <c r="AO30" s="574">
        <f>SUBTOTAL(109,LoanTrack[Column34])</f>
        <v>0</v>
      </c>
      <c r="AP30" s="574" t="str">
        <f>IFERROR(SUBTOTAL(101,AP26:AP29),"")</f>
        <v/>
      </c>
      <c r="AQ30" s="574">
        <f>SUBTOTAL(103,LoanTrack[Column36])</f>
        <v>0</v>
      </c>
      <c r="AR30" s="574">
        <f>SUBTOTAL(109,LoanTrack[Column37])</f>
        <v>0</v>
      </c>
      <c r="AS30" s="574" t="str">
        <f>IFERROR(SUBTOTAL(101,AS26:AS29),"")</f>
        <v/>
      </c>
      <c r="AT30" s="574">
        <f>SUBTOTAL(103,LoanTrack[Column39])</f>
        <v>0</v>
      </c>
      <c r="AU30" s="574">
        <f>SUBTOTAL(109,LoanTrack[Column40])</f>
        <v>0</v>
      </c>
      <c r="AV30" s="574" t="str">
        <f>IFERROR(SUBTOTAL(101,AV26:AV29),"")</f>
        <v/>
      </c>
      <c r="AW30" s="574">
        <f>SUBTOTAL(103,LoanTrack[Column42])</f>
        <v>0</v>
      </c>
      <c r="AX30" s="574">
        <f>SUBTOTAL(109,LoanTrack[Column43])</f>
        <v>0</v>
      </c>
      <c r="AY30" s="574" t="str">
        <f>IFERROR(SUBTOTAL(101,AY26:AY29),"")</f>
        <v/>
      </c>
      <c r="AZ30" s="574">
        <f>SUBTOTAL(103,LoanTrack[Column45])</f>
        <v>0</v>
      </c>
      <c r="BA30" s="574">
        <f>SUBTOTAL(109,LoanTrack[Column46])</f>
        <v>0</v>
      </c>
      <c r="BB30" s="574" t="str">
        <f>IFERROR(SUBTOTAL(101,BB26:BB29),"")</f>
        <v/>
      </c>
      <c r="BC30" s="576">
        <f>SUBTOTAL(103,LoanTrack[Column48])</f>
        <v>0</v>
      </c>
    </row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W20:Z20"/>
    <mergeCell ref="B21:D21"/>
    <mergeCell ref="E21:G21"/>
    <mergeCell ref="H21:J21"/>
    <mergeCell ref="K21:N21"/>
    <mergeCell ref="O21:R21"/>
    <mergeCell ref="S21:V21"/>
    <mergeCell ref="W21:Z21"/>
    <mergeCell ref="B20:D20"/>
    <mergeCell ref="E20:G20"/>
    <mergeCell ref="H20:J20"/>
    <mergeCell ref="K20:N20"/>
    <mergeCell ref="O20:R20"/>
    <mergeCell ref="S20:V20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AN24:AP24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H24:AJ24"/>
    <mergeCell ref="AK24:AM24"/>
    <mergeCell ref="J24:J25"/>
    <mergeCell ref="K24:K25"/>
    <mergeCell ref="L24:M25"/>
    <mergeCell ref="N24:N25"/>
    <mergeCell ref="O24:R24"/>
    <mergeCell ref="S24:U24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D7F7E00B-460B-4759-9B0E-D66733C6238A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EDB92D9E-C448-4321-9165-B1A5220058E9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O35"/>
  <sheetViews>
    <sheetView workbookViewId="0">
      <selection activeCell="F11" sqref="F11"/>
    </sheetView>
  </sheetViews>
  <sheetFormatPr defaultColWidth="0" defaultRowHeight="15"/>
  <cols>
    <col min="1" max="1" width="19.5703125" style="45" customWidth="1"/>
    <col min="2" max="2" width="26.7109375" style="243" customWidth="1"/>
    <col min="3" max="3" width="33.28515625" style="243" customWidth="1"/>
    <col min="4" max="4" width="17.28515625" style="45" customWidth="1"/>
    <col min="5" max="5" width="7" style="45" customWidth="1"/>
    <col min="6" max="6" width="75.7109375" style="45" customWidth="1"/>
    <col min="7" max="8" width="9.140625" style="45" hidden="1" customWidth="1"/>
    <col min="9" max="9" width="28.85546875" style="243" hidden="1" customWidth="1"/>
    <col min="10" max="10" width="31.140625" style="243" hidden="1" customWidth="1"/>
    <col min="11" max="14" width="9.140625" style="45" hidden="1" customWidth="1"/>
    <col min="15" max="15" width="31.140625" style="45" hidden="1" customWidth="1"/>
    <col min="16" max="16384" width="9.140625" style="45" hidden="1"/>
  </cols>
  <sheetData>
    <row r="1" spans="1:10">
      <c r="B1" s="239"/>
      <c r="C1" s="240" t="s">
        <v>264</v>
      </c>
      <c r="F1" s="199" t="s">
        <v>393</v>
      </c>
      <c r="I1" s="45" t="s">
        <v>310</v>
      </c>
      <c r="J1" s="241"/>
    </row>
    <row r="2" spans="1:10">
      <c r="B2" s="242"/>
      <c r="C2" s="240" t="s">
        <v>266</v>
      </c>
      <c r="F2" s="45" t="s">
        <v>265</v>
      </c>
      <c r="I2" s="45" t="s">
        <v>276</v>
      </c>
    </row>
    <row r="3" spans="1:10">
      <c r="F3" s="45" t="s">
        <v>267</v>
      </c>
      <c r="I3" s="45" t="s">
        <v>311</v>
      </c>
    </row>
    <row r="4" spans="1:10">
      <c r="B4" s="591" t="s">
        <v>269</v>
      </c>
      <c r="C4" s="591"/>
      <c r="F4" s="45" t="s">
        <v>268</v>
      </c>
      <c r="I4" s="45" t="s">
        <v>312</v>
      </c>
    </row>
    <row r="5" spans="1:10">
      <c r="F5" s="45" t="s">
        <v>270</v>
      </c>
      <c r="I5" s="45" t="s">
        <v>313</v>
      </c>
    </row>
    <row r="6" spans="1:10">
      <c r="B6" s="592" t="s">
        <v>272</v>
      </c>
      <c r="C6" s="592"/>
      <c r="D6" s="244" t="s">
        <v>77</v>
      </c>
      <c r="F6" s="45" t="s">
        <v>271</v>
      </c>
    </row>
    <row r="7" spans="1:10">
      <c r="B7" s="245" t="s">
        <v>275</v>
      </c>
      <c r="C7" s="171" t="s">
        <v>276</v>
      </c>
      <c r="D7" s="593"/>
      <c r="F7" s="45" t="s">
        <v>273</v>
      </c>
      <c r="I7" s="246"/>
      <c r="J7" s="246"/>
    </row>
    <row r="8" spans="1:10">
      <c r="B8" s="245" t="s">
        <v>279</v>
      </c>
      <c r="C8" s="171" t="s">
        <v>119</v>
      </c>
      <c r="D8" s="594"/>
      <c r="F8" s="45" t="s">
        <v>274</v>
      </c>
      <c r="I8" s="247"/>
      <c r="J8" s="247"/>
    </row>
    <row r="9" spans="1:10" ht="30">
      <c r="B9" s="245" t="s">
        <v>281</v>
      </c>
      <c r="C9" s="172">
        <v>900</v>
      </c>
      <c r="D9" s="594"/>
      <c r="F9" s="45" t="s">
        <v>278</v>
      </c>
      <c r="I9" s="247" t="s">
        <v>277</v>
      </c>
      <c r="J9" s="247" t="str">
        <f>IF(C7="100% Trading","No","Yes")</f>
        <v>Yes</v>
      </c>
    </row>
    <row r="10" spans="1:10" ht="30">
      <c r="B10" s="245" t="s">
        <v>284</v>
      </c>
      <c r="C10" s="172">
        <v>50000</v>
      </c>
      <c r="D10" s="594"/>
      <c r="F10" s="45" t="s">
        <v>280</v>
      </c>
      <c r="I10" s="247" t="s">
        <v>277</v>
      </c>
      <c r="J10" s="247" t="str">
        <f>IF(C8="Others","Yes","No")</f>
        <v>Yes</v>
      </c>
    </row>
    <row r="11" spans="1:10">
      <c r="B11" s="248" t="s">
        <v>286</v>
      </c>
      <c r="C11" s="173" t="str">
        <f>IF(OR(J9="No",J10="No",J11="Not MSME",J12="Not MSME"),"No","Yes")</f>
        <v>No</v>
      </c>
      <c r="D11" s="594"/>
      <c r="F11" s="45" t="s">
        <v>283</v>
      </c>
      <c r="I11" s="247" t="s">
        <v>282</v>
      </c>
      <c r="J11" s="167" t="str">
        <f>IF(C9&gt;5000,"Not MSME",IF(C9&gt;1000,"Medium",IF(C9&gt;100,"Small","Micro")))</f>
        <v>Small</v>
      </c>
    </row>
    <row r="12" spans="1:10">
      <c r="B12" s="248" t="s">
        <v>288</v>
      </c>
      <c r="C12" s="173" t="str">
        <f>IF(C11="No","Not Applicable",IF(OR(J11="Medium",J12="Medium"),"Medium",IF(OR(J11="Small",J12="Small"),"Small","Micro")))</f>
        <v>Not Applicable</v>
      </c>
      <c r="D12" s="594"/>
      <c r="F12" s="45" t="s">
        <v>285</v>
      </c>
      <c r="I12" s="247" t="s">
        <v>282</v>
      </c>
      <c r="J12" s="167" t="str">
        <f>IF(C10&gt;25000,"Not MSME",IF(C10&gt;5000,"Medium",IF(C10&gt;500,"Small","Micro")))</f>
        <v>Not MSME</v>
      </c>
    </row>
    <row r="13" spans="1:10">
      <c r="F13" s="45" t="s">
        <v>287</v>
      </c>
      <c r="I13" s="168"/>
      <c r="J13" s="168"/>
    </row>
    <row r="14" spans="1:10" ht="15.75" thickBot="1">
      <c r="B14" s="45"/>
      <c r="C14" s="45"/>
      <c r="F14" s="45" t="s">
        <v>289</v>
      </c>
      <c r="I14" s="168"/>
      <c r="J14" s="168"/>
    </row>
    <row r="15" spans="1:10" ht="30">
      <c r="A15" s="249" t="s">
        <v>394</v>
      </c>
      <c r="B15" s="249" t="s">
        <v>383</v>
      </c>
      <c r="C15" s="249" t="s">
        <v>384</v>
      </c>
      <c r="D15" s="249" t="s">
        <v>385</v>
      </c>
      <c r="F15" s="45" t="s">
        <v>290</v>
      </c>
    </row>
    <row r="16" spans="1:10" ht="45.75" thickBot="1">
      <c r="A16" s="250" t="s">
        <v>281</v>
      </c>
      <c r="B16" s="251" t="s">
        <v>386</v>
      </c>
      <c r="C16" s="251" t="s">
        <v>387</v>
      </c>
      <c r="D16" s="251" t="s">
        <v>388</v>
      </c>
      <c r="E16" s="252"/>
      <c r="F16" s="45" t="s">
        <v>291</v>
      </c>
      <c r="J16" s="45"/>
    </row>
    <row r="17" spans="1:10" ht="30.75" thickBot="1">
      <c r="A17" s="250" t="s">
        <v>389</v>
      </c>
      <c r="B17" s="251" t="s">
        <v>390</v>
      </c>
      <c r="C17" s="251" t="s">
        <v>391</v>
      </c>
      <c r="D17" s="251" t="s">
        <v>392</v>
      </c>
      <c r="E17" s="252"/>
      <c r="F17" s="45" t="s">
        <v>292</v>
      </c>
      <c r="I17" s="253"/>
      <c r="J17" s="45"/>
    </row>
    <row r="18" spans="1:10">
      <c r="B18" s="45"/>
      <c r="C18" s="45"/>
      <c r="F18" s="45" t="s">
        <v>293</v>
      </c>
      <c r="I18" s="253"/>
      <c r="J18" s="45"/>
    </row>
    <row r="19" spans="1:10">
      <c r="B19" s="45"/>
      <c r="C19" s="45"/>
      <c r="F19" s="45" t="s">
        <v>294</v>
      </c>
      <c r="I19" s="253"/>
      <c r="J19" s="45"/>
    </row>
    <row r="20" spans="1:10">
      <c r="F20" s="45" t="s">
        <v>295</v>
      </c>
      <c r="I20" s="45"/>
    </row>
    <row r="21" spans="1:10">
      <c r="F21" s="45" t="s">
        <v>296</v>
      </c>
      <c r="I21" s="45"/>
    </row>
    <row r="22" spans="1:10">
      <c r="F22" s="45" t="s">
        <v>297</v>
      </c>
      <c r="I22" s="45"/>
    </row>
    <row r="23" spans="1:10">
      <c r="F23" s="45" t="s">
        <v>298</v>
      </c>
      <c r="I23" s="45"/>
    </row>
    <row r="24" spans="1:10">
      <c r="F24" s="45" t="s">
        <v>299</v>
      </c>
    </row>
    <row r="25" spans="1:10">
      <c r="F25" s="45" t="s">
        <v>300</v>
      </c>
    </row>
    <row r="26" spans="1:10">
      <c r="F26" s="45" t="s">
        <v>301</v>
      </c>
    </row>
    <row r="27" spans="1:10">
      <c r="F27" s="45" t="s">
        <v>302</v>
      </c>
    </row>
    <row r="28" spans="1:10">
      <c r="F28" s="45" t="s">
        <v>303</v>
      </c>
    </row>
    <row r="29" spans="1:10">
      <c r="F29" s="45" t="s">
        <v>304</v>
      </c>
    </row>
    <row r="30" spans="1:10">
      <c r="F30" s="45" t="s">
        <v>305</v>
      </c>
    </row>
    <row r="31" spans="1:10">
      <c r="F31" s="45" t="s">
        <v>306</v>
      </c>
    </row>
    <row r="32" spans="1:10">
      <c r="F32" s="45" t="s">
        <v>307</v>
      </c>
    </row>
    <row r="33" spans="6:6">
      <c r="F33" s="45" t="s">
        <v>308</v>
      </c>
    </row>
    <row r="34" spans="6:6">
      <c r="F34" s="45" t="s">
        <v>309</v>
      </c>
    </row>
    <row r="35" spans="6:6">
      <c r="F35" s="45" t="s">
        <v>119</v>
      </c>
    </row>
  </sheetData>
  <sheetProtection algorithmName="SHA-512" hashValue="cb3HG9rBpDPC+xM8mPFKHgm/TxpNZpu6of6dR8mxv4HQyFmHYXE0YLqVGpfRdPa1MIMM0T2IMQkbiVWcj0VbKw==" saltValue="3piMjxNzXs8Fzith1utA9g==" spinCount="100000" sheet="1" objects="1" scenarios="1"/>
  <mergeCells count="3">
    <mergeCell ref="B4:C4"/>
    <mergeCell ref="B6:C6"/>
    <mergeCell ref="D7:D12"/>
  </mergeCells>
  <dataValidations count="2">
    <dataValidation type="list" showInputMessage="1" showErrorMessage="1" sqref="C8" xr:uid="{00000000-0002-0000-0100-000000000000}">
      <formula1>$F$2:$F$35</formula1>
    </dataValidation>
    <dataValidation type="list" showInputMessage="1" showErrorMessage="1" sqref="C7" xr:uid="{00000000-0002-0000-0100-000001000000}">
      <formula1>$I$1:$I$5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P102"/>
  <sheetViews>
    <sheetView zoomScaleNormal="100" workbookViewId="0">
      <selection activeCell="C6" sqref="C6"/>
    </sheetView>
  </sheetViews>
  <sheetFormatPr defaultColWidth="9" defaultRowHeight="15"/>
  <cols>
    <col min="1" max="1" width="36.7109375" style="266" customWidth="1"/>
    <col min="2" max="2" width="27.42578125" style="266" customWidth="1"/>
    <col min="3" max="3" width="25.42578125" style="266" customWidth="1"/>
    <col min="4" max="4" width="15.7109375" style="266" customWidth="1"/>
    <col min="5" max="5" width="27.42578125" style="266" customWidth="1"/>
    <col min="6" max="6" width="4.140625" style="265" customWidth="1"/>
    <col min="7" max="7" width="32.140625" style="266" bestFit="1" customWidth="1"/>
    <col min="8" max="8" width="23.5703125" style="266" customWidth="1"/>
    <col min="9" max="9" width="23.5703125" style="326" customWidth="1"/>
    <col min="10" max="10" width="6.140625" style="266" customWidth="1"/>
    <col min="11" max="11" width="77.140625" style="266" customWidth="1"/>
    <col min="12" max="12" width="15.42578125" style="266" customWidth="1"/>
    <col min="13" max="13" width="29.140625" style="266" customWidth="1"/>
    <col min="14" max="16384" width="9" style="266"/>
  </cols>
  <sheetData>
    <row r="1" spans="1:16" ht="16.5" thickBot="1">
      <c r="A1" s="595" t="s">
        <v>2</v>
      </c>
      <c r="B1" s="596"/>
      <c r="C1" s="597"/>
      <c r="D1" s="262"/>
      <c r="E1" s="262"/>
      <c r="F1" s="263"/>
      <c r="G1" s="263"/>
      <c r="H1" s="263"/>
      <c r="I1" s="263"/>
      <c r="J1" s="263"/>
      <c r="K1" s="264"/>
      <c r="L1" s="264"/>
      <c r="M1" s="264"/>
      <c r="N1" s="264"/>
      <c r="O1" s="265"/>
      <c r="P1" s="265"/>
    </row>
    <row r="2" spans="1:16" ht="16.5" thickBot="1">
      <c r="A2" s="267" t="s">
        <v>3</v>
      </c>
      <c r="B2" s="268">
        <f>C2-366</f>
        <v>43555</v>
      </c>
      <c r="C2" s="269">
        <v>43921</v>
      </c>
      <c r="D2" s="270"/>
      <c r="E2" s="263"/>
      <c r="F2" s="263"/>
      <c r="G2" s="271"/>
      <c r="H2" s="271"/>
      <c r="I2" s="271"/>
      <c r="J2" s="271"/>
      <c r="K2" s="271"/>
      <c r="L2" s="263"/>
      <c r="M2" s="263"/>
      <c r="N2" s="263"/>
      <c r="O2" s="265"/>
      <c r="P2" s="265"/>
    </row>
    <row r="3" spans="1:16" ht="15.75">
      <c r="A3" s="272" t="s">
        <v>4</v>
      </c>
      <c r="B3" s="273" t="s">
        <v>5</v>
      </c>
      <c r="C3" s="274" t="s">
        <v>5</v>
      </c>
      <c r="D3" s="263"/>
      <c r="E3" s="292"/>
      <c r="F3" s="505"/>
      <c r="G3" s="330"/>
      <c r="H3" s="330"/>
      <c r="I3" s="275"/>
      <c r="J3" s="265"/>
      <c r="K3" s="263"/>
      <c r="L3" s="263"/>
      <c r="M3" s="263"/>
      <c r="N3" s="263"/>
      <c r="O3" s="265"/>
      <c r="P3" s="265"/>
    </row>
    <row r="4" spans="1:16" ht="15.75" thickBot="1">
      <c r="A4" s="276" t="s">
        <v>395</v>
      </c>
      <c r="B4" s="254">
        <v>43768</v>
      </c>
      <c r="C4" s="254">
        <v>44241</v>
      </c>
      <c r="D4" s="263"/>
      <c r="E4" s="263"/>
      <c r="F4" s="263"/>
      <c r="G4" s="265"/>
      <c r="H4" s="265"/>
      <c r="I4" s="275"/>
      <c r="J4" s="265"/>
      <c r="K4" s="263"/>
      <c r="L4" s="263"/>
      <c r="M4" s="263"/>
      <c r="N4" s="263"/>
      <c r="O4" s="265"/>
      <c r="P4" s="265"/>
    </row>
    <row r="5" spans="1:16" ht="15.75">
      <c r="A5" s="601" t="s">
        <v>9</v>
      </c>
      <c r="B5" s="602"/>
      <c r="C5" s="602"/>
      <c r="D5" s="277" t="s">
        <v>87</v>
      </c>
      <c r="E5" s="277" t="s">
        <v>77</v>
      </c>
      <c r="F5" s="263"/>
      <c r="G5" s="598" t="s">
        <v>6</v>
      </c>
      <c r="H5" s="599"/>
      <c r="I5" s="600"/>
      <c r="K5" s="263"/>
      <c r="L5" s="263"/>
      <c r="M5" s="263"/>
      <c r="N5" s="263"/>
      <c r="O5" s="265"/>
      <c r="P5" s="265"/>
    </row>
    <row r="6" spans="1:16">
      <c r="A6" s="278" t="s">
        <v>10</v>
      </c>
      <c r="B6" s="514"/>
      <c r="C6" s="514"/>
      <c r="D6" s="279" t="str">
        <f>IFERROR((C6-B6)/B6,"")</f>
        <v/>
      </c>
      <c r="E6" s="280"/>
      <c r="F6" s="263"/>
      <c r="G6" s="281" t="s">
        <v>8</v>
      </c>
      <c r="H6" s="282">
        <f>B2</f>
        <v>43555</v>
      </c>
      <c r="I6" s="283">
        <f>H6+365</f>
        <v>43920</v>
      </c>
      <c r="K6" s="263"/>
      <c r="L6" s="263"/>
      <c r="M6" s="263"/>
      <c r="N6" s="263"/>
      <c r="O6" s="265"/>
      <c r="P6" s="265"/>
    </row>
    <row r="7" spans="1:16" ht="30">
      <c r="A7" s="284" t="s">
        <v>11</v>
      </c>
      <c r="B7" s="514"/>
      <c r="C7" s="514"/>
      <c r="D7" s="279" t="str">
        <f>IFERROR((C7-B7)/B7,"")</f>
        <v/>
      </c>
      <c r="E7" s="280"/>
      <c r="F7" s="263"/>
      <c r="G7" s="256" t="s">
        <v>332</v>
      </c>
      <c r="H7" s="286">
        <f>B6/100000</f>
        <v>0</v>
      </c>
      <c r="I7" s="287">
        <f>C6/100000</f>
        <v>0</v>
      </c>
      <c r="K7" s="263"/>
      <c r="L7" s="263"/>
      <c r="M7" s="263"/>
      <c r="N7" s="263"/>
      <c r="O7" s="265"/>
      <c r="P7" s="265"/>
    </row>
    <row r="8" spans="1:16" ht="15.75">
      <c r="A8" s="277" t="s">
        <v>12</v>
      </c>
      <c r="B8" s="604"/>
      <c r="C8" s="604"/>
      <c r="D8" s="288"/>
      <c r="E8" s="280"/>
      <c r="F8" s="263"/>
      <c r="G8" s="256" t="s">
        <v>331</v>
      </c>
      <c r="H8" s="289"/>
      <c r="I8" s="290" t="str">
        <f>IFERROR((I7-H7)/H7,"")</f>
        <v/>
      </c>
      <c r="K8" s="263"/>
      <c r="L8" s="263"/>
      <c r="M8" s="263"/>
      <c r="N8" s="263"/>
      <c r="O8" s="265"/>
      <c r="P8" s="265"/>
    </row>
    <row r="9" spans="1:16">
      <c r="A9" s="291" t="s">
        <v>418</v>
      </c>
      <c r="B9" s="512"/>
      <c r="C9" s="514"/>
      <c r="D9" s="279" t="str">
        <f t="shared" ref="D9:D26" si="0">IFERROR((C9-B9)/B9,"")</f>
        <v/>
      </c>
      <c r="E9" s="280"/>
      <c r="F9" s="263"/>
      <c r="G9" s="256" t="s">
        <v>88</v>
      </c>
      <c r="H9" s="286">
        <f>B19/100000</f>
        <v>0</v>
      </c>
      <c r="I9" s="287">
        <f>C19/100000</f>
        <v>0</v>
      </c>
      <c r="K9" s="263"/>
      <c r="L9" s="263"/>
      <c r="M9" s="263"/>
      <c r="N9" s="263"/>
      <c r="O9" s="265"/>
      <c r="P9" s="265"/>
    </row>
    <row r="10" spans="1:16">
      <c r="A10" s="291" t="s">
        <v>419</v>
      </c>
      <c r="B10" s="514"/>
      <c r="C10" s="514"/>
      <c r="D10" s="279" t="str">
        <f t="shared" si="0"/>
        <v/>
      </c>
      <c r="E10" s="280"/>
      <c r="F10" s="292"/>
      <c r="G10" s="256" t="s">
        <v>13</v>
      </c>
      <c r="H10" s="286">
        <f>B23/100000</f>
        <v>0</v>
      </c>
      <c r="I10" s="287">
        <f>C23/100000</f>
        <v>0</v>
      </c>
      <c r="K10" s="263"/>
      <c r="L10" s="263"/>
      <c r="M10" s="263"/>
      <c r="N10" s="263"/>
      <c r="O10" s="265"/>
      <c r="P10" s="265"/>
    </row>
    <row r="11" spans="1:16">
      <c r="A11" s="291" t="s">
        <v>420</v>
      </c>
      <c r="B11" s="514"/>
      <c r="C11" s="514"/>
      <c r="D11" s="279" t="str">
        <f t="shared" si="0"/>
        <v/>
      </c>
      <c r="E11" s="280"/>
      <c r="F11" s="292"/>
      <c r="G11" s="256" t="s">
        <v>223</v>
      </c>
      <c r="H11" s="286">
        <f>B25/100000</f>
        <v>0</v>
      </c>
      <c r="I11" s="287">
        <f>C25/100000</f>
        <v>0</v>
      </c>
      <c r="K11" s="263"/>
      <c r="L11" s="263"/>
      <c r="M11" s="263"/>
      <c r="N11" s="263"/>
      <c r="O11" s="265"/>
      <c r="P11" s="265"/>
    </row>
    <row r="12" spans="1:16">
      <c r="A12" s="502" t="s">
        <v>86</v>
      </c>
      <c r="B12" s="514"/>
      <c r="C12" s="514"/>
      <c r="D12" s="279" t="str">
        <f t="shared" si="0"/>
        <v/>
      </c>
      <c r="E12" s="280"/>
      <c r="F12" s="292"/>
      <c r="G12" s="256" t="s">
        <v>29</v>
      </c>
      <c r="H12" s="286">
        <f>B27/100000</f>
        <v>0</v>
      </c>
      <c r="I12" s="287">
        <f>C27/100000</f>
        <v>0</v>
      </c>
      <c r="K12" s="265"/>
      <c r="L12" s="263"/>
      <c r="M12" s="263"/>
      <c r="N12" s="263"/>
      <c r="O12" s="265"/>
      <c r="P12" s="265"/>
    </row>
    <row r="13" spans="1:16">
      <c r="A13" s="502" t="s">
        <v>421</v>
      </c>
      <c r="B13" s="514"/>
      <c r="C13" s="514"/>
      <c r="D13" s="279" t="str">
        <f t="shared" si="0"/>
        <v/>
      </c>
      <c r="E13" s="280"/>
      <c r="F13" s="292"/>
      <c r="G13" s="256" t="s">
        <v>14</v>
      </c>
      <c r="H13" s="293">
        <f>(B27+B24+B22+B18+B17)/100000</f>
        <v>0</v>
      </c>
      <c r="I13" s="294">
        <f>(C27+C24+C22+C18+C17)/100000</f>
        <v>0</v>
      </c>
      <c r="K13" s="179" t="s">
        <v>160</v>
      </c>
      <c r="L13" s="263"/>
      <c r="M13" s="263"/>
      <c r="N13" s="263"/>
      <c r="O13" s="265"/>
      <c r="P13" s="265"/>
    </row>
    <row r="14" spans="1:16" ht="15.75">
      <c r="A14" s="295" t="s">
        <v>17</v>
      </c>
      <c r="B14" s="296">
        <f>B6+B7-(B10+B12+B13-B11)</f>
        <v>0</v>
      </c>
      <c r="C14" s="296">
        <f>C6+C7-(C10+C12+C13-C11)</f>
        <v>0</v>
      </c>
      <c r="D14" s="279" t="str">
        <f t="shared" si="0"/>
        <v/>
      </c>
      <c r="E14" s="280"/>
      <c r="F14" s="263"/>
      <c r="G14" s="256" t="s">
        <v>15</v>
      </c>
      <c r="H14" s="297" t="str">
        <f>IFERROR(B14/(B7+B6),"")</f>
        <v/>
      </c>
      <c r="I14" s="298" t="str">
        <f>IFERROR(C14/(C7+C6),"")</f>
        <v/>
      </c>
      <c r="K14" s="180"/>
      <c r="L14" s="263"/>
      <c r="M14" s="263"/>
      <c r="N14" s="263"/>
      <c r="O14" s="265"/>
      <c r="P14" s="265"/>
    </row>
    <row r="15" spans="1:16">
      <c r="A15" s="284" t="s">
        <v>19</v>
      </c>
      <c r="B15" s="514"/>
      <c r="C15" s="514"/>
      <c r="D15" s="279" t="str">
        <f t="shared" si="0"/>
        <v/>
      </c>
      <c r="E15" s="280"/>
      <c r="F15" s="292"/>
      <c r="G15" s="256" t="s">
        <v>330</v>
      </c>
      <c r="H15" s="299" t="str">
        <f>IFERROR(H11/H7,"")</f>
        <v/>
      </c>
      <c r="I15" s="300" t="str">
        <f>IFERROR(I11/I7,"")</f>
        <v/>
      </c>
      <c r="K15" s="180"/>
      <c r="L15" s="263"/>
      <c r="M15" s="263"/>
      <c r="N15" s="263"/>
      <c r="O15" s="265"/>
      <c r="P15" s="265"/>
    </row>
    <row r="16" spans="1:16">
      <c r="A16" s="284" t="s">
        <v>21</v>
      </c>
      <c r="B16" s="285"/>
      <c r="C16" s="285"/>
      <c r="D16" s="279" t="str">
        <f t="shared" si="0"/>
        <v/>
      </c>
      <c r="E16" s="280"/>
      <c r="F16" s="263"/>
      <c r="G16" s="256" t="s">
        <v>16</v>
      </c>
      <c r="H16" s="293">
        <f>SUM(B49+B50+B51+B52+B44)/100000</f>
        <v>0</v>
      </c>
      <c r="I16" s="294">
        <f>SUM(C49+C50+C51+C52+C44)/100000</f>
        <v>0</v>
      </c>
      <c r="K16" s="179" t="s">
        <v>163</v>
      </c>
      <c r="L16" s="263"/>
      <c r="M16" s="263"/>
      <c r="N16" s="263"/>
      <c r="O16" s="265"/>
      <c r="P16" s="265"/>
    </row>
    <row r="17" spans="1:16" ht="30">
      <c r="A17" s="291" t="s">
        <v>22</v>
      </c>
      <c r="B17" s="285"/>
      <c r="C17" s="285"/>
      <c r="D17" s="279" t="str">
        <f t="shared" si="0"/>
        <v/>
      </c>
      <c r="E17" s="280"/>
      <c r="F17" s="263"/>
      <c r="G17" s="256" t="s">
        <v>24</v>
      </c>
      <c r="H17" s="293">
        <f>SUM(B58+B60+B61+B62+B63+B64+B65+B66+B68)/100000</f>
        <v>0</v>
      </c>
      <c r="I17" s="294">
        <f>SUM(C58+C60+C61+C62+C63+C64+C65+C66+C68)/100000</f>
        <v>0</v>
      </c>
      <c r="K17" s="179" t="s">
        <v>161</v>
      </c>
      <c r="L17" s="263"/>
      <c r="M17" s="263"/>
      <c r="N17" s="263"/>
      <c r="O17" s="265"/>
      <c r="P17" s="265"/>
    </row>
    <row r="18" spans="1:16">
      <c r="A18" s="284" t="s">
        <v>23</v>
      </c>
      <c r="B18" s="514"/>
      <c r="C18" s="514"/>
      <c r="D18" s="279" t="str">
        <f t="shared" si="0"/>
        <v/>
      </c>
      <c r="E18" s="280"/>
      <c r="F18" s="292"/>
      <c r="G18" s="256" t="s">
        <v>18</v>
      </c>
      <c r="H18" s="293">
        <f>(B48-B44)/100000</f>
        <v>0</v>
      </c>
      <c r="I18" s="294">
        <f>(C48-C44)/100000</f>
        <v>0</v>
      </c>
      <c r="K18" s="179" t="s">
        <v>335</v>
      </c>
      <c r="L18" s="263"/>
      <c r="M18" s="263"/>
      <c r="N18" s="263"/>
      <c r="O18" s="265"/>
      <c r="P18" s="265"/>
    </row>
    <row r="19" spans="1:16" ht="15.75">
      <c r="A19" s="295" t="s">
        <v>25</v>
      </c>
      <c r="B19" s="296">
        <f>B14-B15-B16-B18</f>
        <v>0</v>
      </c>
      <c r="C19" s="296">
        <f>C14-C15-C16-C18</f>
        <v>0</v>
      </c>
      <c r="D19" s="279" t="str">
        <f t="shared" si="0"/>
        <v/>
      </c>
      <c r="E19" s="280"/>
      <c r="F19" s="263"/>
      <c r="G19" s="256" t="s">
        <v>20</v>
      </c>
      <c r="H19" s="293">
        <f>B43/100000</f>
        <v>0</v>
      </c>
      <c r="I19" s="294">
        <f>C43/100000</f>
        <v>0</v>
      </c>
      <c r="K19" s="179" t="s">
        <v>159</v>
      </c>
      <c r="L19" s="263"/>
      <c r="M19" s="263"/>
      <c r="N19" s="263"/>
      <c r="O19" s="265"/>
      <c r="P19" s="265"/>
    </row>
    <row r="20" spans="1:16">
      <c r="A20" s="284" t="s">
        <v>183</v>
      </c>
      <c r="B20" s="514"/>
      <c r="C20" s="514"/>
      <c r="D20" s="279" t="str">
        <f t="shared" si="0"/>
        <v/>
      </c>
      <c r="E20" s="280"/>
      <c r="F20" s="292"/>
      <c r="G20" s="609" t="s">
        <v>412</v>
      </c>
      <c r="H20" s="610"/>
      <c r="I20" s="611"/>
      <c r="K20" s="180"/>
      <c r="L20" s="263"/>
      <c r="M20" s="263"/>
      <c r="N20" s="263"/>
      <c r="O20" s="265"/>
      <c r="P20" s="265"/>
    </row>
    <row r="21" spans="1:16">
      <c r="A21" s="284" t="s">
        <v>182</v>
      </c>
      <c r="B21" s="514"/>
      <c r="C21" s="514"/>
      <c r="D21" s="279" t="str">
        <f t="shared" si="0"/>
        <v/>
      </c>
      <c r="E21" s="280"/>
      <c r="F21" s="263"/>
      <c r="G21" s="112" t="s">
        <v>8</v>
      </c>
      <c r="H21" s="113">
        <f>B2</f>
        <v>43555</v>
      </c>
      <c r="I21" s="182">
        <f>H21+365</f>
        <v>43920</v>
      </c>
      <c r="K21" s="180"/>
      <c r="L21" s="263"/>
      <c r="M21" s="263"/>
      <c r="N21" s="263"/>
      <c r="O21" s="265"/>
      <c r="P21" s="265"/>
    </row>
    <row r="22" spans="1:16">
      <c r="A22" s="284" t="s">
        <v>26</v>
      </c>
      <c r="B22" s="285"/>
      <c r="C22" s="285"/>
      <c r="D22" s="279" t="str">
        <f t="shared" si="0"/>
        <v/>
      </c>
      <c r="E22" s="280"/>
      <c r="F22" s="263"/>
      <c r="G22" s="256" t="s">
        <v>33</v>
      </c>
      <c r="H22" s="301">
        <f>IFERROR((B60+B61)/100000,"")</f>
        <v>0</v>
      </c>
      <c r="I22" s="302">
        <f>IFERROR((C60+C61)/100000,"")</f>
        <v>0</v>
      </c>
      <c r="K22" s="180"/>
      <c r="L22" s="263"/>
      <c r="M22" s="263"/>
      <c r="N22" s="263"/>
      <c r="O22" s="265"/>
      <c r="P22" s="265"/>
    </row>
    <row r="23" spans="1:16" ht="31.5">
      <c r="A23" s="295" t="s">
        <v>399</v>
      </c>
      <c r="B23" s="303">
        <f>B19-B20-B21-B22-B17+B9</f>
        <v>0</v>
      </c>
      <c r="C23" s="303">
        <f>C19-C20-C21-C22-C17+C9</f>
        <v>0</v>
      </c>
      <c r="D23" s="279" t="str">
        <f t="shared" si="0"/>
        <v/>
      </c>
      <c r="E23" s="280"/>
      <c r="F23" s="263"/>
      <c r="G23" s="256" t="s">
        <v>37</v>
      </c>
      <c r="H23" s="301">
        <f>IFERROR(B49/100000,"")</f>
        <v>0</v>
      </c>
      <c r="I23" s="302">
        <f>IFERROR(C49/100000,"")</f>
        <v>0</v>
      </c>
      <c r="K23" s="180"/>
      <c r="L23" s="263"/>
      <c r="M23" s="263"/>
      <c r="N23" s="263"/>
      <c r="O23" s="265"/>
      <c r="P23" s="265"/>
    </row>
    <row r="24" spans="1:16">
      <c r="A24" s="284" t="s">
        <v>27</v>
      </c>
      <c r="B24" s="514"/>
      <c r="C24" s="514"/>
      <c r="D24" s="279" t="str">
        <f t="shared" si="0"/>
        <v/>
      </c>
      <c r="E24" s="280"/>
      <c r="F24" s="292"/>
      <c r="G24" s="256" t="s">
        <v>40</v>
      </c>
      <c r="H24" s="301">
        <f>IFERROR(B58/100000,"")</f>
        <v>0</v>
      </c>
      <c r="I24" s="302">
        <f>IFERROR(C58/100000,"")</f>
        <v>0</v>
      </c>
      <c r="K24" s="180"/>
      <c r="L24" s="263"/>
      <c r="M24" s="263"/>
      <c r="N24" s="263"/>
      <c r="O24" s="265"/>
      <c r="P24" s="265"/>
    </row>
    <row r="25" spans="1:16" ht="16.5" thickBot="1">
      <c r="A25" s="304" t="s">
        <v>225</v>
      </c>
      <c r="B25" s="305">
        <f>B23-B24</f>
        <v>0</v>
      </c>
      <c r="C25" s="305">
        <f>C23-C24</f>
        <v>0</v>
      </c>
      <c r="D25" s="279" t="str">
        <f t="shared" si="0"/>
        <v/>
      </c>
      <c r="E25" s="280"/>
      <c r="F25" s="292"/>
      <c r="G25" s="256" t="s">
        <v>35</v>
      </c>
      <c r="H25" s="306" t="str">
        <f>IFERROR(ROUND((H22*100000)/B6*365,0),"")</f>
        <v/>
      </c>
      <c r="I25" s="307" t="str">
        <f>IFERROR(ROUND((I22*100000)/C6*365,0),"")</f>
        <v/>
      </c>
      <c r="K25" s="180" t="s">
        <v>156</v>
      </c>
      <c r="L25" s="263"/>
      <c r="M25" s="263"/>
      <c r="N25" s="263"/>
      <c r="O25" s="265"/>
      <c r="P25" s="265"/>
    </row>
    <row r="26" spans="1:16">
      <c r="A26" s="284" t="s">
        <v>28</v>
      </c>
      <c r="B26" s="515"/>
      <c r="C26" s="515"/>
      <c r="D26" s="279" t="str">
        <f t="shared" si="0"/>
        <v/>
      </c>
      <c r="E26" s="280"/>
      <c r="F26" s="292"/>
      <c r="G26" s="256" t="s">
        <v>38</v>
      </c>
      <c r="H26" s="301" t="str">
        <f>IFERROR(ROUND((H23*100000/B12)*365,0),"")</f>
        <v/>
      </c>
      <c r="I26" s="302" t="str">
        <f>IFERROR(ROUND((I23*100000/C12)*365,0),"")</f>
        <v/>
      </c>
      <c r="K26" s="180" t="s">
        <v>157</v>
      </c>
      <c r="L26" s="263"/>
      <c r="M26" s="263"/>
      <c r="N26" s="263"/>
      <c r="O26" s="265"/>
      <c r="P26" s="265"/>
    </row>
    <row r="27" spans="1:16" ht="16.5" thickBot="1">
      <c r="A27" s="304" t="s">
        <v>29</v>
      </c>
      <c r="B27" s="308">
        <f>+B25-B26</f>
        <v>0</v>
      </c>
      <c r="C27" s="308">
        <f>C25-C26</f>
        <v>0</v>
      </c>
      <c r="D27" s="279" t="str">
        <f>IFERROR((C27-B27)/B27,"")</f>
        <v/>
      </c>
      <c r="E27" s="309"/>
      <c r="F27" s="292"/>
      <c r="G27" s="256" t="s">
        <v>41</v>
      </c>
      <c r="H27" s="301" t="str">
        <f>IFERROR(ROUND(B58/(B10+B12+B13-B11)*365,0),"")</f>
        <v/>
      </c>
      <c r="I27" s="301" t="str">
        <f>IFERROR(ROUND(C58/(C10+C12+C13-C11)*365,0),"")</f>
        <v/>
      </c>
      <c r="K27" s="179" t="s">
        <v>158</v>
      </c>
      <c r="L27" s="263"/>
      <c r="M27" s="263"/>
      <c r="N27" s="263"/>
      <c r="O27" s="265"/>
      <c r="P27" s="265"/>
    </row>
    <row r="28" spans="1:16" ht="15.75" thickBot="1">
      <c r="F28" s="263"/>
      <c r="G28" s="256" t="s">
        <v>398</v>
      </c>
      <c r="H28" s="301" t="str">
        <f>IFERROR((B10+B12+B13-B11)/((B10+B11)/2),"")</f>
        <v/>
      </c>
      <c r="I28" s="301" t="str">
        <f>IFERROR((C10+C12+C13-C11)/((C10+C11)/2),"")</f>
        <v/>
      </c>
      <c r="K28" s="179" t="s">
        <v>422</v>
      </c>
      <c r="L28" s="263"/>
      <c r="M28" s="263"/>
      <c r="N28" s="263"/>
      <c r="O28" s="265"/>
      <c r="P28" s="265"/>
    </row>
    <row r="29" spans="1:16" ht="45.75" thickBot="1">
      <c r="A29" s="176" t="s">
        <v>328</v>
      </c>
      <c r="B29" s="310"/>
      <c r="C29" s="310"/>
      <c r="D29" s="506"/>
      <c r="E29" s="392"/>
      <c r="F29" s="263"/>
      <c r="G29" s="256" t="s">
        <v>43</v>
      </c>
      <c r="H29" s="301">
        <f>H17-H16</f>
        <v>0</v>
      </c>
      <c r="I29" s="302">
        <f>I17-I16</f>
        <v>0</v>
      </c>
      <c r="K29" s="180" t="s">
        <v>162</v>
      </c>
      <c r="L29" s="263"/>
      <c r="M29" s="263"/>
      <c r="N29" s="263"/>
      <c r="O29" s="265"/>
      <c r="P29" s="265"/>
    </row>
    <row r="30" spans="1:16" ht="15.75" thickBot="1">
      <c r="A30" s="177" t="s">
        <v>327</v>
      </c>
      <c r="B30" s="311"/>
      <c r="C30" s="311"/>
      <c r="E30" s="392"/>
      <c r="F30" s="263"/>
      <c r="G30" s="256" t="s">
        <v>45</v>
      </c>
      <c r="H30" s="312" t="str">
        <f>IFERROR(H17/H16,"")</f>
        <v/>
      </c>
      <c r="I30" s="313" t="str">
        <f>IFERROR(I17/I16,"")</f>
        <v/>
      </c>
      <c r="K30" s="180" t="s">
        <v>164</v>
      </c>
      <c r="L30" s="263"/>
      <c r="M30" s="263"/>
      <c r="N30" s="263"/>
      <c r="O30" s="265"/>
      <c r="P30" s="265"/>
    </row>
    <row r="31" spans="1:16" ht="15.75" thickBot="1">
      <c r="A31" s="178" t="s">
        <v>329</v>
      </c>
      <c r="B31" s="314">
        <f>B29-B30</f>
        <v>0</v>
      </c>
      <c r="C31" s="315">
        <f>C29-C30</f>
        <v>0</v>
      </c>
      <c r="F31" s="263"/>
      <c r="G31" s="256" t="s">
        <v>47</v>
      </c>
      <c r="H31" s="312" t="str">
        <f>IFERROR((H17-H24)/H16,"")</f>
        <v/>
      </c>
      <c r="I31" s="313" t="str">
        <f>IFERROR((I17-I24)/I16,"")</f>
        <v/>
      </c>
      <c r="K31" s="184" t="s">
        <v>396</v>
      </c>
      <c r="L31" s="263"/>
      <c r="M31" s="263"/>
      <c r="N31" s="263"/>
      <c r="O31" s="265"/>
      <c r="P31" s="265"/>
    </row>
    <row r="32" spans="1:16" ht="15.75" thickBot="1">
      <c r="F32" s="263"/>
      <c r="G32" s="256" t="s">
        <v>49</v>
      </c>
      <c r="H32" s="312" t="str">
        <f>IFERROR(B19/(B20+B21),"")</f>
        <v/>
      </c>
      <c r="I32" s="313" t="str">
        <f>IFERROR(C19/(C20+C21),"")</f>
        <v/>
      </c>
      <c r="K32" s="179" t="s">
        <v>413</v>
      </c>
      <c r="L32" s="263"/>
      <c r="M32" s="263"/>
      <c r="N32" s="263"/>
      <c r="O32" s="265"/>
      <c r="P32" s="265"/>
    </row>
    <row r="33" spans="1:16" ht="15.75">
      <c r="A33" s="605" t="s">
        <v>30</v>
      </c>
      <c r="B33" s="606"/>
      <c r="C33" s="607"/>
      <c r="D33" s="316"/>
      <c r="E33" s="317"/>
      <c r="F33" s="263"/>
      <c r="G33" s="256" t="s">
        <v>177</v>
      </c>
      <c r="H33" s="312" t="str">
        <f>IFERROR(H18/H19,"")</f>
        <v/>
      </c>
      <c r="I33" s="313" t="str">
        <f>IFERROR(I18/I19,"")</f>
        <v/>
      </c>
      <c r="K33" s="180" t="s">
        <v>397</v>
      </c>
      <c r="L33" s="263"/>
      <c r="M33" s="263"/>
      <c r="N33" s="263"/>
      <c r="O33" s="265"/>
      <c r="P33" s="265"/>
    </row>
    <row r="34" spans="1:16" ht="16.5" thickBot="1">
      <c r="A34" s="318" t="s">
        <v>3</v>
      </c>
      <c r="B34" s="319">
        <f>B2</f>
        <v>43555</v>
      </c>
      <c r="C34" s="319">
        <f>B34+365</f>
        <v>43920</v>
      </c>
      <c r="D34" s="319" t="s">
        <v>87</v>
      </c>
      <c r="E34" s="320" t="s">
        <v>77</v>
      </c>
      <c r="F34" s="263"/>
      <c r="G34" s="321" t="s">
        <v>333</v>
      </c>
      <c r="H34" s="322" t="str">
        <f>IFERROR((H18+H16)/H19,"")</f>
        <v/>
      </c>
      <c r="I34" s="323" t="str">
        <f>IFERROR((I18+I16)/I19,"")</f>
        <v/>
      </c>
      <c r="K34" s="255" t="s">
        <v>178</v>
      </c>
      <c r="L34" s="263"/>
      <c r="M34" s="263"/>
      <c r="N34" s="263"/>
      <c r="O34" s="265"/>
      <c r="P34" s="265"/>
    </row>
    <row r="35" spans="1:16" ht="15.75">
      <c r="A35" s="324" t="s">
        <v>31</v>
      </c>
      <c r="B35" s="285"/>
      <c r="C35" s="285"/>
      <c r="D35" s="289"/>
      <c r="E35" s="325"/>
      <c r="F35" s="263"/>
      <c r="K35" s="180"/>
      <c r="L35" s="263"/>
      <c r="M35" s="263"/>
      <c r="N35" s="263"/>
      <c r="O35" s="265"/>
      <c r="P35" s="265"/>
    </row>
    <row r="36" spans="1:16">
      <c r="A36" s="284" t="s">
        <v>32</v>
      </c>
      <c r="B36" s="515"/>
      <c r="C36" s="515"/>
      <c r="D36" s="279" t="str">
        <f t="shared" ref="D36:D69" si="1">IFERROR((C36-B36)/B36,"")</f>
        <v/>
      </c>
      <c r="E36" s="280"/>
      <c r="F36" s="327"/>
      <c r="G36" s="608"/>
      <c r="H36" s="608"/>
      <c r="I36" s="328"/>
      <c r="J36" s="263"/>
      <c r="K36" s="263"/>
      <c r="L36" s="263"/>
      <c r="M36" s="263"/>
      <c r="N36" s="263"/>
      <c r="O36" s="265"/>
      <c r="P36" s="265"/>
    </row>
    <row r="37" spans="1:16">
      <c r="A37" s="284" t="s">
        <v>34</v>
      </c>
      <c r="B37" s="285"/>
      <c r="C37" s="285"/>
      <c r="D37" s="279" t="str">
        <f t="shared" si="1"/>
        <v/>
      </c>
      <c r="E37" s="280"/>
      <c r="F37" s="263"/>
      <c r="G37" s="329"/>
      <c r="H37" s="330"/>
      <c r="I37" s="331"/>
      <c r="J37" s="265"/>
      <c r="K37" s="263"/>
      <c r="L37" s="263"/>
      <c r="M37" s="263"/>
      <c r="N37" s="263"/>
      <c r="O37" s="265"/>
      <c r="P37" s="265"/>
    </row>
    <row r="38" spans="1:16" ht="30">
      <c r="A38" s="284" t="s">
        <v>36</v>
      </c>
      <c r="B38" s="285"/>
      <c r="C38" s="285"/>
      <c r="D38" s="279" t="str">
        <f t="shared" si="1"/>
        <v/>
      </c>
      <c r="E38" s="280"/>
      <c r="F38" s="292"/>
      <c r="G38" s="265"/>
      <c r="H38" s="332"/>
      <c r="I38" s="333"/>
      <c r="J38" s="265"/>
      <c r="K38" s="263"/>
      <c r="L38" s="263"/>
      <c r="M38" s="263"/>
      <c r="N38" s="263"/>
      <c r="O38" s="265"/>
      <c r="P38" s="265"/>
    </row>
    <row r="39" spans="1:16">
      <c r="A39" s="334" t="s">
        <v>316</v>
      </c>
      <c r="B39" s="305">
        <f>B36+B37</f>
        <v>0</v>
      </c>
      <c r="C39" s="305">
        <f>C36+C37</f>
        <v>0</v>
      </c>
      <c r="D39" s="279" t="str">
        <f t="shared" si="1"/>
        <v/>
      </c>
      <c r="E39" s="280"/>
      <c r="F39" s="292"/>
      <c r="G39" s="265"/>
      <c r="H39" s="265"/>
      <c r="I39" s="275"/>
      <c r="J39" s="265"/>
      <c r="K39" s="263"/>
      <c r="L39" s="263"/>
      <c r="M39" s="263"/>
      <c r="N39" s="263"/>
      <c r="O39" s="265"/>
      <c r="P39" s="265"/>
    </row>
    <row r="40" spans="1:16">
      <c r="A40" s="284" t="s">
        <v>317</v>
      </c>
      <c r="B40" s="285"/>
      <c r="C40" s="285"/>
      <c r="D40" s="279" t="str">
        <f t="shared" si="1"/>
        <v/>
      </c>
      <c r="E40" s="280"/>
      <c r="F40" s="263"/>
      <c r="G40" s="265"/>
      <c r="H40" s="330"/>
      <c r="I40" s="331"/>
      <c r="J40" s="265"/>
      <c r="K40" s="263"/>
      <c r="L40" s="263"/>
      <c r="M40" s="263"/>
      <c r="N40" s="263"/>
      <c r="O40" s="265"/>
      <c r="P40" s="265"/>
    </row>
    <row r="41" spans="1:16" ht="30">
      <c r="A41" s="284" t="s">
        <v>318</v>
      </c>
      <c r="B41" s="285"/>
      <c r="C41" s="285"/>
      <c r="D41" s="279" t="str">
        <f t="shared" si="1"/>
        <v/>
      </c>
      <c r="E41" s="280"/>
      <c r="F41" s="292"/>
      <c r="G41" s="265"/>
      <c r="H41" s="265"/>
      <c r="I41" s="275"/>
      <c r="J41" s="265"/>
      <c r="K41" s="263"/>
      <c r="L41" s="263"/>
      <c r="M41" s="263"/>
      <c r="N41" s="263"/>
      <c r="O41" s="265"/>
      <c r="P41" s="265"/>
    </row>
    <row r="42" spans="1:16">
      <c r="A42" s="284" t="s">
        <v>320</v>
      </c>
      <c r="B42" s="285"/>
      <c r="C42" s="285"/>
      <c r="D42" s="279" t="str">
        <f t="shared" si="1"/>
        <v/>
      </c>
      <c r="E42" s="280"/>
      <c r="F42" s="292"/>
      <c r="G42" s="265"/>
      <c r="H42" s="265"/>
      <c r="I42" s="275"/>
      <c r="J42" s="265"/>
      <c r="K42" s="263"/>
      <c r="L42" s="263"/>
      <c r="M42" s="263"/>
      <c r="N42" s="263"/>
      <c r="O42" s="265"/>
      <c r="P42" s="265"/>
    </row>
    <row r="43" spans="1:16">
      <c r="A43" s="334" t="s">
        <v>321</v>
      </c>
      <c r="B43" s="305">
        <f>B39+B41-B40-B42-B57-B61</f>
        <v>0</v>
      </c>
      <c r="C43" s="305">
        <f>(C39+C41-C40-C42-C57-C61)</f>
        <v>0</v>
      </c>
      <c r="D43" s="279"/>
      <c r="E43" s="280"/>
      <c r="F43" s="292"/>
      <c r="G43" s="265"/>
      <c r="H43" s="265"/>
      <c r="I43" s="275"/>
      <c r="J43" s="265"/>
      <c r="K43" s="263"/>
      <c r="L43" s="263"/>
      <c r="M43" s="263"/>
      <c r="N43" s="263"/>
      <c r="O43" s="265"/>
      <c r="P43" s="265"/>
    </row>
    <row r="44" spans="1:16" ht="30">
      <c r="A44" s="284" t="s">
        <v>39</v>
      </c>
      <c r="B44" s="519"/>
      <c r="C44" s="515"/>
      <c r="D44" s="279" t="str">
        <f t="shared" si="1"/>
        <v/>
      </c>
      <c r="E44" s="280"/>
      <c r="F44" s="292"/>
      <c r="G44" s="265"/>
      <c r="H44" s="265"/>
      <c r="I44" s="275"/>
      <c r="J44" s="265"/>
      <c r="K44" s="263"/>
      <c r="L44" s="263"/>
      <c r="M44" s="263"/>
      <c r="N44" s="263"/>
      <c r="O44" s="265"/>
      <c r="P44" s="265"/>
    </row>
    <row r="45" spans="1:16">
      <c r="A45" s="284" t="s">
        <v>319</v>
      </c>
      <c r="B45" s="517"/>
      <c r="C45" s="515"/>
      <c r="D45" s="279" t="str">
        <f t="shared" si="1"/>
        <v/>
      </c>
      <c r="E45" s="280"/>
      <c r="F45" s="292"/>
      <c r="G45" s="265"/>
      <c r="H45" s="265"/>
      <c r="I45" s="275"/>
      <c r="J45" s="265"/>
      <c r="K45" s="263"/>
      <c r="L45" s="263"/>
      <c r="M45" s="263"/>
      <c r="N45" s="263"/>
      <c r="O45" s="265"/>
      <c r="P45" s="265"/>
    </row>
    <row r="46" spans="1:16">
      <c r="A46" s="501" t="s">
        <v>414</v>
      </c>
      <c r="B46" s="518"/>
      <c r="C46" s="515"/>
      <c r="D46" s="279" t="str">
        <f t="shared" si="1"/>
        <v/>
      </c>
      <c r="E46" s="280"/>
      <c r="F46" s="292"/>
      <c r="G46" s="265"/>
      <c r="H46" s="265"/>
      <c r="I46" s="275"/>
      <c r="J46" s="265"/>
      <c r="K46" s="263"/>
      <c r="L46" s="263"/>
      <c r="M46" s="263"/>
      <c r="N46" s="263"/>
      <c r="O46" s="265"/>
      <c r="P46" s="265"/>
    </row>
    <row r="47" spans="1:16">
      <c r="A47" s="284" t="s">
        <v>44</v>
      </c>
      <c r="B47" s="285"/>
      <c r="C47" s="285"/>
      <c r="D47" s="279" t="str">
        <f t="shared" si="1"/>
        <v/>
      </c>
      <c r="E47" s="280"/>
      <c r="F47" s="292"/>
      <c r="G47" s="265"/>
      <c r="H47" s="265"/>
      <c r="I47" s="275"/>
      <c r="J47" s="265"/>
      <c r="K47" s="263"/>
      <c r="L47" s="263"/>
      <c r="M47" s="263"/>
      <c r="N47" s="263"/>
      <c r="O47" s="265"/>
      <c r="P47" s="265"/>
    </row>
    <row r="48" spans="1:16">
      <c r="A48" s="334" t="s">
        <v>42</v>
      </c>
      <c r="B48" s="305">
        <f>SUM(B44+B45+B46+B47)</f>
        <v>0</v>
      </c>
      <c r="C48" s="305">
        <f>SUM(C44+C45+C46+C47)</f>
        <v>0</v>
      </c>
      <c r="D48" s="279" t="str">
        <f t="shared" si="1"/>
        <v/>
      </c>
      <c r="E48" s="280"/>
      <c r="F48" s="263"/>
      <c r="G48" s="265"/>
      <c r="H48" s="265"/>
      <c r="I48" s="275"/>
      <c r="J48" s="265"/>
      <c r="K48" s="263"/>
      <c r="L48" s="263"/>
      <c r="M48" s="263"/>
      <c r="N48" s="263"/>
      <c r="O48" s="265"/>
      <c r="P48" s="265"/>
    </row>
    <row r="49" spans="1:16">
      <c r="A49" s="284" t="s">
        <v>46</v>
      </c>
      <c r="B49" s="517"/>
      <c r="C49" s="515"/>
      <c r="D49" s="279" t="str">
        <f t="shared" si="1"/>
        <v/>
      </c>
      <c r="E49" s="280"/>
      <c r="F49" s="292"/>
      <c r="G49" s="265"/>
      <c r="H49" s="265"/>
      <c r="I49" s="275"/>
      <c r="J49" s="265"/>
      <c r="K49" s="263"/>
      <c r="L49" s="263"/>
      <c r="M49" s="263"/>
      <c r="N49" s="263"/>
      <c r="O49" s="265"/>
      <c r="P49" s="265"/>
    </row>
    <row r="50" spans="1:16">
      <c r="A50" s="284" t="s">
        <v>48</v>
      </c>
      <c r="B50" s="285"/>
      <c r="C50" s="285"/>
      <c r="D50" s="279" t="str">
        <f t="shared" si="1"/>
        <v/>
      </c>
      <c r="E50" s="280"/>
      <c r="F50" s="292"/>
      <c r="G50" s="265"/>
      <c r="H50" s="265"/>
      <c r="I50" s="275"/>
      <c r="J50" s="265"/>
      <c r="K50" s="263"/>
      <c r="L50" s="263"/>
      <c r="M50" s="263"/>
      <c r="N50" s="263"/>
      <c r="O50" s="265"/>
      <c r="P50" s="265"/>
    </row>
    <row r="51" spans="1:16">
      <c r="A51" s="284" t="s">
        <v>50</v>
      </c>
      <c r="B51" s="337"/>
      <c r="C51" s="336"/>
      <c r="D51" s="279" t="str">
        <f t="shared" si="1"/>
        <v/>
      </c>
      <c r="E51" s="280"/>
      <c r="F51" s="292"/>
      <c r="G51" s="265"/>
      <c r="H51" s="265"/>
      <c r="I51" s="275"/>
      <c r="J51" s="265"/>
      <c r="K51" s="263"/>
      <c r="L51" s="263"/>
      <c r="M51" s="263"/>
      <c r="N51" s="263"/>
      <c r="O51" s="265"/>
      <c r="P51" s="265"/>
    </row>
    <row r="52" spans="1:16">
      <c r="A52" s="284" t="s">
        <v>326</v>
      </c>
      <c r="B52" s="518"/>
      <c r="C52" s="515"/>
      <c r="D52" s="279" t="str">
        <f t="shared" si="1"/>
        <v/>
      </c>
      <c r="E52" s="280"/>
      <c r="F52" s="292"/>
      <c r="G52" s="263"/>
      <c r="H52" s="263"/>
      <c r="I52" s="263"/>
      <c r="J52" s="263"/>
      <c r="K52" s="263"/>
      <c r="L52" s="263"/>
      <c r="M52" s="263"/>
      <c r="N52" s="263"/>
      <c r="O52" s="265"/>
      <c r="P52" s="265"/>
    </row>
    <row r="53" spans="1:16">
      <c r="A53" s="284" t="s">
        <v>51</v>
      </c>
      <c r="B53" s="285"/>
      <c r="C53" s="285"/>
      <c r="D53" s="279" t="str">
        <f t="shared" si="1"/>
        <v/>
      </c>
      <c r="E53" s="280"/>
      <c r="F53" s="292"/>
      <c r="G53" s="263"/>
      <c r="H53" s="263"/>
      <c r="I53" s="263"/>
      <c r="J53" s="263"/>
      <c r="K53" s="263"/>
      <c r="L53" s="265"/>
      <c r="M53" s="265"/>
      <c r="N53" s="265"/>
      <c r="O53" s="265"/>
      <c r="P53" s="265"/>
    </row>
    <row r="54" spans="1:16" ht="15.75">
      <c r="A54" s="338" t="s">
        <v>52</v>
      </c>
      <c r="B54" s="339">
        <f>SUM(B38+B39+B41+B48+B49+B50+B51+B52+B53)</f>
        <v>0</v>
      </c>
      <c r="C54" s="339">
        <f>SUM(C38+C39+C41+C48+C49+C50+C51+C52+C53)</f>
        <v>0</v>
      </c>
      <c r="D54" s="279" t="str">
        <f t="shared" si="1"/>
        <v/>
      </c>
      <c r="E54" s="280"/>
      <c r="F54" s="263"/>
      <c r="G54" s="340"/>
      <c r="H54" s="341"/>
      <c r="I54" s="341"/>
      <c r="J54" s="265"/>
      <c r="K54" s="263"/>
      <c r="L54" s="265"/>
      <c r="M54" s="265"/>
      <c r="N54" s="265"/>
      <c r="O54" s="265"/>
      <c r="P54" s="265"/>
    </row>
    <row r="55" spans="1:16" ht="15.75">
      <c r="A55" s="324" t="s">
        <v>53</v>
      </c>
      <c r="B55" s="342"/>
      <c r="C55" s="342"/>
      <c r="D55" s="279" t="str">
        <f t="shared" si="1"/>
        <v/>
      </c>
      <c r="E55" s="280"/>
      <c r="F55" s="263"/>
      <c r="G55" s="263"/>
      <c r="H55" s="263"/>
      <c r="I55" s="263"/>
      <c r="J55" s="265"/>
      <c r="K55" s="263"/>
      <c r="L55" s="265"/>
      <c r="M55" s="265"/>
      <c r="N55" s="265"/>
      <c r="O55" s="265"/>
      <c r="P55" s="265"/>
    </row>
    <row r="56" spans="1:16" ht="30">
      <c r="A56" s="291" t="s">
        <v>322</v>
      </c>
      <c r="B56" s="516"/>
      <c r="C56" s="516"/>
      <c r="D56" s="279" t="str">
        <f t="shared" si="1"/>
        <v/>
      </c>
      <c r="E56" s="280"/>
      <c r="F56" s="329"/>
      <c r="G56" s="263"/>
      <c r="H56" s="263"/>
      <c r="I56" s="263"/>
      <c r="J56" s="265"/>
      <c r="K56" s="263"/>
    </row>
    <row r="57" spans="1:16">
      <c r="A57" s="291" t="s">
        <v>323</v>
      </c>
      <c r="B57" s="285"/>
      <c r="C57" s="285"/>
      <c r="D57" s="279"/>
      <c r="E57" s="280"/>
      <c r="F57" s="329"/>
      <c r="G57" s="265"/>
      <c r="H57" s="265"/>
      <c r="I57" s="275"/>
      <c r="J57" s="265"/>
      <c r="K57" s="263"/>
    </row>
    <row r="58" spans="1:16">
      <c r="A58" s="291" t="s">
        <v>54</v>
      </c>
      <c r="B58" s="517"/>
      <c r="C58" s="515"/>
      <c r="D58" s="279" t="str">
        <f t="shared" si="1"/>
        <v/>
      </c>
      <c r="E58" s="280"/>
      <c r="G58" s="265"/>
      <c r="H58" s="265"/>
      <c r="I58" s="275"/>
      <c r="J58" s="265"/>
      <c r="K58" s="263"/>
    </row>
    <row r="59" spans="1:16">
      <c r="A59" s="343" t="s">
        <v>55</v>
      </c>
      <c r="B59" s="603"/>
      <c r="C59" s="603"/>
      <c r="D59" s="279" t="str">
        <f>IFERROR((C59-B59)/B59,"")</f>
        <v/>
      </c>
      <c r="E59" s="280"/>
      <c r="G59" s="265"/>
      <c r="H59" s="265"/>
      <c r="I59" s="275"/>
      <c r="J59" s="265"/>
      <c r="K59" s="263"/>
    </row>
    <row r="60" spans="1:16">
      <c r="A60" s="344" t="s">
        <v>56</v>
      </c>
      <c r="B60" s="519"/>
      <c r="C60" s="515"/>
      <c r="D60" s="279" t="str">
        <f>IFERROR((C60-B60)/B60,"")</f>
        <v/>
      </c>
      <c r="E60" s="280"/>
      <c r="G60" s="265"/>
      <c r="H60" s="265"/>
      <c r="I60" s="275"/>
      <c r="J60" s="265"/>
      <c r="K60" s="263"/>
    </row>
    <row r="61" spans="1:16">
      <c r="A61" s="345" t="s">
        <v>57</v>
      </c>
      <c r="B61" s="346"/>
      <c r="C61" s="346"/>
      <c r="D61" s="279" t="str">
        <f t="shared" si="1"/>
        <v/>
      </c>
      <c r="E61" s="280"/>
      <c r="G61" s="265"/>
      <c r="H61" s="265"/>
      <c r="I61" s="275"/>
      <c r="J61" s="265"/>
      <c r="K61" s="263"/>
    </row>
    <row r="62" spans="1:16">
      <c r="A62" s="291" t="s">
        <v>58</v>
      </c>
      <c r="B62" s="285"/>
      <c r="C62" s="285"/>
      <c r="D62" s="279" t="str">
        <f t="shared" si="1"/>
        <v/>
      </c>
      <c r="E62" s="280"/>
      <c r="G62" s="265"/>
      <c r="H62" s="265"/>
      <c r="I62" s="275"/>
      <c r="J62" s="265"/>
      <c r="K62" s="263"/>
    </row>
    <row r="63" spans="1:16">
      <c r="A63" s="291" t="s">
        <v>334</v>
      </c>
      <c r="B63" s="285"/>
      <c r="C63" s="285"/>
      <c r="D63" s="279"/>
      <c r="E63" s="280"/>
      <c r="G63" s="265"/>
      <c r="H63" s="265"/>
      <c r="I63" s="275"/>
      <c r="J63" s="265"/>
      <c r="K63" s="263"/>
    </row>
    <row r="64" spans="1:16">
      <c r="A64" s="291" t="s">
        <v>324</v>
      </c>
      <c r="B64" s="518"/>
      <c r="C64" s="515"/>
      <c r="D64" s="279" t="str">
        <f t="shared" si="1"/>
        <v/>
      </c>
      <c r="E64" s="280"/>
      <c r="G64" s="265"/>
      <c r="H64" s="265"/>
      <c r="I64" s="275"/>
      <c r="J64" s="265"/>
      <c r="K64" s="263"/>
    </row>
    <row r="65" spans="1:11">
      <c r="A65" s="291" t="s">
        <v>325</v>
      </c>
      <c r="B65" s="518"/>
      <c r="C65" s="515"/>
      <c r="D65" s="279" t="str">
        <f t="shared" si="1"/>
        <v/>
      </c>
      <c r="E65" s="280"/>
      <c r="G65" s="263"/>
      <c r="H65" s="263"/>
      <c r="I65" s="263"/>
      <c r="J65" s="263"/>
      <c r="K65" s="263"/>
    </row>
    <row r="66" spans="1:11">
      <c r="A66" s="291" t="s">
        <v>60</v>
      </c>
      <c r="B66" s="285"/>
      <c r="C66" s="285"/>
      <c r="D66" s="279" t="str">
        <f t="shared" si="1"/>
        <v/>
      </c>
      <c r="E66" s="280"/>
      <c r="G66" s="265"/>
      <c r="H66" s="265"/>
      <c r="I66" s="275"/>
      <c r="J66" s="265"/>
      <c r="K66" s="265"/>
    </row>
    <row r="67" spans="1:11" ht="30">
      <c r="A67" s="348" t="s">
        <v>61</v>
      </c>
      <c r="B67" s="285"/>
      <c r="C67" s="285"/>
      <c r="D67" s="279" t="str">
        <f t="shared" si="1"/>
        <v/>
      </c>
      <c r="E67" s="280"/>
      <c r="G67" s="265"/>
      <c r="H67" s="265"/>
      <c r="I67" s="275"/>
      <c r="J67" s="265"/>
      <c r="K67" s="265"/>
    </row>
    <row r="68" spans="1:11">
      <c r="A68" s="291" t="s">
        <v>59</v>
      </c>
      <c r="B68" s="518"/>
      <c r="C68" s="515"/>
      <c r="D68" s="279" t="str">
        <f t="shared" si="1"/>
        <v/>
      </c>
      <c r="E68" s="280"/>
      <c r="G68" s="265"/>
      <c r="H68" s="265"/>
      <c r="I68" s="275"/>
      <c r="J68" s="265"/>
      <c r="K68" s="265"/>
    </row>
    <row r="69" spans="1:11" ht="15.75">
      <c r="A69" s="338" t="s">
        <v>52</v>
      </c>
      <c r="B69" s="339">
        <f>SUM(B56:B68)+B40</f>
        <v>0</v>
      </c>
      <c r="C69" s="339">
        <f>SUM(C56:C68)+C40</f>
        <v>0</v>
      </c>
      <c r="D69" s="279" t="str">
        <f t="shared" si="1"/>
        <v/>
      </c>
      <c r="E69" s="280"/>
      <c r="G69" s="265"/>
      <c r="H69" s="265"/>
      <c r="I69" s="275"/>
      <c r="J69" s="265"/>
      <c r="K69" s="265"/>
    </row>
    <row r="70" spans="1:11" ht="15.75" thickBot="1">
      <c r="A70" s="349" t="s">
        <v>62</v>
      </c>
      <c r="B70" s="350">
        <f>B54-B69</f>
        <v>0</v>
      </c>
      <c r="C70" s="350">
        <f>C54-C69</f>
        <v>0</v>
      </c>
      <c r="D70" s="351"/>
      <c r="E70" s="352"/>
      <c r="G70" s="265"/>
      <c r="H70" s="265"/>
      <c r="I70" s="275"/>
      <c r="J70" s="265"/>
      <c r="K70" s="265"/>
    </row>
    <row r="71" spans="1:11">
      <c r="A71" s="265"/>
      <c r="B71" s="265"/>
      <c r="C71" s="265"/>
      <c r="D71" s="265"/>
      <c r="E71" s="265"/>
      <c r="G71" s="265"/>
      <c r="H71" s="265"/>
      <c r="I71" s="275"/>
      <c r="J71" s="265"/>
      <c r="K71" s="265"/>
    </row>
    <row r="72" spans="1:11">
      <c r="A72" s="265"/>
      <c r="B72" s="265"/>
      <c r="C72" s="265"/>
      <c r="D72" s="265"/>
      <c r="E72" s="265"/>
      <c r="G72" s="265"/>
      <c r="H72" s="265"/>
      <c r="I72" s="275"/>
      <c r="J72" s="265"/>
      <c r="K72" s="265"/>
    </row>
    <row r="73" spans="1:11">
      <c r="A73" s="265"/>
      <c r="B73" s="265"/>
      <c r="C73" s="265"/>
      <c r="D73" s="265"/>
      <c r="E73" s="265"/>
      <c r="G73" s="265"/>
      <c r="H73" s="265"/>
      <c r="I73" s="275"/>
      <c r="J73" s="265"/>
      <c r="K73" s="265"/>
    </row>
    <row r="74" spans="1:11">
      <c r="A74" s="265"/>
      <c r="B74" s="265"/>
      <c r="C74" s="265"/>
      <c r="D74" s="265"/>
      <c r="E74" s="265"/>
      <c r="G74" s="265"/>
      <c r="H74" s="265"/>
      <c r="I74" s="275"/>
      <c r="J74" s="265"/>
      <c r="K74" s="265"/>
    </row>
    <row r="75" spans="1:11">
      <c r="A75" s="265"/>
      <c r="B75" s="265"/>
      <c r="C75" s="265"/>
      <c r="D75" s="265"/>
      <c r="E75" s="265"/>
      <c r="G75" s="265"/>
      <c r="H75" s="265"/>
      <c r="I75" s="275"/>
      <c r="J75" s="265"/>
      <c r="K75" s="265"/>
    </row>
    <row r="76" spans="1:11" ht="15.75">
      <c r="A76" s="265"/>
      <c r="B76" s="265"/>
      <c r="C76" s="265"/>
      <c r="D76" s="353"/>
      <c r="E76" s="263"/>
      <c r="G76" s="265"/>
      <c r="H76" s="265"/>
      <c r="I76" s="275"/>
      <c r="J76" s="265"/>
      <c r="K76" s="265"/>
    </row>
    <row r="77" spans="1:11">
      <c r="A77" s="265"/>
      <c r="B77" s="265"/>
      <c r="C77" s="265"/>
      <c r="D77" s="354"/>
      <c r="E77" s="263"/>
      <c r="G77" s="265"/>
      <c r="H77" s="265"/>
      <c r="I77" s="275"/>
      <c r="J77" s="265"/>
      <c r="K77" s="265"/>
    </row>
    <row r="78" spans="1:11">
      <c r="A78" s="265"/>
      <c r="B78" s="265"/>
      <c r="C78" s="265"/>
      <c r="D78" s="355"/>
      <c r="E78" s="263"/>
      <c r="G78" s="265"/>
      <c r="H78" s="265"/>
      <c r="I78" s="275"/>
      <c r="J78" s="265"/>
      <c r="K78" s="265"/>
    </row>
    <row r="79" spans="1:11">
      <c r="A79" s="265"/>
      <c r="B79" s="265"/>
      <c r="C79" s="265"/>
      <c r="D79" s="356"/>
      <c r="E79" s="263"/>
      <c r="G79" s="265"/>
      <c r="H79" s="265"/>
      <c r="I79" s="275"/>
      <c r="J79" s="265"/>
      <c r="K79" s="265"/>
    </row>
    <row r="80" spans="1:11">
      <c r="A80" s="265"/>
      <c r="B80" s="265"/>
      <c r="C80" s="265"/>
      <c r="D80" s="355"/>
      <c r="E80" s="263"/>
      <c r="G80" s="265"/>
      <c r="H80" s="265"/>
      <c r="I80" s="275"/>
      <c r="J80" s="265"/>
      <c r="K80" s="265"/>
    </row>
    <row r="81" spans="1:11">
      <c r="A81" s="265"/>
      <c r="B81" s="265"/>
      <c r="C81" s="265"/>
      <c r="D81" s="355"/>
      <c r="E81" s="263"/>
      <c r="G81" s="265"/>
      <c r="H81" s="265"/>
      <c r="I81" s="275"/>
      <c r="J81" s="265"/>
      <c r="K81" s="265"/>
    </row>
    <row r="82" spans="1:11">
      <c r="A82" s="265"/>
      <c r="B82" s="265"/>
      <c r="C82" s="265"/>
      <c r="D82" s="355"/>
      <c r="E82" s="263"/>
      <c r="G82" s="265"/>
      <c r="H82" s="265"/>
      <c r="I82" s="275"/>
      <c r="J82" s="265"/>
      <c r="K82" s="265"/>
    </row>
    <row r="83" spans="1:11">
      <c r="A83" s="265"/>
      <c r="B83" s="265"/>
      <c r="C83" s="265"/>
      <c r="D83" s="355"/>
      <c r="E83" s="263"/>
      <c r="G83" s="265"/>
      <c r="H83" s="265"/>
      <c r="I83" s="275"/>
      <c r="J83" s="265"/>
      <c r="K83" s="265"/>
    </row>
    <row r="84" spans="1:11">
      <c r="A84" s="265"/>
      <c r="B84" s="265"/>
      <c r="C84" s="265"/>
      <c r="D84" s="357"/>
      <c r="E84" s="265"/>
      <c r="G84" s="265"/>
      <c r="H84" s="265"/>
      <c r="I84" s="275"/>
      <c r="J84" s="265"/>
      <c r="K84" s="265"/>
    </row>
    <row r="85" spans="1:11">
      <c r="A85" s="265"/>
      <c r="B85" s="265"/>
      <c r="C85" s="265"/>
      <c r="D85" s="355"/>
      <c r="E85" s="265"/>
      <c r="G85" s="265"/>
      <c r="H85" s="265"/>
      <c r="I85" s="275"/>
      <c r="J85" s="265"/>
      <c r="K85" s="265"/>
    </row>
    <row r="86" spans="1:11">
      <c r="A86" s="265"/>
      <c r="B86" s="265"/>
      <c r="C86" s="265"/>
      <c r="D86" s="355"/>
      <c r="E86" s="265"/>
      <c r="G86" s="265"/>
      <c r="H86" s="265"/>
      <c r="I86" s="275"/>
      <c r="J86" s="265"/>
      <c r="K86" s="265"/>
    </row>
    <row r="87" spans="1:11">
      <c r="A87" s="265"/>
      <c r="B87" s="265"/>
      <c r="C87" s="265"/>
      <c r="D87" s="357"/>
      <c r="E87" s="265"/>
      <c r="G87" s="265"/>
      <c r="H87" s="265"/>
      <c r="I87" s="275"/>
      <c r="J87" s="265"/>
      <c r="K87" s="265"/>
    </row>
    <row r="88" spans="1:11">
      <c r="A88" s="265"/>
      <c r="B88" s="265"/>
      <c r="C88" s="265"/>
      <c r="D88" s="357"/>
      <c r="E88" s="265"/>
      <c r="G88" s="265"/>
      <c r="H88" s="265"/>
      <c r="I88" s="275"/>
      <c r="J88" s="265"/>
      <c r="K88" s="265"/>
    </row>
    <row r="89" spans="1:11">
      <c r="A89" s="265"/>
      <c r="B89" s="265"/>
      <c r="C89" s="265"/>
      <c r="D89" s="355"/>
      <c r="E89" s="265"/>
    </row>
    <row r="90" spans="1:11">
      <c r="A90" s="265"/>
      <c r="B90" s="265"/>
      <c r="C90" s="265"/>
      <c r="D90" s="357"/>
      <c r="E90" s="265"/>
    </row>
    <row r="91" spans="1:11">
      <c r="A91" s="265"/>
      <c r="B91" s="265"/>
      <c r="C91" s="265"/>
      <c r="D91" s="328"/>
      <c r="E91" s="265"/>
    </row>
    <row r="92" spans="1:11">
      <c r="A92" s="265"/>
      <c r="B92" s="265"/>
      <c r="C92" s="265"/>
      <c r="D92" s="198"/>
      <c r="E92" s="265"/>
    </row>
    <row r="93" spans="1:11">
      <c r="A93" s="265"/>
      <c r="B93" s="265"/>
      <c r="C93" s="265"/>
      <c r="D93" s="358"/>
      <c r="E93" s="265"/>
    </row>
    <row r="94" spans="1:11">
      <c r="A94" s="265"/>
      <c r="B94" s="265"/>
      <c r="C94" s="265"/>
      <c r="D94" s="358"/>
      <c r="E94" s="265"/>
    </row>
    <row r="95" spans="1:11">
      <c r="D95" s="359"/>
    </row>
    <row r="96" spans="1:11">
      <c r="D96" s="175"/>
    </row>
    <row r="97" spans="4:4">
      <c r="D97" s="175"/>
    </row>
    <row r="98" spans="4:4">
      <c r="D98" s="175"/>
    </row>
    <row r="99" spans="4:4">
      <c r="D99" s="359"/>
    </row>
    <row r="100" spans="4:4">
      <c r="D100" s="359"/>
    </row>
    <row r="101" spans="4:4">
      <c r="D101" s="359"/>
    </row>
    <row r="102" spans="4:4">
      <c r="D102" s="359"/>
    </row>
  </sheetData>
  <sheetProtection algorithmName="SHA-512" hashValue="morl0d5R6lnkIDQ8EaMn+XWwD3clXlB2+I9eArMhgCx6uyCUNz4bDOLmuSeLo4dj4pwOCljD4MU0uhbeDy44Og==" saltValue="LtRzT/1vDClEcNSrDCHSyQ==" spinCount="100000" sheet="1" objects="1" scenarios="1"/>
  <protectedRanges>
    <protectedRange sqref="E3:E4 B34:E34 D5:E5 B2:D4" name="Range5_1" securityDescriptor=""/>
    <protectedRange sqref="B33:C33 B8:E8" name="Range1_1" securityDescriptor=""/>
    <protectedRange sqref="B59:C59 E59" name="Range2_1" securityDescriptor=""/>
    <protectedRange sqref="E16:E17" name="Range1_1_2" securityDescriptor=""/>
    <protectedRange sqref="E21:E22" name="Range1_1_3" securityDescriptor=""/>
    <protectedRange sqref="G2:I2" name="Range5_1_3" securityDescriptor=""/>
    <protectedRange sqref="H6:I7 D77:D78" name="Range5_1_3_1" securityDescriptor=""/>
    <protectedRange sqref="E11" name="Range1_1_1_1" securityDescriptor=""/>
    <protectedRange sqref="B35:C35" name="Range1_1_4" securityDescriptor=""/>
    <protectedRange sqref="E37:E38 E40" name="Range1_1_6_1" securityDescriptor=""/>
    <protectedRange sqref="E50" name="Range1_1_7_1" securityDescriptor=""/>
    <protectedRange sqref="E53" name="Range1_3_1" securityDescriptor=""/>
    <protectedRange sqref="E62:E64" name="Range2_1_4_1" securityDescriptor=""/>
    <protectedRange sqref="B11:C11" name="Range1_1_1_1_1" securityDescriptor=""/>
    <protectedRange sqref="B16:C17" name="Range1_1_2_1" securityDescriptor=""/>
    <protectedRange sqref="B21:C22" name="Range1_1_3_1" securityDescriptor=""/>
    <protectedRange sqref="B38:C38" name="Range1_1_6_1_1" securityDescriptor=""/>
    <protectedRange sqref="B50:C50" name="Range1_1_7_1_1" securityDescriptor=""/>
    <protectedRange sqref="B53:C53" name="Range1_3_1_1" securityDescriptor=""/>
    <protectedRange sqref="B40:C40" name="Range2_1_3_1_1" securityDescriptor=""/>
    <protectedRange sqref="B62:C64" name="Range2_1_4_1_1" securityDescriptor=""/>
  </protectedRanges>
  <mergeCells count="8">
    <mergeCell ref="A1:C1"/>
    <mergeCell ref="G5:I5"/>
    <mergeCell ref="A5:C5"/>
    <mergeCell ref="B59:C59"/>
    <mergeCell ref="B8:C8"/>
    <mergeCell ref="A33:C33"/>
    <mergeCell ref="G36:H36"/>
    <mergeCell ref="G20:I20"/>
  </mergeCells>
  <conditionalFormatting sqref="H25:I27">
    <cfRule type="cellIs" dxfId="277" priority="16" operator="lessThan">
      <formula>90</formula>
    </cfRule>
    <cfRule type="cellIs" dxfId="276" priority="17" operator="greaterThanOrEqual">
      <formula>90</formula>
    </cfRule>
  </conditionalFormatting>
  <conditionalFormatting sqref="H28">
    <cfRule type="cellIs" dxfId="275" priority="5" operator="lessThan">
      <formula>4</formula>
    </cfRule>
    <cfRule type="cellIs" dxfId="274" priority="6" operator="greaterThanOrEqual">
      <formula>4</formula>
    </cfRule>
  </conditionalFormatting>
  <conditionalFormatting sqref="I28">
    <cfRule type="cellIs" dxfId="273" priority="1" operator="lessThan">
      <formula>4</formula>
    </cfRule>
    <cfRule type="cellIs" dxfId="272" priority="2" operator="greaterThanOrEqual">
      <formula>4</formula>
    </cfRule>
  </conditionalFormatting>
  <dataValidations count="2">
    <dataValidation type="list" allowBlank="1" showInputMessage="1" showErrorMessage="1" sqref="C3" xr:uid="{00000000-0002-0000-0200-000000000000}">
      <formula1>"Audited,UnAudited,44ADA,44AD"</formula1>
    </dataValidation>
    <dataValidation type="list" allowBlank="1" showInputMessage="1" showErrorMessage="1" sqref="B3" xr:uid="{00000000-0002-0000-0200-000001000000}">
      <formula1>"Audited,UnAudited, 44ADA, 44AD"</formula1>
    </dataValidation>
  </dataValidations>
  <pageMargins left="0.69930555555555596" right="0.69930555555555596" top="0.75" bottom="0.75" header="0.3" footer="0.3"/>
  <pageSetup scale="31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S102"/>
  <sheetViews>
    <sheetView zoomScale="98" zoomScaleNormal="98" workbookViewId="0">
      <selection activeCell="C26" sqref="C26"/>
    </sheetView>
  </sheetViews>
  <sheetFormatPr defaultColWidth="9" defaultRowHeight="15"/>
  <cols>
    <col min="1" max="1" width="36.7109375" style="434" customWidth="1"/>
    <col min="2" max="2" width="27.42578125" style="434" customWidth="1"/>
    <col min="3" max="3" width="25.42578125" style="434" customWidth="1"/>
    <col min="4" max="4" width="15.7109375" style="434" customWidth="1"/>
    <col min="5" max="5" width="27.42578125" style="434" customWidth="1"/>
    <col min="6" max="6" width="5.28515625" style="433" customWidth="1"/>
    <col min="7" max="7" width="32.140625" style="434" bestFit="1" customWidth="1"/>
    <col min="8" max="8" width="23.5703125" style="434" customWidth="1"/>
    <col min="9" max="9" width="23.5703125" style="479" customWidth="1"/>
    <col min="10" max="10" width="7.28515625" style="433" customWidth="1"/>
    <col min="11" max="11" width="15" style="433" customWidth="1"/>
    <col min="12" max="12" width="15.42578125" style="433" customWidth="1"/>
    <col min="13" max="13" width="29.140625" style="433" customWidth="1"/>
    <col min="14" max="15" width="9" style="433"/>
    <col min="16" max="16384" width="9" style="434"/>
  </cols>
  <sheetData>
    <row r="1" spans="1:14" ht="16.5" thickBot="1">
      <c r="A1" s="595" t="s">
        <v>2</v>
      </c>
      <c r="B1" s="596"/>
      <c r="C1" s="612"/>
      <c r="D1" s="262"/>
      <c r="E1" s="262"/>
      <c r="F1" s="431"/>
      <c r="G1" s="431"/>
      <c r="H1" s="431"/>
      <c r="I1" s="431"/>
      <c r="J1" s="431"/>
      <c r="K1" s="432"/>
      <c r="L1" s="432"/>
      <c r="M1" s="432"/>
      <c r="N1" s="432"/>
    </row>
    <row r="2" spans="1:14" ht="16.5" thickBot="1">
      <c r="A2" s="267" t="s">
        <v>3</v>
      </c>
      <c r="B2" s="268">
        <f>C2-366</f>
        <v>43555</v>
      </c>
      <c r="C2" s="269">
        <v>43921</v>
      </c>
      <c r="D2" s="270"/>
      <c r="E2" s="431"/>
      <c r="F2" s="431"/>
      <c r="G2" s="271"/>
      <c r="H2" s="271"/>
      <c r="I2" s="271"/>
      <c r="J2" s="613"/>
      <c r="K2" s="613"/>
      <c r="L2" s="431"/>
      <c r="M2" s="431"/>
      <c r="N2" s="431"/>
    </row>
    <row r="3" spans="1:14" ht="15.75">
      <c r="A3" s="272" t="s">
        <v>4</v>
      </c>
      <c r="B3" s="273" t="s">
        <v>5</v>
      </c>
      <c r="C3" s="435" t="s">
        <v>5</v>
      </c>
      <c r="D3" s="431"/>
      <c r="E3" s="431"/>
      <c r="F3" s="431"/>
      <c r="G3" s="433"/>
      <c r="H3" s="433"/>
      <c r="I3" s="436"/>
      <c r="K3" s="431"/>
      <c r="L3" s="431"/>
      <c r="M3" s="431"/>
      <c r="N3" s="431"/>
    </row>
    <row r="4" spans="1:14" ht="15.75" thickBot="1">
      <c r="A4" s="276" t="s">
        <v>7</v>
      </c>
      <c r="B4" s="254" t="s">
        <v>261</v>
      </c>
      <c r="C4" s="254">
        <v>44297</v>
      </c>
      <c r="D4" s="431"/>
      <c r="E4" s="431"/>
      <c r="F4" s="431"/>
      <c r="G4" s="433"/>
      <c r="H4" s="433"/>
      <c r="I4" s="436"/>
      <c r="K4" s="431"/>
      <c r="L4" s="431"/>
      <c r="M4" s="431"/>
      <c r="N4" s="431"/>
    </row>
    <row r="5" spans="1:14" ht="15.75">
      <c r="A5" s="601" t="s">
        <v>9</v>
      </c>
      <c r="B5" s="602"/>
      <c r="C5" s="602"/>
      <c r="D5" s="277" t="s">
        <v>87</v>
      </c>
      <c r="E5" s="277" t="s">
        <v>77</v>
      </c>
      <c r="F5" s="431"/>
      <c r="G5" s="614" t="s">
        <v>6</v>
      </c>
      <c r="H5" s="615"/>
      <c r="I5" s="616"/>
      <c r="K5" s="431"/>
      <c r="L5" s="431"/>
      <c r="M5" s="431"/>
      <c r="N5" s="431"/>
    </row>
    <row r="6" spans="1:14">
      <c r="A6" s="437" t="s">
        <v>10</v>
      </c>
      <c r="B6" s="512"/>
      <c r="C6" s="512"/>
      <c r="D6" s="438" t="str">
        <f>IFERROR((C6-B6)/B6,"")</f>
        <v/>
      </c>
      <c r="E6" s="439"/>
      <c r="F6" s="431"/>
      <c r="G6" s="281" t="s">
        <v>8</v>
      </c>
      <c r="H6" s="282">
        <f>B2</f>
        <v>43555</v>
      </c>
      <c r="I6" s="283">
        <f>H6+365</f>
        <v>43920</v>
      </c>
      <c r="K6" s="431"/>
      <c r="L6" s="431"/>
      <c r="M6" s="431"/>
      <c r="N6" s="431"/>
    </row>
    <row r="7" spans="1:14" ht="30" customHeight="1">
      <c r="A7" s="440" t="s">
        <v>11</v>
      </c>
      <c r="B7" s="441"/>
      <c r="C7" s="441"/>
      <c r="D7" s="438" t="str">
        <f>IFERROR((C7-B7)/B7,"")</f>
        <v/>
      </c>
      <c r="E7" s="439"/>
      <c r="F7" s="431"/>
      <c r="G7" s="442" t="s">
        <v>332</v>
      </c>
      <c r="H7" s="443">
        <f>B6/100000</f>
        <v>0</v>
      </c>
      <c r="I7" s="444">
        <f>C6/100000</f>
        <v>0</v>
      </c>
      <c r="K7" s="431"/>
      <c r="L7" s="431"/>
      <c r="M7" s="431"/>
      <c r="N7" s="431"/>
    </row>
    <row r="8" spans="1:14" ht="21.75" customHeight="1">
      <c r="A8" s="277" t="s">
        <v>12</v>
      </c>
      <c r="B8" s="604"/>
      <c r="C8" s="604"/>
      <c r="D8" s="445"/>
      <c r="E8" s="439"/>
      <c r="F8" s="431"/>
      <c r="G8" s="442" t="s">
        <v>331</v>
      </c>
      <c r="H8" s="446"/>
      <c r="I8" s="447" t="str">
        <f>IFERROR((I7-H7)/H7,"")</f>
        <v/>
      </c>
      <c r="K8" s="431"/>
      <c r="L8" s="431"/>
      <c r="M8" s="431"/>
      <c r="N8" s="431"/>
    </row>
    <row r="9" spans="1:14">
      <c r="A9" s="291" t="s">
        <v>418</v>
      </c>
      <c r="B9" s="512"/>
      <c r="C9" s="512"/>
      <c r="D9" s="438" t="str">
        <f t="shared" ref="D9:D26" si="0">IFERROR((C9-B9)/B9,"")</f>
        <v/>
      </c>
      <c r="E9" s="439"/>
      <c r="F9" s="431"/>
      <c r="G9" s="442" t="s">
        <v>88</v>
      </c>
      <c r="H9" s="443">
        <f>B19/100000</f>
        <v>0</v>
      </c>
      <c r="I9" s="444">
        <f>C19/100000</f>
        <v>0</v>
      </c>
      <c r="K9" s="431"/>
      <c r="L9" s="431"/>
      <c r="M9" s="431"/>
      <c r="N9" s="431"/>
    </row>
    <row r="10" spans="1:14">
      <c r="A10" s="291" t="s">
        <v>419</v>
      </c>
      <c r="B10" s="285"/>
      <c r="C10" s="285"/>
      <c r="D10" s="438" t="str">
        <f t="shared" si="0"/>
        <v/>
      </c>
      <c r="E10" s="439"/>
      <c r="F10" s="449"/>
      <c r="G10" s="442" t="s">
        <v>13</v>
      </c>
      <c r="H10" s="443">
        <f>B23/100000</f>
        <v>0</v>
      </c>
      <c r="I10" s="444">
        <f>C23/100000</f>
        <v>0</v>
      </c>
      <c r="K10" s="431"/>
      <c r="L10" s="431"/>
      <c r="M10" s="431"/>
      <c r="N10" s="431"/>
    </row>
    <row r="11" spans="1:14">
      <c r="A11" s="291" t="s">
        <v>420</v>
      </c>
      <c r="B11" s="285"/>
      <c r="C11" s="285"/>
      <c r="D11" s="438" t="str">
        <f t="shared" si="0"/>
        <v/>
      </c>
      <c r="E11" s="439"/>
      <c r="F11" s="449"/>
      <c r="G11" s="442" t="s">
        <v>223</v>
      </c>
      <c r="H11" s="443">
        <f>B25/100000</f>
        <v>0</v>
      </c>
      <c r="I11" s="444">
        <f>C25/100000</f>
        <v>0</v>
      </c>
      <c r="K11" s="431"/>
      <c r="L11" s="431"/>
      <c r="M11" s="431"/>
      <c r="N11" s="431"/>
    </row>
    <row r="12" spans="1:14">
      <c r="A12" s="502" t="s">
        <v>86</v>
      </c>
      <c r="B12" s="285"/>
      <c r="C12" s="285"/>
      <c r="D12" s="438" t="str">
        <f t="shared" si="0"/>
        <v/>
      </c>
      <c r="E12" s="439"/>
      <c r="F12" s="449"/>
      <c r="G12" s="442" t="s">
        <v>29</v>
      </c>
      <c r="H12" s="443">
        <f>B27/100000</f>
        <v>0</v>
      </c>
      <c r="I12" s="444">
        <f>C27/100000</f>
        <v>0</v>
      </c>
      <c r="L12" s="431"/>
      <c r="M12" s="431"/>
      <c r="N12" s="431"/>
    </row>
    <row r="13" spans="1:14">
      <c r="A13" s="502" t="s">
        <v>421</v>
      </c>
      <c r="B13" s="512"/>
      <c r="C13" s="512"/>
      <c r="D13" s="438" t="str">
        <f t="shared" si="0"/>
        <v/>
      </c>
      <c r="E13" s="439"/>
      <c r="F13" s="449"/>
      <c r="G13" s="442" t="s">
        <v>14</v>
      </c>
      <c r="H13" s="450">
        <f>(B27+B24+B22+B18+B17)/100000</f>
        <v>0</v>
      </c>
      <c r="I13" s="451">
        <f>(C27+C24+C22+C18+C17)/100000</f>
        <v>0</v>
      </c>
      <c r="K13" s="179" t="s">
        <v>160</v>
      </c>
      <c r="L13" s="431"/>
      <c r="M13" s="431"/>
      <c r="N13" s="431"/>
    </row>
    <row r="14" spans="1:14" ht="15.75">
      <c r="A14" s="277" t="s">
        <v>17</v>
      </c>
      <c r="B14" s="296">
        <f>B6+B7-(B10+B12+B13-B11)</f>
        <v>0</v>
      </c>
      <c r="C14" s="296">
        <f>C6+C7-(C10+C12+C13-C11)</f>
        <v>0</v>
      </c>
      <c r="D14" s="438" t="str">
        <f t="shared" si="0"/>
        <v/>
      </c>
      <c r="E14" s="439"/>
      <c r="F14" s="431"/>
      <c r="G14" s="442" t="s">
        <v>15</v>
      </c>
      <c r="H14" s="452" t="str">
        <f>IFERROR(B14/(B7+B6),"")</f>
        <v/>
      </c>
      <c r="I14" s="453" t="str">
        <f>IFERROR(C14/(C7+C6),"")</f>
        <v/>
      </c>
      <c r="K14" s="180"/>
      <c r="L14" s="431"/>
      <c r="M14" s="431"/>
      <c r="N14" s="431"/>
    </row>
    <row r="15" spans="1:14">
      <c r="A15" s="440" t="s">
        <v>19</v>
      </c>
      <c r="B15" s="512"/>
      <c r="C15" s="512"/>
      <c r="D15" s="438" t="str">
        <f t="shared" si="0"/>
        <v/>
      </c>
      <c r="E15" s="439"/>
      <c r="F15" s="449"/>
      <c r="G15" s="442" t="s">
        <v>330</v>
      </c>
      <c r="H15" s="454" t="str">
        <f>IFERROR(H11/H7,"")</f>
        <v/>
      </c>
      <c r="I15" s="455" t="str">
        <f>IFERROR(I11/I7,"")</f>
        <v/>
      </c>
      <c r="K15" s="180"/>
      <c r="L15" s="431"/>
      <c r="M15" s="431"/>
      <c r="N15" s="431"/>
    </row>
    <row r="16" spans="1:14">
      <c r="A16" s="440" t="s">
        <v>21</v>
      </c>
      <c r="B16" s="441"/>
      <c r="C16" s="441"/>
      <c r="D16" s="438" t="str">
        <f t="shared" si="0"/>
        <v/>
      </c>
      <c r="E16" s="439"/>
      <c r="F16" s="431"/>
      <c r="G16" s="442" t="s">
        <v>16</v>
      </c>
      <c r="H16" s="450">
        <f>SUM(B49+B50+B51+B52+B44)/100000</f>
        <v>0</v>
      </c>
      <c r="I16" s="451">
        <f>SUM(C49+C50+C51+C52+C44)/100000</f>
        <v>0</v>
      </c>
      <c r="K16" s="179" t="s">
        <v>163</v>
      </c>
      <c r="L16" s="431"/>
      <c r="M16" s="431"/>
      <c r="N16" s="431"/>
    </row>
    <row r="17" spans="1:14" ht="30">
      <c r="A17" s="448" t="s">
        <v>22</v>
      </c>
      <c r="B17" s="441"/>
      <c r="C17" s="441"/>
      <c r="D17" s="438" t="str">
        <f t="shared" si="0"/>
        <v/>
      </c>
      <c r="E17" s="439"/>
      <c r="F17" s="431"/>
      <c r="G17" s="442" t="s">
        <v>24</v>
      </c>
      <c r="H17" s="450">
        <f>SUM(B58+B60+B61+B62+B63+B64+B65+B66+B68)/100000</f>
        <v>0</v>
      </c>
      <c r="I17" s="451">
        <f>SUM(C58+C60+C61+C62+C63+C64+C65+C66+C68)/100000</f>
        <v>0</v>
      </c>
      <c r="K17" s="179" t="s">
        <v>161</v>
      </c>
      <c r="L17" s="431"/>
      <c r="M17" s="431"/>
      <c r="N17" s="431"/>
    </row>
    <row r="18" spans="1:14">
      <c r="A18" s="440" t="s">
        <v>23</v>
      </c>
      <c r="B18" s="441"/>
      <c r="C18" s="441"/>
      <c r="D18" s="438" t="str">
        <f t="shared" si="0"/>
        <v/>
      </c>
      <c r="E18" s="439"/>
      <c r="F18" s="449"/>
      <c r="G18" s="442" t="s">
        <v>18</v>
      </c>
      <c r="H18" s="450">
        <f>(B48-B44)/100000</f>
        <v>0</v>
      </c>
      <c r="I18" s="451">
        <f>(C48-C44)/100000</f>
        <v>0</v>
      </c>
      <c r="K18" s="179" t="s">
        <v>335</v>
      </c>
      <c r="L18" s="431"/>
      <c r="M18" s="431"/>
      <c r="N18" s="431"/>
    </row>
    <row r="19" spans="1:14" ht="16.5" thickBot="1">
      <c r="A19" s="277" t="s">
        <v>25</v>
      </c>
      <c r="B19" s="296">
        <f>B14-B15-B16-B18</f>
        <v>0</v>
      </c>
      <c r="C19" s="296">
        <f>C14-C15-C16-C18</f>
        <v>0</v>
      </c>
      <c r="D19" s="438" t="str">
        <f t="shared" si="0"/>
        <v/>
      </c>
      <c r="E19" s="439"/>
      <c r="F19" s="431"/>
      <c r="G19" s="456" t="s">
        <v>20</v>
      </c>
      <c r="H19" s="457">
        <f>B43/100000</f>
        <v>0</v>
      </c>
      <c r="I19" s="458">
        <f>C43/100000</f>
        <v>0</v>
      </c>
      <c r="K19" s="179" t="s">
        <v>159</v>
      </c>
      <c r="L19" s="431"/>
      <c r="M19" s="431"/>
      <c r="N19" s="431"/>
    </row>
    <row r="20" spans="1:14" ht="15" customHeight="1">
      <c r="A20" s="440" t="s">
        <v>183</v>
      </c>
      <c r="B20" s="512"/>
      <c r="C20" s="512"/>
      <c r="D20" s="438" t="str">
        <f t="shared" si="0"/>
        <v/>
      </c>
      <c r="E20" s="439"/>
      <c r="F20" s="449"/>
      <c r="G20" s="618" t="s">
        <v>412</v>
      </c>
      <c r="H20" s="619"/>
      <c r="I20" s="620"/>
      <c r="K20" s="180"/>
      <c r="L20" s="431"/>
      <c r="M20" s="431"/>
      <c r="N20" s="431"/>
    </row>
    <row r="21" spans="1:14">
      <c r="A21" s="440" t="s">
        <v>182</v>
      </c>
      <c r="B21" s="512"/>
      <c r="C21" s="512"/>
      <c r="D21" s="438" t="str">
        <f t="shared" si="0"/>
        <v/>
      </c>
      <c r="E21" s="439"/>
      <c r="F21" s="431"/>
      <c r="G21" s="112" t="s">
        <v>8</v>
      </c>
      <c r="H21" s="113">
        <f>B2</f>
        <v>43555</v>
      </c>
      <c r="I21" s="182">
        <f>H21+365</f>
        <v>43920</v>
      </c>
      <c r="K21" s="180"/>
      <c r="L21" s="431"/>
      <c r="M21" s="431"/>
      <c r="N21" s="431"/>
    </row>
    <row r="22" spans="1:14" ht="33" customHeight="1">
      <c r="A22" s="440" t="s">
        <v>26</v>
      </c>
      <c r="B22" s="441">
        <v>0</v>
      </c>
      <c r="C22" s="441"/>
      <c r="D22" s="438" t="str">
        <f t="shared" si="0"/>
        <v/>
      </c>
      <c r="E22" s="439"/>
      <c r="F22" s="431"/>
      <c r="G22" s="442" t="s">
        <v>33</v>
      </c>
      <c r="H22" s="459">
        <f>IFERROR((B60+B61)/100000,"")</f>
        <v>0</v>
      </c>
      <c r="I22" s="460">
        <f>IFERROR((C60+C61)/100000,"")</f>
        <v>0</v>
      </c>
      <c r="K22" s="180"/>
      <c r="L22" s="431"/>
      <c r="M22" s="431"/>
      <c r="N22" s="431"/>
    </row>
    <row r="23" spans="1:14" ht="31.5">
      <c r="A23" s="277" t="s">
        <v>399</v>
      </c>
      <c r="B23" s="303">
        <f>B19-B20-B21-B22-B17+B9</f>
        <v>0</v>
      </c>
      <c r="C23" s="303">
        <f>C19-C20-C21-C22-C17+C9</f>
        <v>0</v>
      </c>
      <c r="D23" s="438" t="str">
        <f t="shared" si="0"/>
        <v/>
      </c>
      <c r="E23" s="439"/>
      <c r="F23" s="431"/>
      <c r="G23" s="442" t="s">
        <v>37</v>
      </c>
      <c r="H23" s="459">
        <f>IFERROR(B49/100000,"")</f>
        <v>0</v>
      </c>
      <c r="I23" s="460">
        <f>IFERROR(C49/100000,"")</f>
        <v>0</v>
      </c>
      <c r="K23" s="180"/>
      <c r="L23" s="431"/>
      <c r="M23" s="431"/>
      <c r="N23" s="431"/>
    </row>
    <row r="24" spans="1:14">
      <c r="A24" s="440" t="s">
        <v>27</v>
      </c>
      <c r="B24" s="512"/>
      <c r="C24" s="512"/>
      <c r="D24" s="438" t="str">
        <f t="shared" si="0"/>
        <v/>
      </c>
      <c r="E24" s="439"/>
      <c r="F24" s="449"/>
      <c r="G24" s="442" t="s">
        <v>40</v>
      </c>
      <c r="H24" s="459">
        <f>IFERROR(B58/100000,"")</f>
        <v>0</v>
      </c>
      <c r="I24" s="460">
        <f>IFERROR(C58/100000,"")</f>
        <v>0</v>
      </c>
      <c r="K24" s="180"/>
      <c r="L24" s="431"/>
      <c r="M24" s="431"/>
      <c r="N24" s="431"/>
    </row>
    <row r="25" spans="1:14" ht="16.5" thickBot="1">
      <c r="A25" s="461" t="s">
        <v>225</v>
      </c>
      <c r="B25" s="305">
        <f>B23-B24</f>
        <v>0</v>
      </c>
      <c r="C25" s="305">
        <f>C23-C24</f>
        <v>0</v>
      </c>
      <c r="D25" s="438" t="str">
        <f t="shared" si="0"/>
        <v/>
      </c>
      <c r="E25" s="439"/>
      <c r="F25" s="449"/>
      <c r="G25" s="442" t="s">
        <v>35</v>
      </c>
      <c r="H25" s="462" t="str">
        <f>IFERROR(ROUND((H22*100000)/B6*365,0),"")</f>
        <v/>
      </c>
      <c r="I25" s="463" t="str">
        <f>IFERROR(ROUND((I22*100000)/C6*365,0),"")</f>
        <v/>
      </c>
      <c r="K25" s="180" t="s">
        <v>156</v>
      </c>
      <c r="L25" s="431"/>
      <c r="M25" s="431"/>
      <c r="N25" s="431"/>
    </row>
    <row r="26" spans="1:14">
      <c r="A26" s="440" t="s">
        <v>28</v>
      </c>
      <c r="B26" s="513"/>
      <c r="C26" s="513"/>
      <c r="D26" s="438" t="str">
        <f t="shared" si="0"/>
        <v/>
      </c>
      <c r="E26" s="439"/>
      <c r="F26" s="449"/>
      <c r="G26" s="442" t="s">
        <v>38</v>
      </c>
      <c r="H26" s="459" t="str">
        <f>IFERROR(ROUND((H23*100000/B12)*365,0),"")</f>
        <v/>
      </c>
      <c r="I26" s="460" t="str">
        <f>IFERROR(ROUND((I23*100000/C12)*365,0),"")</f>
        <v/>
      </c>
      <c r="K26" s="180" t="s">
        <v>157</v>
      </c>
      <c r="L26" s="431"/>
      <c r="M26" s="431"/>
      <c r="N26" s="431"/>
    </row>
    <row r="27" spans="1:14" ht="16.5" thickBot="1">
      <c r="A27" s="461" t="s">
        <v>29</v>
      </c>
      <c r="B27" s="308">
        <f>+B25-B26</f>
        <v>0</v>
      </c>
      <c r="C27" s="308">
        <f>C25-C26</f>
        <v>0</v>
      </c>
      <c r="D27" s="438" t="str">
        <f>IFERROR((C27-B27)/B27,"")</f>
        <v/>
      </c>
      <c r="E27" s="464"/>
      <c r="F27" s="449"/>
      <c r="G27" s="442" t="s">
        <v>41</v>
      </c>
      <c r="H27" s="460" t="str">
        <f>IFERROR(ROUND(B58/(B10+B12+B13-B11)*365,0),"")</f>
        <v/>
      </c>
      <c r="I27" s="460" t="str">
        <f>IFERROR(ROUND(C58/(C10+C12+C13-C11)*365,0),"")</f>
        <v/>
      </c>
      <c r="K27" s="179" t="s">
        <v>158</v>
      </c>
      <c r="L27" s="431"/>
      <c r="M27" s="431"/>
      <c r="N27" s="431"/>
    </row>
    <row r="28" spans="1:14" ht="15.75" thickBot="1">
      <c r="F28" s="431"/>
      <c r="G28" s="442" t="s">
        <v>398</v>
      </c>
      <c r="H28" s="459" t="str">
        <f>IFERROR((B10+B12+B13-B11)/((B10+B11)/2),"")</f>
        <v/>
      </c>
      <c r="I28" s="459" t="str">
        <f>IFERROR((C10+C12+C13-C11)/((C10+C11)/2),"")</f>
        <v/>
      </c>
      <c r="J28" s="434"/>
      <c r="K28" s="179" t="s">
        <v>422</v>
      </c>
      <c r="L28" s="431"/>
      <c r="M28" s="431"/>
      <c r="N28" s="431"/>
    </row>
    <row r="29" spans="1:14" ht="45.75" thickBot="1">
      <c r="A29" s="176" t="s">
        <v>328</v>
      </c>
      <c r="B29" s="465"/>
      <c r="C29" s="466"/>
      <c r="F29" s="431"/>
      <c r="G29" s="442" t="s">
        <v>43</v>
      </c>
      <c r="H29" s="459">
        <f>H17-H16</f>
        <v>0</v>
      </c>
      <c r="I29" s="460">
        <f>I17-I16</f>
        <v>0</v>
      </c>
      <c r="K29" s="180" t="s">
        <v>162</v>
      </c>
      <c r="L29" s="431"/>
      <c r="M29" s="431"/>
      <c r="N29" s="431"/>
    </row>
    <row r="30" spans="1:14" ht="23.25" customHeight="1" thickBot="1">
      <c r="A30" s="177" t="s">
        <v>327</v>
      </c>
      <c r="B30" s="467"/>
      <c r="C30" s="468"/>
      <c r="F30" s="431"/>
      <c r="G30" s="442" t="s">
        <v>45</v>
      </c>
      <c r="H30" s="469" t="str">
        <f>IFERROR(H17/H16,"")</f>
        <v/>
      </c>
      <c r="I30" s="470" t="str">
        <f>IFERROR(I17/I16,"")</f>
        <v/>
      </c>
      <c r="K30" s="180" t="s">
        <v>164</v>
      </c>
      <c r="L30" s="431"/>
      <c r="M30" s="431"/>
      <c r="N30" s="431"/>
    </row>
    <row r="31" spans="1:14" ht="45.75" thickBot="1">
      <c r="A31" s="178" t="s">
        <v>329</v>
      </c>
      <c r="B31" s="471">
        <f>B29-B30</f>
        <v>0</v>
      </c>
      <c r="C31" s="472">
        <f>C29-C30</f>
        <v>0</v>
      </c>
      <c r="F31" s="431"/>
      <c r="G31" s="442" t="s">
        <v>47</v>
      </c>
      <c r="H31" s="469" t="str">
        <f>IFERROR((H17-H24)/H16,"")</f>
        <v/>
      </c>
      <c r="I31" s="470" t="str">
        <f>IFERROR((I17-I24)/I16,"")</f>
        <v/>
      </c>
      <c r="K31" s="184" t="s">
        <v>336</v>
      </c>
      <c r="L31" s="431"/>
      <c r="M31" s="431"/>
      <c r="N31" s="431"/>
    </row>
    <row r="32" spans="1:14" ht="15.75" thickBot="1">
      <c r="F32" s="431"/>
      <c r="G32" s="446" t="s">
        <v>49</v>
      </c>
      <c r="H32" s="469" t="str">
        <f>IFERROR(B19/(B20+B21),"")</f>
        <v/>
      </c>
      <c r="I32" s="469" t="str">
        <f>IFERROR(C19/(C20+C21),"")</f>
        <v/>
      </c>
      <c r="K32" s="179" t="s">
        <v>413</v>
      </c>
      <c r="L32" s="431"/>
      <c r="M32" s="431"/>
      <c r="N32" s="431"/>
    </row>
    <row r="33" spans="1:14" ht="16.5" thickBot="1">
      <c r="A33" s="605" t="s">
        <v>30</v>
      </c>
      <c r="B33" s="606"/>
      <c r="C33" s="607"/>
      <c r="D33" s="473"/>
      <c r="E33" s="474"/>
      <c r="F33" s="431"/>
      <c r="G33" s="456" t="s">
        <v>177</v>
      </c>
      <c r="H33" s="475" t="str">
        <f>IFERROR(H18/H19,"")</f>
        <v/>
      </c>
      <c r="I33" s="476" t="str">
        <f>IFERROR(I18/I19,"")</f>
        <v/>
      </c>
      <c r="K33" s="180" t="s">
        <v>179</v>
      </c>
      <c r="L33" s="431"/>
      <c r="M33" s="431"/>
      <c r="N33" s="431"/>
    </row>
    <row r="34" spans="1:14" ht="15.75">
      <c r="A34" s="318" t="s">
        <v>3</v>
      </c>
      <c r="B34" s="319">
        <f>B2</f>
        <v>43555</v>
      </c>
      <c r="C34" s="319">
        <f>B34+365</f>
        <v>43920</v>
      </c>
      <c r="D34" s="319" t="s">
        <v>87</v>
      </c>
      <c r="E34" s="320" t="s">
        <v>77</v>
      </c>
      <c r="F34" s="431"/>
      <c r="G34" s="446" t="s">
        <v>333</v>
      </c>
      <c r="H34" s="469" t="str">
        <f>IFERROR((H18+H16)/H19,"")</f>
        <v/>
      </c>
      <c r="I34" s="469" t="str">
        <f>IFERROR((I18+I16)/I19,"")</f>
        <v/>
      </c>
      <c r="K34" s="183" t="s">
        <v>178</v>
      </c>
      <c r="L34" s="431"/>
      <c r="M34" s="431"/>
      <c r="N34" s="431"/>
    </row>
    <row r="35" spans="1:14" ht="18" customHeight="1">
      <c r="A35" s="477" t="s">
        <v>31</v>
      </c>
      <c r="B35" s="441"/>
      <c r="C35" s="441"/>
      <c r="D35" s="446"/>
      <c r="E35" s="478"/>
      <c r="F35" s="431"/>
      <c r="K35" s="180"/>
      <c r="L35" s="431"/>
      <c r="M35" s="431"/>
      <c r="N35" s="431"/>
    </row>
    <row r="36" spans="1:14">
      <c r="A36" s="440" t="s">
        <v>32</v>
      </c>
      <c r="B36" s="441"/>
      <c r="C36" s="441"/>
      <c r="D36" s="438" t="str">
        <f t="shared" ref="D36:D69" si="1">IFERROR((C36-B36)/B36,"")</f>
        <v/>
      </c>
      <c r="E36" s="439"/>
      <c r="F36" s="480"/>
      <c r="G36" s="608"/>
      <c r="H36" s="608"/>
      <c r="I36" s="418"/>
      <c r="J36" s="431"/>
      <c r="K36" s="431"/>
      <c r="L36" s="431"/>
      <c r="M36" s="431"/>
      <c r="N36" s="431"/>
    </row>
    <row r="37" spans="1:14">
      <c r="A37" s="440" t="s">
        <v>34</v>
      </c>
      <c r="B37" s="441"/>
      <c r="C37" s="441"/>
      <c r="D37" s="438" t="str">
        <f t="shared" si="1"/>
        <v/>
      </c>
      <c r="E37" s="439"/>
      <c r="F37" s="431"/>
      <c r="G37" s="481"/>
      <c r="H37" s="482"/>
      <c r="I37" s="483"/>
      <c r="K37" s="431"/>
      <c r="L37" s="431"/>
      <c r="M37" s="431"/>
      <c r="N37" s="431"/>
    </row>
    <row r="38" spans="1:14" ht="30">
      <c r="A38" s="440" t="s">
        <v>36</v>
      </c>
      <c r="B38" s="441"/>
      <c r="C38" s="441"/>
      <c r="D38" s="438" t="str">
        <f t="shared" si="1"/>
        <v/>
      </c>
      <c r="E38" s="439"/>
      <c r="F38" s="449"/>
      <c r="G38" s="433"/>
      <c r="H38" s="484"/>
      <c r="I38" s="485"/>
      <c r="K38" s="431"/>
      <c r="L38" s="431"/>
      <c r="M38" s="431"/>
      <c r="N38" s="431"/>
    </row>
    <row r="39" spans="1:14">
      <c r="A39" s="486" t="s">
        <v>316</v>
      </c>
      <c r="B39" s="305">
        <f>B36+B37</f>
        <v>0</v>
      </c>
      <c r="C39" s="305">
        <f>C36+C37</f>
        <v>0</v>
      </c>
      <c r="D39" s="438" t="str">
        <f t="shared" si="1"/>
        <v/>
      </c>
      <c r="E39" s="439"/>
      <c r="F39" s="449"/>
      <c r="G39" s="433"/>
      <c r="H39" s="433"/>
      <c r="I39" s="436"/>
      <c r="K39" s="431"/>
      <c r="L39" s="431"/>
      <c r="M39" s="431"/>
      <c r="N39" s="431"/>
    </row>
    <row r="40" spans="1:14">
      <c r="A40" s="440" t="s">
        <v>317</v>
      </c>
      <c r="B40" s="441"/>
      <c r="C40" s="441"/>
      <c r="D40" s="438" t="str">
        <f t="shared" si="1"/>
        <v/>
      </c>
      <c r="E40" s="439"/>
      <c r="F40" s="431"/>
      <c r="G40" s="433"/>
      <c r="H40" s="482"/>
      <c r="I40" s="483"/>
      <c r="K40" s="431"/>
      <c r="L40" s="431"/>
      <c r="M40" s="431"/>
      <c r="N40" s="431"/>
    </row>
    <row r="41" spans="1:14" ht="30">
      <c r="A41" s="440" t="s">
        <v>318</v>
      </c>
      <c r="B41" s="441"/>
      <c r="C41" s="441"/>
      <c r="D41" s="438" t="str">
        <f t="shared" si="1"/>
        <v/>
      </c>
      <c r="E41" s="439"/>
      <c r="F41" s="449"/>
      <c r="G41" s="433"/>
      <c r="H41" s="433"/>
      <c r="I41" s="436"/>
      <c r="K41" s="431"/>
      <c r="L41" s="431"/>
      <c r="M41" s="431"/>
      <c r="N41" s="431"/>
    </row>
    <row r="42" spans="1:14">
      <c r="A42" s="440" t="s">
        <v>320</v>
      </c>
      <c r="B42" s="441"/>
      <c r="C42" s="441"/>
      <c r="D42" s="438" t="str">
        <f t="shared" si="1"/>
        <v/>
      </c>
      <c r="E42" s="439"/>
      <c r="F42" s="449"/>
      <c r="G42" s="433"/>
      <c r="H42" s="433"/>
      <c r="I42" s="436"/>
      <c r="K42" s="431"/>
      <c r="L42" s="431"/>
      <c r="M42" s="431"/>
      <c r="N42" s="431"/>
    </row>
    <row r="43" spans="1:14">
      <c r="A43" s="486" t="s">
        <v>321</v>
      </c>
      <c r="B43" s="305">
        <f>B39+B41-B40-B42-B57-B61</f>
        <v>0</v>
      </c>
      <c r="C43" s="305">
        <f>(C39+C41-C40-C42-C57-C61)</f>
        <v>0</v>
      </c>
      <c r="D43" s="438"/>
      <c r="E43" s="439"/>
      <c r="F43" s="449"/>
      <c r="G43" s="433"/>
      <c r="H43" s="433"/>
      <c r="I43" s="436"/>
      <c r="K43" s="431"/>
      <c r="L43" s="431"/>
      <c r="M43" s="431"/>
      <c r="N43" s="431"/>
    </row>
    <row r="44" spans="1:14" ht="30">
      <c r="A44" s="440" t="s">
        <v>39</v>
      </c>
      <c r="B44" s="335"/>
      <c r="C44" s="336"/>
      <c r="D44" s="438" t="str">
        <f t="shared" si="1"/>
        <v/>
      </c>
      <c r="E44" s="439"/>
      <c r="F44" s="449"/>
      <c r="G44" s="433"/>
      <c r="H44" s="433"/>
      <c r="I44" s="436"/>
      <c r="K44" s="431"/>
      <c r="L44" s="431"/>
      <c r="M44" s="431"/>
      <c r="N44" s="431"/>
    </row>
    <row r="45" spans="1:14">
      <c r="A45" s="440" t="s">
        <v>319</v>
      </c>
      <c r="B45" s="335"/>
      <c r="C45" s="336"/>
      <c r="D45" s="438" t="str">
        <f t="shared" si="1"/>
        <v/>
      </c>
      <c r="E45" s="439"/>
      <c r="F45" s="449"/>
      <c r="G45" s="433"/>
      <c r="H45" s="433"/>
      <c r="I45" s="436"/>
      <c r="K45" s="431"/>
      <c r="L45" s="431"/>
      <c r="M45" s="431"/>
      <c r="N45" s="431"/>
    </row>
    <row r="46" spans="1:14">
      <c r="A46" s="440" t="s">
        <v>414</v>
      </c>
      <c r="B46" s="441"/>
      <c r="C46" s="441"/>
      <c r="D46" s="438" t="str">
        <f t="shared" si="1"/>
        <v/>
      </c>
      <c r="E46" s="439"/>
      <c r="F46" s="449"/>
      <c r="G46" s="433"/>
      <c r="H46" s="433"/>
      <c r="I46" s="436"/>
      <c r="K46" s="431"/>
      <c r="L46" s="431"/>
      <c r="M46" s="431"/>
      <c r="N46" s="431"/>
    </row>
    <row r="47" spans="1:14">
      <c r="A47" s="440" t="s">
        <v>44</v>
      </c>
      <c r="B47" s="441"/>
      <c r="C47" s="441"/>
      <c r="D47" s="438" t="str">
        <f t="shared" si="1"/>
        <v/>
      </c>
      <c r="E47" s="439"/>
      <c r="F47" s="449"/>
      <c r="G47" s="433"/>
      <c r="H47" s="433"/>
      <c r="I47" s="436"/>
      <c r="K47" s="431"/>
      <c r="L47" s="431"/>
      <c r="M47" s="431"/>
      <c r="N47" s="431"/>
    </row>
    <row r="48" spans="1:14">
      <c r="A48" s="486" t="s">
        <v>42</v>
      </c>
      <c r="B48" s="305">
        <f>SUM(B44+B45+B46+B47)</f>
        <v>0</v>
      </c>
      <c r="C48" s="305">
        <f>SUM(C44+C45+C46+C47)</f>
        <v>0</v>
      </c>
      <c r="D48" s="438" t="str">
        <f t="shared" si="1"/>
        <v/>
      </c>
      <c r="E48" s="439"/>
      <c r="F48" s="431"/>
      <c r="G48" s="433"/>
      <c r="H48" s="433"/>
      <c r="I48" s="436"/>
      <c r="K48" s="431"/>
      <c r="L48" s="431"/>
      <c r="M48" s="431"/>
      <c r="N48" s="431"/>
    </row>
    <row r="49" spans="1:14">
      <c r="A49" s="440" t="s">
        <v>46</v>
      </c>
      <c r="B49" s="337"/>
      <c r="C49" s="336"/>
      <c r="D49" s="438" t="str">
        <f t="shared" si="1"/>
        <v/>
      </c>
      <c r="E49" s="439"/>
      <c r="F49" s="449"/>
      <c r="G49" s="433"/>
      <c r="H49" s="433"/>
      <c r="I49" s="436"/>
      <c r="K49" s="431"/>
      <c r="L49" s="431"/>
      <c r="M49" s="431"/>
      <c r="N49" s="431"/>
    </row>
    <row r="50" spans="1:14">
      <c r="A50" s="440" t="s">
        <v>48</v>
      </c>
      <c r="B50" s="441"/>
      <c r="C50" s="441"/>
      <c r="D50" s="438" t="str">
        <f t="shared" si="1"/>
        <v/>
      </c>
      <c r="E50" s="439"/>
      <c r="F50" s="449"/>
      <c r="G50" s="433"/>
      <c r="H50" s="433"/>
      <c r="I50" s="436"/>
      <c r="K50" s="431"/>
      <c r="L50" s="431"/>
      <c r="M50" s="431"/>
      <c r="N50" s="431"/>
    </row>
    <row r="51" spans="1:14">
      <c r="A51" s="440" t="s">
        <v>50</v>
      </c>
      <c r="B51" s="337"/>
      <c r="C51" s="336"/>
      <c r="D51" s="438" t="str">
        <f t="shared" si="1"/>
        <v/>
      </c>
      <c r="E51" s="439"/>
      <c r="F51" s="449"/>
      <c r="G51" s="433"/>
      <c r="H51" s="433"/>
      <c r="I51" s="436"/>
      <c r="K51" s="431"/>
      <c r="L51" s="431"/>
      <c r="M51" s="431"/>
      <c r="N51" s="431"/>
    </row>
    <row r="52" spans="1:14">
      <c r="A52" s="440" t="s">
        <v>326</v>
      </c>
      <c r="B52" s="337"/>
      <c r="C52" s="336"/>
      <c r="D52" s="438" t="str">
        <f t="shared" si="1"/>
        <v/>
      </c>
      <c r="E52" s="439"/>
      <c r="F52" s="449"/>
      <c r="G52" s="431"/>
      <c r="H52" s="431"/>
      <c r="I52" s="431"/>
      <c r="J52" s="431"/>
      <c r="K52" s="431"/>
      <c r="L52" s="431"/>
      <c r="M52" s="431"/>
      <c r="N52" s="431"/>
    </row>
    <row r="53" spans="1:14">
      <c r="A53" s="440" t="s">
        <v>51</v>
      </c>
      <c r="B53" s="441"/>
      <c r="C53" s="441"/>
      <c r="D53" s="438" t="str">
        <f t="shared" si="1"/>
        <v/>
      </c>
      <c r="E53" s="439"/>
      <c r="F53" s="449"/>
      <c r="G53" s="431"/>
      <c r="H53" s="431"/>
      <c r="I53" s="431"/>
      <c r="J53" s="431"/>
      <c r="K53" s="431"/>
    </row>
    <row r="54" spans="1:14" ht="15.75">
      <c r="A54" s="487" t="s">
        <v>52</v>
      </c>
      <c r="B54" s="339">
        <f>SUM(B38+B39+B41+B48+B49+B50+B51+B52+B53)</f>
        <v>0</v>
      </c>
      <c r="C54" s="339">
        <f>SUM(C38+C39+C41+C48+C49+C50+C51+C52+C53)</f>
        <v>0</v>
      </c>
      <c r="D54" s="438" t="str">
        <f t="shared" si="1"/>
        <v/>
      </c>
      <c r="E54" s="439"/>
      <c r="F54" s="431"/>
      <c r="G54" s="488"/>
      <c r="H54" s="489"/>
      <c r="I54" s="489"/>
      <c r="K54" s="431"/>
    </row>
    <row r="55" spans="1:14" ht="15.75">
      <c r="A55" s="477" t="s">
        <v>53</v>
      </c>
      <c r="B55" s="490"/>
      <c r="C55" s="490"/>
      <c r="D55" s="438" t="str">
        <f t="shared" si="1"/>
        <v/>
      </c>
      <c r="E55" s="439"/>
      <c r="F55" s="431"/>
      <c r="G55" s="431"/>
      <c r="H55" s="431"/>
      <c r="I55" s="431"/>
      <c r="K55" s="431"/>
    </row>
    <row r="56" spans="1:14" ht="30">
      <c r="A56" s="448" t="s">
        <v>322</v>
      </c>
      <c r="B56" s="441"/>
      <c r="C56" s="441"/>
      <c r="D56" s="438" t="str">
        <f t="shared" si="1"/>
        <v/>
      </c>
      <c r="E56" s="439"/>
      <c r="F56" s="481"/>
      <c r="G56" s="431"/>
      <c r="H56" s="431"/>
      <c r="I56" s="431"/>
      <c r="K56" s="431"/>
    </row>
    <row r="57" spans="1:14">
      <c r="A57" s="448" t="s">
        <v>323</v>
      </c>
      <c r="B57" s="441"/>
      <c r="C57" s="441"/>
      <c r="D57" s="438"/>
      <c r="E57" s="439"/>
      <c r="F57" s="481"/>
      <c r="G57" s="433"/>
      <c r="H57" s="433"/>
      <c r="I57" s="436"/>
      <c r="K57" s="431"/>
    </row>
    <row r="58" spans="1:14">
      <c r="A58" s="448" t="s">
        <v>54</v>
      </c>
      <c r="B58" s="441"/>
      <c r="C58" s="441"/>
      <c r="D58" s="438" t="str">
        <f t="shared" si="1"/>
        <v/>
      </c>
      <c r="E58" s="439"/>
      <c r="G58" s="433"/>
      <c r="H58" s="433"/>
      <c r="I58" s="436"/>
      <c r="K58" s="431"/>
    </row>
    <row r="59" spans="1:14">
      <c r="A59" s="491" t="s">
        <v>55</v>
      </c>
      <c r="B59" s="617"/>
      <c r="C59" s="617"/>
      <c r="D59" s="438" t="str">
        <f>IFERROR((C59-B59)/B59,"")</f>
        <v/>
      </c>
      <c r="E59" s="439"/>
      <c r="G59" s="433"/>
      <c r="H59" s="433"/>
      <c r="I59" s="436"/>
      <c r="K59" s="431"/>
    </row>
    <row r="60" spans="1:14">
      <c r="A60" s="344" t="s">
        <v>56</v>
      </c>
      <c r="B60" s="441"/>
      <c r="C60" s="441"/>
      <c r="D60" s="438" t="str">
        <f>IFERROR((C60-B60)/B60,"")</f>
        <v/>
      </c>
      <c r="E60" s="439"/>
      <c r="G60" s="433"/>
      <c r="H60" s="433"/>
      <c r="I60" s="436"/>
      <c r="K60" s="431"/>
    </row>
    <row r="61" spans="1:14">
      <c r="A61" s="345" t="s">
        <v>57</v>
      </c>
      <c r="B61" s="492"/>
      <c r="C61" s="492"/>
      <c r="D61" s="438" t="str">
        <f t="shared" si="1"/>
        <v/>
      </c>
      <c r="E61" s="439"/>
      <c r="G61" s="433"/>
      <c r="H61" s="433"/>
      <c r="I61" s="436"/>
      <c r="K61" s="431"/>
    </row>
    <row r="62" spans="1:14">
      <c r="A62" s="448" t="s">
        <v>58</v>
      </c>
      <c r="B62" s="441"/>
      <c r="C62" s="441"/>
      <c r="D62" s="438" t="str">
        <f t="shared" si="1"/>
        <v/>
      </c>
      <c r="E62" s="439"/>
      <c r="G62" s="433"/>
      <c r="H62" s="433"/>
      <c r="I62" s="436"/>
      <c r="K62" s="431"/>
    </row>
    <row r="63" spans="1:14">
      <c r="A63" s="448" t="s">
        <v>334</v>
      </c>
      <c r="B63" s="441"/>
      <c r="C63" s="441"/>
      <c r="D63" s="438"/>
      <c r="E63" s="439"/>
      <c r="G63" s="433"/>
      <c r="H63" s="433"/>
      <c r="I63" s="436"/>
      <c r="K63" s="431"/>
    </row>
    <row r="64" spans="1:14">
      <c r="A64" s="448" t="s">
        <v>324</v>
      </c>
      <c r="B64" s="441"/>
      <c r="C64" s="441"/>
      <c r="D64" s="438" t="str">
        <f t="shared" si="1"/>
        <v/>
      </c>
      <c r="E64" s="439"/>
      <c r="G64" s="433"/>
      <c r="H64" s="433"/>
      <c r="I64" s="436"/>
      <c r="K64" s="431"/>
    </row>
    <row r="65" spans="1:19">
      <c r="A65" s="448" t="s">
        <v>325</v>
      </c>
      <c r="B65" s="347"/>
      <c r="C65" s="336"/>
      <c r="D65" s="438" t="str">
        <f t="shared" si="1"/>
        <v/>
      </c>
      <c r="E65" s="439"/>
      <c r="G65" s="431"/>
      <c r="H65" s="431"/>
      <c r="I65" s="431"/>
      <c r="J65" s="431"/>
      <c r="K65" s="431"/>
    </row>
    <row r="66" spans="1:19">
      <c r="A66" s="448" t="s">
        <v>60</v>
      </c>
      <c r="B66" s="441"/>
      <c r="C66" s="441"/>
      <c r="D66" s="438" t="str">
        <f t="shared" si="1"/>
        <v/>
      </c>
      <c r="E66" s="439"/>
      <c r="G66" s="433"/>
      <c r="H66" s="433"/>
      <c r="I66" s="436"/>
    </row>
    <row r="67" spans="1:19" ht="30">
      <c r="A67" s="493" t="s">
        <v>61</v>
      </c>
      <c r="B67" s="441"/>
      <c r="C67" s="441"/>
      <c r="D67" s="438" t="str">
        <f t="shared" si="1"/>
        <v/>
      </c>
      <c r="E67" s="439"/>
      <c r="G67" s="433"/>
      <c r="H67" s="433"/>
      <c r="I67" s="436"/>
    </row>
    <row r="68" spans="1:19">
      <c r="A68" s="448" t="s">
        <v>59</v>
      </c>
      <c r="B68" s="347"/>
      <c r="C68" s="336"/>
      <c r="D68" s="438" t="str">
        <f t="shared" si="1"/>
        <v/>
      </c>
      <c r="E68" s="439"/>
      <c r="G68" s="433"/>
      <c r="H68" s="433"/>
      <c r="I68" s="436"/>
    </row>
    <row r="69" spans="1:19" ht="15.75">
      <c r="A69" s="487" t="s">
        <v>52</v>
      </c>
      <c r="B69" s="339">
        <f>SUM(B56:B68)+B40</f>
        <v>0</v>
      </c>
      <c r="C69" s="339">
        <f>SUM(C56:C68)+C40</f>
        <v>0</v>
      </c>
      <c r="D69" s="438" t="str">
        <f t="shared" si="1"/>
        <v/>
      </c>
      <c r="E69" s="439"/>
      <c r="G69" s="433"/>
      <c r="H69" s="433"/>
      <c r="I69" s="436"/>
    </row>
    <row r="70" spans="1:19" ht="15.75" thickBot="1">
      <c r="A70" s="349" t="s">
        <v>62</v>
      </c>
      <c r="B70" s="350">
        <f>B54-B69</f>
        <v>0</v>
      </c>
      <c r="C70" s="350">
        <f>C54-C69</f>
        <v>0</v>
      </c>
      <c r="D70" s="494"/>
      <c r="E70" s="495"/>
      <c r="G70" s="433"/>
      <c r="H70" s="433"/>
      <c r="I70" s="436"/>
    </row>
    <row r="71" spans="1:19">
      <c r="A71" s="433"/>
      <c r="B71" s="433"/>
      <c r="C71" s="433"/>
      <c r="D71" s="433"/>
      <c r="E71" s="433"/>
      <c r="G71" s="433"/>
      <c r="H71" s="433"/>
      <c r="I71" s="436"/>
      <c r="P71" s="433"/>
      <c r="Q71" s="433"/>
      <c r="R71" s="433"/>
      <c r="S71" s="433"/>
    </row>
    <row r="72" spans="1:19">
      <c r="A72" s="433"/>
      <c r="B72" s="433"/>
      <c r="C72" s="433"/>
      <c r="D72" s="433"/>
      <c r="E72" s="433"/>
      <c r="G72" s="433"/>
      <c r="H72" s="433"/>
      <c r="I72" s="436"/>
      <c r="P72" s="433"/>
      <c r="Q72" s="433"/>
      <c r="R72" s="433"/>
      <c r="S72" s="433"/>
    </row>
    <row r="73" spans="1:19">
      <c r="A73" s="433"/>
      <c r="B73" s="433"/>
      <c r="C73" s="433"/>
      <c r="D73" s="433"/>
      <c r="E73" s="433"/>
      <c r="G73" s="433"/>
      <c r="H73" s="433"/>
      <c r="I73" s="436"/>
      <c r="P73" s="433"/>
      <c r="Q73" s="433"/>
      <c r="R73" s="433"/>
      <c r="S73" s="433"/>
    </row>
    <row r="74" spans="1:19">
      <c r="A74" s="433"/>
      <c r="B74" s="433"/>
      <c r="C74" s="433"/>
      <c r="D74" s="433"/>
      <c r="E74" s="433"/>
      <c r="G74" s="433"/>
      <c r="H74" s="433"/>
      <c r="I74" s="436"/>
      <c r="P74" s="433"/>
      <c r="Q74" s="433"/>
      <c r="R74" s="433"/>
      <c r="S74" s="433"/>
    </row>
    <row r="75" spans="1:19">
      <c r="A75" s="433"/>
      <c r="B75" s="433"/>
      <c r="C75" s="433"/>
      <c r="D75" s="433"/>
      <c r="E75" s="433"/>
      <c r="G75" s="433"/>
      <c r="H75" s="433"/>
      <c r="I75" s="436"/>
      <c r="P75" s="433"/>
      <c r="Q75" s="433"/>
      <c r="R75" s="433"/>
      <c r="S75" s="433"/>
    </row>
    <row r="76" spans="1:19" ht="15.75">
      <c r="A76" s="433"/>
      <c r="B76" s="433"/>
      <c r="C76" s="433"/>
      <c r="D76" s="353"/>
      <c r="E76" s="431"/>
      <c r="G76" s="433"/>
      <c r="H76" s="433"/>
      <c r="I76" s="436"/>
      <c r="P76" s="433"/>
      <c r="Q76" s="433"/>
      <c r="R76" s="433"/>
      <c r="S76" s="433"/>
    </row>
    <row r="77" spans="1:19">
      <c r="A77" s="433"/>
      <c r="B77" s="433"/>
      <c r="C77" s="433"/>
      <c r="D77" s="354"/>
      <c r="E77" s="431"/>
      <c r="G77" s="433"/>
      <c r="H77" s="433"/>
      <c r="I77" s="436"/>
      <c r="P77" s="433"/>
      <c r="Q77" s="433"/>
      <c r="R77" s="433"/>
      <c r="S77" s="433"/>
    </row>
    <row r="78" spans="1:19">
      <c r="A78" s="433"/>
      <c r="B78" s="433"/>
      <c r="C78" s="433"/>
      <c r="D78" s="496"/>
      <c r="E78" s="431"/>
      <c r="G78" s="433"/>
      <c r="H78" s="433"/>
      <c r="I78" s="436"/>
      <c r="P78" s="433"/>
      <c r="Q78" s="433"/>
      <c r="R78" s="433"/>
      <c r="S78" s="433"/>
    </row>
    <row r="79" spans="1:19">
      <c r="A79" s="433"/>
      <c r="B79" s="433"/>
      <c r="C79" s="433"/>
      <c r="D79" s="497"/>
      <c r="E79" s="431"/>
      <c r="G79" s="433"/>
      <c r="H79" s="433"/>
      <c r="I79" s="436"/>
      <c r="P79" s="433"/>
      <c r="Q79" s="433"/>
      <c r="R79" s="433"/>
      <c r="S79" s="433"/>
    </row>
    <row r="80" spans="1:19">
      <c r="A80" s="433"/>
      <c r="B80" s="433"/>
      <c r="C80" s="433"/>
      <c r="D80" s="496"/>
      <c r="E80" s="431"/>
      <c r="G80" s="433"/>
      <c r="H80" s="433"/>
      <c r="I80" s="436"/>
      <c r="P80" s="433"/>
      <c r="Q80" s="433"/>
      <c r="R80" s="433"/>
      <c r="S80" s="433"/>
    </row>
    <row r="81" spans="1:19">
      <c r="A81" s="433"/>
      <c r="B81" s="433"/>
      <c r="C81" s="433"/>
      <c r="D81" s="496"/>
      <c r="E81" s="431"/>
      <c r="G81" s="433"/>
      <c r="H81" s="433"/>
      <c r="I81" s="436"/>
      <c r="P81" s="433"/>
      <c r="Q81" s="433"/>
      <c r="R81" s="433"/>
      <c r="S81" s="433"/>
    </row>
    <row r="82" spans="1:19">
      <c r="A82" s="433"/>
      <c r="B82" s="433"/>
      <c r="C82" s="433"/>
      <c r="D82" s="496"/>
      <c r="E82" s="431"/>
      <c r="G82" s="433"/>
      <c r="H82" s="433"/>
      <c r="I82" s="436"/>
      <c r="P82" s="433"/>
      <c r="Q82" s="433"/>
      <c r="R82" s="433"/>
      <c r="S82" s="433"/>
    </row>
    <row r="83" spans="1:19">
      <c r="A83" s="433"/>
      <c r="B83" s="433"/>
      <c r="C83" s="433"/>
      <c r="D83" s="496"/>
      <c r="E83" s="431"/>
      <c r="G83" s="433"/>
      <c r="H83" s="433"/>
      <c r="I83" s="436"/>
      <c r="P83" s="433"/>
      <c r="Q83" s="433"/>
      <c r="R83" s="433"/>
      <c r="S83" s="433"/>
    </row>
    <row r="84" spans="1:19">
      <c r="A84" s="433"/>
      <c r="B84" s="433"/>
      <c r="C84" s="433"/>
      <c r="D84" s="498"/>
      <c r="E84" s="433"/>
      <c r="G84" s="433"/>
      <c r="H84" s="433"/>
      <c r="I84" s="436"/>
      <c r="P84" s="433"/>
      <c r="Q84" s="433"/>
      <c r="R84" s="433"/>
      <c r="S84" s="433"/>
    </row>
    <row r="85" spans="1:19">
      <c r="A85" s="433"/>
      <c r="B85" s="433"/>
      <c r="C85" s="433"/>
      <c r="D85" s="496"/>
      <c r="E85" s="433"/>
      <c r="G85" s="433"/>
      <c r="H85" s="433"/>
      <c r="I85" s="436"/>
      <c r="P85" s="433"/>
      <c r="Q85" s="433"/>
      <c r="R85" s="433"/>
      <c r="S85" s="433"/>
    </row>
    <row r="86" spans="1:19">
      <c r="A86" s="433"/>
      <c r="B86" s="433"/>
      <c r="C86" s="433"/>
      <c r="D86" s="496"/>
      <c r="E86" s="433"/>
      <c r="G86" s="433"/>
      <c r="H86" s="433"/>
      <c r="I86" s="436"/>
      <c r="P86" s="433"/>
      <c r="Q86" s="433"/>
      <c r="R86" s="433"/>
      <c r="S86" s="433"/>
    </row>
    <row r="87" spans="1:19">
      <c r="A87" s="433"/>
      <c r="B87" s="433"/>
      <c r="C87" s="433"/>
      <c r="D87" s="498"/>
      <c r="E87" s="433"/>
      <c r="G87" s="433"/>
      <c r="H87" s="433"/>
      <c r="I87" s="436"/>
      <c r="P87" s="433"/>
      <c r="Q87" s="433"/>
      <c r="R87" s="433"/>
      <c r="S87" s="433"/>
    </row>
    <row r="88" spans="1:19">
      <c r="A88" s="433"/>
      <c r="B88" s="433"/>
      <c r="C88" s="433"/>
      <c r="D88" s="498"/>
      <c r="E88" s="433"/>
      <c r="G88" s="433"/>
      <c r="H88" s="433"/>
      <c r="I88" s="436"/>
      <c r="P88" s="433"/>
      <c r="Q88" s="433"/>
      <c r="R88" s="433"/>
      <c r="S88" s="433"/>
    </row>
    <row r="89" spans="1:19">
      <c r="A89" s="433"/>
      <c r="B89" s="433"/>
      <c r="C89" s="433"/>
      <c r="D89" s="496"/>
      <c r="E89" s="433"/>
      <c r="G89" s="433"/>
      <c r="H89" s="433"/>
      <c r="I89" s="436"/>
      <c r="P89" s="433"/>
      <c r="Q89" s="433"/>
      <c r="R89" s="433"/>
      <c r="S89" s="433"/>
    </row>
    <row r="90" spans="1:19">
      <c r="D90" s="499"/>
      <c r="G90" s="433"/>
      <c r="H90" s="433"/>
      <c r="I90" s="436"/>
    </row>
    <row r="91" spans="1:19">
      <c r="D91" s="419"/>
    </row>
    <row r="92" spans="1:19">
      <c r="D92" s="175"/>
    </row>
    <row r="93" spans="1:19">
      <c r="D93" s="500"/>
    </row>
    <row r="94" spans="1:19">
      <c r="D94" s="500"/>
    </row>
    <row r="95" spans="1:19">
      <c r="D95" s="500"/>
    </row>
    <row r="96" spans="1:19">
      <c r="D96" s="175"/>
    </row>
    <row r="97" spans="4:4">
      <c r="D97" s="175"/>
    </row>
    <row r="98" spans="4:4">
      <c r="D98" s="175"/>
    </row>
    <row r="99" spans="4:4">
      <c r="D99" s="500"/>
    </row>
    <row r="100" spans="4:4">
      <c r="D100" s="500"/>
    </row>
    <row r="101" spans="4:4">
      <c r="D101" s="500"/>
    </row>
    <row r="102" spans="4:4">
      <c r="D102" s="500"/>
    </row>
  </sheetData>
  <sheetProtection algorithmName="SHA-512" hashValue="u/IS8f23GTy2ste2KJHMs0+fkjKyipqhGLxbN5ZwvUU169+4dSgRCZBvKtgOLwW9I/nP+3c/XU2JMs1uhC2TJg==" saltValue="CQ0l2Hp9sqtAPreaSKb+EQ==" spinCount="100000" sheet="1" objects="1" scenarios="1" selectLockedCells="1"/>
  <protectedRanges>
    <protectedRange sqref="B34:E34 B3:E4 D5:E5 D2" name="Range5_1_6" securityDescriptor=""/>
    <protectedRange sqref="B33:C33 B8:E8" name="Range1_1_7" securityDescriptor=""/>
    <protectedRange sqref="B59:C59 E59" name="Range2_1_3" securityDescriptor=""/>
    <protectedRange sqref="E16:E17" name="Range1_1_2_3" securityDescriptor=""/>
    <protectedRange sqref="E21:E22" name="Range1_1_3_3" securityDescriptor=""/>
    <protectedRange sqref="G2:I2" name="Range5_1_3_3" securityDescriptor=""/>
    <protectedRange sqref="H6:I7 D77:D78" name="Range5_1_3_1_2" securityDescriptor=""/>
    <protectedRange sqref="E11" name="Range1_1_1_1_3" securityDescriptor=""/>
    <protectedRange sqref="B35:C35" name="Range1_1_4_2" securityDescriptor=""/>
    <protectedRange sqref="E37:E38 E40" name="Range1_1_6_1_3" securityDescriptor=""/>
    <protectedRange sqref="E50" name="Range1_1_7_1_3" securityDescriptor=""/>
    <protectedRange sqref="E53" name="Range1_3_1_3" securityDescriptor=""/>
    <protectedRange sqref="E62:E64" name="Range2_1_4_1_3" securityDescriptor=""/>
    <protectedRange sqref="B16:C17" name="Range1_1_2_1_2" securityDescriptor=""/>
    <protectedRange sqref="B21:C22" name="Range1_1_3_1_2" securityDescriptor=""/>
    <protectedRange sqref="B38:C38" name="Range1_1_6_1_1_2" securityDescriptor=""/>
    <protectedRange sqref="B50:C50" name="Range1_1_7_1_1_2" securityDescriptor=""/>
    <protectedRange sqref="B53:C53" name="Range1_3_1_1_2" securityDescriptor=""/>
    <protectedRange sqref="B40:C40" name="Range2_1_3_1_1_2" securityDescriptor=""/>
    <protectedRange sqref="B62:C64" name="Range2_1_4_1_1_2" securityDescriptor=""/>
    <protectedRange sqref="B2:C2" name="Range5_1" securityDescriptor=""/>
    <protectedRange sqref="B11:C11" name="Range1_1_1_1_1" securityDescriptor=""/>
  </protectedRanges>
  <mergeCells count="9">
    <mergeCell ref="A1:C1"/>
    <mergeCell ref="A5:C5"/>
    <mergeCell ref="J2:K2"/>
    <mergeCell ref="G5:I5"/>
    <mergeCell ref="B59:C59"/>
    <mergeCell ref="B8:C8"/>
    <mergeCell ref="G20:I20"/>
    <mergeCell ref="A33:C33"/>
    <mergeCell ref="G36:H36"/>
  </mergeCells>
  <conditionalFormatting sqref="H25:I27">
    <cfRule type="cellIs" dxfId="271" priority="7" operator="lessThan">
      <formula>90</formula>
    </cfRule>
    <cfRule type="cellIs" dxfId="270" priority="8" operator="greaterThanOrEqual">
      <formula>90</formula>
    </cfRule>
  </conditionalFormatting>
  <conditionalFormatting sqref="H28">
    <cfRule type="cellIs" dxfId="269" priority="5" operator="lessThan">
      <formula>4</formula>
    </cfRule>
    <cfRule type="cellIs" dxfId="268" priority="6" operator="greaterThanOrEqual">
      <formula>4</formula>
    </cfRule>
  </conditionalFormatting>
  <conditionalFormatting sqref="I28">
    <cfRule type="cellIs" dxfId="267" priority="1" operator="lessThan">
      <formula>4</formula>
    </cfRule>
    <cfRule type="cellIs" dxfId="266" priority="2" operator="greaterThanOrEqual">
      <formula>4</formula>
    </cfRule>
  </conditionalFormatting>
  <dataValidations count="2">
    <dataValidation type="list" allowBlank="1" showInputMessage="1" showErrorMessage="1" sqref="B3" xr:uid="{00000000-0002-0000-0300-000000000000}">
      <formula1>"Audited,UnAudited, 44ADA, 44AD"</formula1>
    </dataValidation>
    <dataValidation type="list" allowBlank="1" showInputMessage="1" showErrorMessage="1" sqref="C3" xr:uid="{00000000-0002-0000-0300-000001000000}">
      <formula1>"Audited,UnAudited,44ADA,44AD"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102"/>
  <sheetViews>
    <sheetView zoomScaleNormal="100" workbookViewId="0">
      <selection activeCell="C25" sqref="C25"/>
    </sheetView>
  </sheetViews>
  <sheetFormatPr defaultColWidth="9" defaultRowHeight="15"/>
  <cols>
    <col min="1" max="1" width="36.7109375" style="266" customWidth="1"/>
    <col min="2" max="2" width="27.42578125" style="266" customWidth="1"/>
    <col min="3" max="3" width="25.42578125" style="266" customWidth="1"/>
    <col min="4" max="4" width="15.7109375" style="266" customWidth="1"/>
    <col min="5" max="5" width="27.42578125" style="266" customWidth="1"/>
    <col min="6" max="6" width="4.28515625" style="266" customWidth="1"/>
    <col min="7" max="7" width="32.140625" style="266" bestFit="1" customWidth="1"/>
    <col min="8" max="8" width="23.5703125" style="266" customWidth="1"/>
    <col min="9" max="9" width="23.5703125" style="326" customWidth="1"/>
    <col min="10" max="10" width="7" style="266" customWidth="1"/>
    <col min="11" max="11" width="38.140625" style="266" customWidth="1"/>
    <col min="12" max="12" width="15.42578125" style="266" customWidth="1"/>
    <col min="13" max="13" width="29.140625" style="266" customWidth="1"/>
    <col min="14" max="16384" width="9" style="266"/>
  </cols>
  <sheetData>
    <row r="1" spans="1:14" ht="16.5" thickBot="1">
      <c r="A1" s="595" t="s">
        <v>2</v>
      </c>
      <c r="B1" s="596"/>
      <c r="C1" s="612"/>
      <c r="D1" s="360"/>
      <c r="E1" s="360"/>
      <c r="F1" s="361"/>
      <c r="G1" s="361"/>
      <c r="H1" s="361"/>
      <c r="I1" s="361"/>
      <c r="J1" s="361"/>
      <c r="K1" s="362"/>
      <c r="L1" s="362"/>
      <c r="M1" s="362"/>
      <c r="N1" s="362"/>
    </row>
    <row r="2" spans="1:14" ht="16.5" thickBot="1">
      <c r="A2" s="363" t="s">
        <v>3</v>
      </c>
      <c r="B2" s="268">
        <f>C2-366</f>
        <v>43555</v>
      </c>
      <c r="C2" s="269">
        <v>43921</v>
      </c>
      <c r="D2" s="364"/>
      <c r="E2" s="361"/>
      <c r="F2" s="361"/>
      <c r="G2" s="365"/>
      <c r="H2" s="365"/>
      <c r="I2" s="365"/>
      <c r="J2" s="621"/>
      <c r="K2" s="621"/>
      <c r="L2" s="361"/>
      <c r="M2" s="361"/>
      <c r="N2" s="361"/>
    </row>
    <row r="3" spans="1:14" ht="15.75">
      <c r="A3" s="366" t="s">
        <v>4</v>
      </c>
      <c r="B3" s="367" t="s">
        <v>5</v>
      </c>
      <c r="C3" s="368" t="s">
        <v>5</v>
      </c>
      <c r="D3" s="361"/>
      <c r="E3" s="361"/>
      <c r="F3" s="361"/>
      <c r="K3" s="361"/>
      <c r="L3" s="361"/>
      <c r="M3" s="361"/>
      <c r="N3" s="361"/>
    </row>
    <row r="4" spans="1:14" ht="15.75" thickBot="1">
      <c r="A4" s="369" t="s">
        <v>7</v>
      </c>
      <c r="B4" s="254">
        <f>'Financial Spread- 1'!B4</f>
        <v>43768</v>
      </c>
      <c r="C4" s="254">
        <f>'Financial Spread- 1'!C4</f>
        <v>44241</v>
      </c>
      <c r="D4" s="361"/>
      <c r="E4" s="361"/>
      <c r="F4" s="361"/>
      <c r="K4" s="361"/>
      <c r="L4" s="361"/>
      <c r="M4" s="361"/>
      <c r="N4" s="361"/>
    </row>
    <row r="5" spans="1:14" ht="15.75">
      <c r="A5" s="601" t="s">
        <v>9</v>
      </c>
      <c r="B5" s="602"/>
      <c r="C5" s="602"/>
      <c r="D5" s="370" t="s">
        <v>87</v>
      </c>
      <c r="E5" s="370" t="s">
        <v>77</v>
      </c>
      <c r="F5" s="361"/>
      <c r="G5" s="614" t="s">
        <v>6</v>
      </c>
      <c r="H5" s="615"/>
      <c r="I5" s="616"/>
      <c r="K5" s="361"/>
      <c r="L5" s="361"/>
      <c r="M5" s="361"/>
      <c r="N5" s="361"/>
    </row>
    <row r="6" spans="1:14">
      <c r="A6" s="371" t="s">
        <v>10</v>
      </c>
      <c r="B6" s="372">
        <f>'Financial Spread- 1'!B6+'Financial Spread -2'!B6</f>
        <v>0</v>
      </c>
      <c r="C6" s="372">
        <f>'Financial Spread- 1'!C6+'Financial Spread -2'!C6</f>
        <v>0</v>
      </c>
      <c r="D6" s="279" t="str">
        <f>IFERROR((C6-B6)/B6,"")</f>
        <v/>
      </c>
      <c r="E6" s="373"/>
      <c r="F6" s="361"/>
      <c r="G6" s="281" t="s">
        <v>8</v>
      </c>
      <c r="H6" s="282">
        <f>B2</f>
        <v>43555</v>
      </c>
      <c r="I6" s="283">
        <f>H6+365</f>
        <v>43920</v>
      </c>
      <c r="K6" s="361"/>
      <c r="L6" s="361"/>
      <c r="M6" s="361"/>
      <c r="N6" s="361"/>
    </row>
    <row r="7" spans="1:14" ht="30">
      <c r="A7" s="374" t="s">
        <v>11</v>
      </c>
      <c r="B7" s="372">
        <f>'Financial Spread- 1'!B7+'Financial Spread -2'!B7</f>
        <v>0</v>
      </c>
      <c r="C7" s="372">
        <f>'Financial Spread- 1'!C7+'Financial Spread -2'!C7</f>
        <v>0</v>
      </c>
      <c r="D7" s="279" t="str">
        <f>IFERROR((C7-B7)/B7,"")</f>
        <v/>
      </c>
      <c r="E7" s="373"/>
      <c r="F7" s="361"/>
      <c r="G7" s="256" t="s">
        <v>332</v>
      </c>
      <c r="H7" s="286">
        <f>B6/100000</f>
        <v>0</v>
      </c>
      <c r="I7" s="287">
        <f>C6/100000</f>
        <v>0</v>
      </c>
      <c r="K7" s="361"/>
      <c r="L7" s="361"/>
      <c r="M7" s="361"/>
      <c r="N7" s="361"/>
    </row>
    <row r="8" spans="1:14" ht="15.75">
      <c r="A8" s="375" t="s">
        <v>12</v>
      </c>
      <c r="B8" s="604"/>
      <c r="C8" s="604"/>
      <c r="D8" s="288"/>
      <c r="E8" s="373"/>
      <c r="F8" s="361"/>
      <c r="G8" s="256" t="s">
        <v>331</v>
      </c>
      <c r="H8" s="289"/>
      <c r="I8" s="298" t="str">
        <f>IFERROR((I7-H7)/H7,"")</f>
        <v/>
      </c>
      <c r="K8" s="361"/>
      <c r="L8" s="361"/>
      <c r="M8" s="361"/>
      <c r="N8" s="361"/>
    </row>
    <row r="9" spans="1:14">
      <c r="A9" s="291" t="s">
        <v>418</v>
      </c>
      <c r="B9" s="377">
        <f>'Financial Spread- 1'!B9+'Financial Spread -2'!B9</f>
        <v>0</v>
      </c>
      <c r="C9" s="377">
        <f>'Financial Spread- 1'!C9+'Financial Spread -2'!C9</f>
        <v>0</v>
      </c>
      <c r="D9" s="279" t="str">
        <f t="shared" ref="D9:D26" si="0">IFERROR((C9-B9)/B9,"")</f>
        <v/>
      </c>
      <c r="E9" s="373"/>
      <c r="F9" s="361"/>
      <c r="G9" s="256" t="s">
        <v>88</v>
      </c>
      <c r="H9" s="286">
        <f>B19/100000</f>
        <v>0</v>
      </c>
      <c r="I9" s="287">
        <f>C19/100000</f>
        <v>0</v>
      </c>
      <c r="K9" s="361"/>
      <c r="L9" s="361"/>
      <c r="M9" s="361"/>
      <c r="N9" s="361"/>
    </row>
    <row r="10" spans="1:14">
      <c r="A10" s="291" t="s">
        <v>419</v>
      </c>
      <c r="B10" s="377">
        <f>'Financial Spread- 1'!B10+'Financial Spread -2'!B10</f>
        <v>0</v>
      </c>
      <c r="C10" s="377">
        <f>'Financial Spread- 1'!C10+'Financial Spread -2'!C10</f>
        <v>0</v>
      </c>
      <c r="D10" s="279" t="str">
        <f t="shared" si="0"/>
        <v/>
      </c>
      <c r="E10" s="373"/>
      <c r="F10" s="378"/>
      <c r="G10" s="256" t="s">
        <v>13</v>
      </c>
      <c r="H10" s="286">
        <f>B23/100000</f>
        <v>0</v>
      </c>
      <c r="I10" s="287">
        <f>C23/100000</f>
        <v>0</v>
      </c>
      <c r="K10" s="361"/>
      <c r="L10" s="361"/>
      <c r="M10" s="361"/>
      <c r="N10" s="361"/>
    </row>
    <row r="11" spans="1:14">
      <c r="A11" s="291" t="s">
        <v>420</v>
      </c>
      <c r="B11" s="377">
        <f>'Financial Spread- 1'!B11+'Financial Spread -2'!B11</f>
        <v>0</v>
      </c>
      <c r="C11" s="377">
        <f>'Financial Spread- 1'!C11+'Financial Spread -2'!C11</f>
        <v>0</v>
      </c>
      <c r="D11" s="279" t="str">
        <f t="shared" si="0"/>
        <v/>
      </c>
      <c r="E11" s="373"/>
      <c r="F11" s="378"/>
      <c r="G11" s="256" t="s">
        <v>223</v>
      </c>
      <c r="H11" s="286">
        <f>B25/100000</f>
        <v>0</v>
      </c>
      <c r="I11" s="287">
        <f>C25/100000</f>
        <v>0</v>
      </c>
      <c r="K11" s="361"/>
      <c r="L11" s="361"/>
      <c r="M11" s="361"/>
      <c r="N11" s="361"/>
    </row>
    <row r="12" spans="1:14">
      <c r="A12" s="502" t="s">
        <v>86</v>
      </c>
      <c r="B12" s="377">
        <f>'Financial Spread- 1'!B12+'Financial Spread -2'!B12</f>
        <v>0</v>
      </c>
      <c r="C12" s="377">
        <f>'Financial Spread- 1'!C12+'Financial Spread -2'!C12</f>
        <v>0</v>
      </c>
      <c r="D12" s="279" t="str">
        <f t="shared" si="0"/>
        <v/>
      </c>
      <c r="E12" s="373"/>
      <c r="F12" s="378"/>
      <c r="G12" s="256" t="s">
        <v>29</v>
      </c>
      <c r="H12" s="286">
        <f>B27/100000</f>
        <v>0</v>
      </c>
      <c r="I12" s="287">
        <f>C27/100000</f>
        <v>0</v>
      </c>
      <c r="L12" s="361"/>
      <c r="M12" s="361"/>
      <c r="N12" s="361"/>
    </row>
    <row r="13" spans="1:14">
      <c r="A13" s="502" t="s">
        <v>421</v>
      </c>
      <c r="B13" s="377">
        <f>'Financial Spread- 1'!B13+'Financial Spread -2'!B13</f>
        <v>0</v>
      </c>
      <c r="C13" s="377">
        <f>'Financial Spread- 1'!C13+'Financial Spread -2'!C13</f>
        <v>0</v>
      </c>
      <c r="D13" s="279" t="str">
        <f t="shared" si="0"/>
        <v/>
      </c>
      <c r="E13" s="373"/>
      <c r="F13" s="378"/>
      <c r="G13" s="256" t="s">
        <v>14</v>
      </c>
      <c r="H13" s="293">
        <f>(B27+B24+B22+B18+B17)/100000</f>
        <v>0</v>
      </c>
      <c r="I13" s="294">
        <f>(C27+C24+C22+C18+C17)/100000</f>
        <v>0</v>
      </c>
      <c r="K13" s="199" t="s">
        <v>160</v>
      </c>
      <c r="L13" s="361"/>
      <c r="M13" s="361"/>
      <c r="N13" s="361"/>
    </row>
    <row r="14" spans="1:14" ht="15.75">
      <c r="A14" s="375" t="s">
        <v>17</v>
      </c>
      <c r="B14" s="296">
        <f>B6+B7-(B10+B12+B13-B11)</f>
        <v>0</v>
      </c>
      <c r="C14" s="296">
        <f>C6+C7-(C10+C12+C13-C11)</f>
        <v>0</v>
      </c>
      <c r="D14" s="279" t="str">
        <f t="shared" si="0"/>
        <v/>
      </c>
      <c r="E14" s="373"/>
      <c r="F14" s="361"/>
      <c r="G14" s="256" t="s">
        <v>15</v>
      </c>
      <c r="H14" s="297" t="str">
        <f>IFERROR(B14/(B7+B6),"")</f>
        <v/>
      </c>
      <c r="I14" s="298" t="str">
        <f>IFERROR(C14/(C7+C6),"")</f>
        <v/>
      </c>
      <c r="K14" s="181"/>
      <c r="L14" s="361"/>
      <c r="M14" s="361"/>
      <c r="N14" s="361"/>
    </row>
    <row r="15" spans="1:14">
      <c r="A15" s="374" t="s">
        <v>19</v>
      </c>
      <c r="B15" s="377">
        <f>'Financial Spread- 1'!B15+'Financial Spread -2'!B15</f>
        <v>0</v>
      </c>
      <c r="C15" s="377">
        <f>'Financial Spread- 1'!C15+'Financial Spread -2'!C15</f>
        <v>0</v>
      </c>
      <c r="D15" s="279" t="str">
        <f t="shared" si="0"/>
        <v/>
      </c>
      <c r="E15" s="373"/>
      <c r="F15" s="378"/>
      <c r="G15" s="256" t="s">
        <v>330</v>
      </c>
      <c r="H15" s="299" t="str">
        <f>IFERROR(H11/H7,"")</f>
        <v/>
      </c>
      <c r="I15" s="300" t="str">
        <f>IFERROR(I11/I7,"")</f>
        <v/>
      </c>
      <c r="K15" s="181"/>
      <c r="L15" s="361"/>
      <c r="M15" s="361"/>
      <c r="N15" s="361"/>
    </row>
    <row r="16" spans="1:14">
      <c r="A16" s="374" t="s">
        <v>21</v>
      </c>
      <c r="B16" s="377">
        <f>'Financial Spread- 1'!B16+'Financial Spread -2'!B16</f>
        <v>0</v>
      </c>
      <c r="C16" s="377">
        <f>'Financial Spread- 1'!C16+'Financial Spread -2'!C16</f>
        <v>0</v>
      </c>
      <c r="D16" s="279" t="str">
        <f t="shared" si="0"/>
        <v/>
      </c>
      <c r="E16" s="373"/>
      <c r="F16" s="361"/>
      <c r="G16" s="256" t="s">
        <v>16</v>
      </c>
      <c r="H16" s="293">
        <f>SUM(B49+B50+B51+B52+B44)/100000</f>
        <v>0</v>
      </c>
      <c r="I16" s="294">
        <f>SUM(C49+C50+C51+C52+C44)/100000</f>
        <v>0</v>
      </c>
      <c r="K16" s="199" t="s">
        <v>163</v>
      </c>
      <c r="L16" s="361"/>
      <c r="M16" s="361"/>
      <c r="N16" s="361"/>
    </row>
    <row r="17" spans="1:14" ht="30">
      <c r="A17" s="376" t="s">
        <v>22</v>
      </c>
      <c r="B17" s="377">
        <f>'Financial Spread- 1'!B17+'Financial Spread -2'!B17</f>
        <v>0</v>
      </c>
      <c r="C17" s="377">
        <f>'Financial Spread- 1'!C17+'Financial Spread -2'!C17</f>
        <v>0</v>
      </c>
      <c r="D17" s="279" t="str">
        <f t="shared" si="0"/>
        <v/>
      </c>
      <c r="E17" s="373"/>
      <c r="F17" s="361"/>
      <c r="G17" s="256" t="s">
        <v>24</v>
      </c>
      <c r="H17" s="293">
        <f>SUM(B58+B60+B61+B62+B63+B64+B65+B66+B68)/100000</f>
        <v>0</v>
      </c>
      <c r="I17" s="294">
        <f>SUM(C58+C60+C61+C62+C63+C64+C65+C66+C68)/100000</f>
        <v>0</v>
      </c>
      <c r="K17" s="199" t="s">
        <v>161</v>
      </c>
      <c r="L17" s="361"/>
      <c r="M17" s="361"/>
      <c r="N17" s="361"/>
    </row>
    <row r="18" spans="1:14">
      <c r="A18" s="374" t="s">
        <v>23</v>
      </c>
      <c r="B18" s="377">
        <f>'Financial Spread- 1'!B18+'Financial Spread -2'!B18</f>
        <v>0</v>
      </c>
      <c r="C18" s="377">
        <f>'Financial Spread- 1'!C18+'Financial Spread -2'!C18</f>
        <v>0</v>
      </c>
      <c r="D18" s="279" t="str">
        <f t="shared" si="0"/>
        <v/>
      </c>
      <c r="E18" s="373"/>
      <c r="F18" s="378"/>
      <c r="G18" s="256" t="s">
        <v>18</v>
      </c>
      <c r="H18" s="293">
        <f>(B48-B44)/100000</f>
        <v>0</v>
      </c>
      <c r="I18" s="294">
        <f>(C48-C44)/100000</f>
        <v>0</v>
      </c>
      <c r="K18" s="199" t="s">
        <v>335</v>
      </c>
      <c r="L18" s="361"/>
      <c r="M18" s="361"/>
      <c r="N18" s="361"/>
    </row>
    <row r="19" spans="1:14" ht="16.5" thickBot="1">
      <c r="A19" s="375" t="s">
        <v>25</v>
      </c>
      <c r="B19" s="296">
        <f>B14-B15-B16-B18</f>
        <v>0</v>
      </c>
      <c r="C19" s="296">
        <f>C14-C15-C16-C18</f>
        <v>0</v>
      </c>
      <c r="D19" s="279" t="str">
        <f t="shared" si="0"/>
        <v/>
      </c>
      <c r="E19" s="373"/>
      <c r="F19" s="361"/>
      <c r="G19" s="321" t="s">
        <v>20</v>
      </c>
      <c r="H19" s="379">
        <f>B43/100000</f>
        <v>0</v>
      </c>
      <c r="I19" s="380">
        <f>C43/100000</f>
        <v>0</v>
      </c>
      <c r="K19" s="199" t="s">
        <v>159</v>
      </c>
      <c r="L19" s="361"/>
      <c r="M19" s="361"/>
      <c r="N19" s="361"/>
    </row>
    <row r="20" spans="1:14">
      <c r="A20" s="374" t="s">
        <v>183</v>
      </c>
      <c r="B20" s="377">
        <f>'Financial Spread- 1'!B20+'Financial Spread -2'!B20</f>
        <v>0</v>
      </c>
      <c r="C20" s="377">
        <f>'Financial Spread- 1'!C20+'Financial Spread -2'!C20</f>
        <v>0</v>
      </c>
      <c r="D20" s="279" t="str">
        <f t="shared" si="0"/>
        <v/>
      </c>
      <c r="E20" s="373"/>
      <c r="F20" s="378"/>
      <c r="G20" s="618" t="s">
        <v>412</v>
      </c>
      <c r="H20" s="619"/>
      <c r="I20" s="620"/>
      <c r="K20" s="181"/>
      <c r="L20" s="361"/>
      <c r="M20" s="361"/>
      <c r="N20" s="361"/>
    </row>
    <row r="21" spans="1:14">
      <c r="A21" s="374" t="s">
        <v>182</v>
      </c>
      <c r="B21" s="377">
        <f>'Financial Spread- 1'!B21+'Financial Spread -2'!B21</f>
        <v>0</v>
      </c>
      <c r="C21" s="377">
        <f>'Financial Spread- 1'!C21+'Financial Spread -2'!C21</f>
        <v>0</v>
      </c>
      <c r="D21" s="279" t="str">
        <f t="shared" si="0"/>
        <v/>
      </c>
      <c r="E21" s="373"/>
      <c r="F21" s="361"/>
      <c r="G21" s="112" t="s">
        <v>8</v>
      </c>
      <c r="H21" s="113">
        <f>B2</f>
        <v>43555</v>
      </c>
      <c r="I21" s="182">
        <f>H21+365</f>
        <v>43920</v>
      </c>
      <c r="K21" s="181"/>
      <c r="L21" s="361"/>
      <c r="M21" s="361"/>
      <c r="N21" s="361"/>
    </row>
    <row r="22" spans="1:14">
      <c r="A22" s="374" t="s">
        <v>26</v>
      </c>
      <c r="B22" s="377">
        <f>'Financial Spread- 1'!B22+'Financial Spread -2'!B22</f>
        <v>0</v>
      </c>
      <c r="C22" s="377">
        <f>'Financial Spread- 1'!C22+'Financial Spread -2'!C22</f>
        <v>0</v>
      </c>
      <c r="D22" s="279" t="str">
        <f t="shared" si="0"/>
        <v/>
      </c>
      <c r="E22" s="373"/>
      <c r="F22" s="361"/>
      <c r="G22" s="256" t="s">
        <v>33</v>
      </c>
      <c r="H22" s="301">
        <f>IFERROR((B60+B61)/100000,"")</f>
        <v>0</v>
      </c>
      <c r="I22" s="302">
        <f>IFERROR((C60+C61)/100000,"")</f>
        <v>0</v>
      </c>
      <c r="K22" s="181"/>
      <c r="L22" s="361"/>
      <c r="M22" s="361"/>
      <c r="N22" s="361"/>
    </row>
    <row r="23" spans="1:14" ht="31.5">
      <c r="A23" s="375" t="s">
        <v>399</v>
      </c>
      <c r="B23" s="303">
        <f>B19-B20-B21-B22-B17+B9</f>
        <v>0</v>
      </c>
      <c r="C23" s="303">
        <f>C19-C20-C21-C22-C17+C9</f>
        <v>0</v>
      </c>
      <c r="D23" s="279" t="str">
        <f t="shared" si="0"/>
        <v/>
      </c>
      <c r="E23" s="373"/>
      <c r="F23" s="361"/>
      <c r="G23" s="256" t="s">
        <v>37</v>
      </c>
      <c r="H23" s="301">
        <f>IFERROR(B49/100000,"")</f>
        <v>0</v>
      </c>
      <c r="I23" s="302">
        <f>IFERROR(C49/100000,"")</f>
        <v>0</v>
      </c>
      <c r="K23" s="181"/>
      <c r="L23" s="361"/>
      <c r="M23" s="361"/>
      <c r="N23" s="361"/>
    </row>
    <row r="24" spans="1:14">
      <c r="A24" s="374" t="s">
        <v>27</v>
      </c>
      <c r="B24" s="377">
        <f>'Financial Spread- 1'!B24+'Financial Spread -2'!B24</f>
        <v>0</v>
      </c>
      <c r="C24" s="377">
        <f>'Financial Spread- 1'!C24+'Financial Spread -2'!C24</f>
        <v>0</v>
      </c>
      <c r="D24" s="279" t="str">
        <f t="shared" si="0"/>
        <v/>
      </c>
      <c r="E24" s="373"/>
      <c r="F24" s="378"/>
      <c r="G24" s="256" t="s">
        <v>40</v>
      </c>
      <c r="H24" s="301">
        <f>IFERROR(B58/100000,"")</f>
        <v>0</v>
      </c>
      <c r="I24" s="302">
        <f>IFERROR(C58/100000,"")</f>
        <v>0</v>
      </c>
      <c r="K24" s="181"/>
      <c r="L24" s="361"/>
      <c r="M24" s="361"/>
      <c r="N24" s="361"/>
    </row>
    <row r="25" spans="1:14" ht="16.5" thickBot="1">
      <c r="A25" s="381" t="s">
        <v>225</v>
      </c>
      <c r="B25" s="305">
        <f>B23-B24</f>
        <v>0</v>
      </c>
      <c r="C25" s="305">
        <f>C23-C24</f>
        <v>0</v>
      </c>
      <c r="D25" s="279" t="str">
        <f t="shared" si="0"/>
        <v/>
      </c>
      <c r="E25" s="373"/>
      <c r="F25" s="378"/>
      <c r="G25" s="256" t="s">
        <v>35</v>
      </c>
      <c r="H25" s="306" t="str">
        <f>IFERROR(ROUND((H22*100000)/B6*365,0),"")</f>
        <v/>
      </c>
      <c r="I25" s="307" t="str">
        <f>IFERROR(ROUND((I22*100000)/C6*365,0),"")</f>
        <v/>
      </c>
      <c r="K25" s="181" t="s">
        <v>156</v>
      </c>
      <c r="L25" s="361"/>
      <c r="M25" s="361"/>
      <c r="N25" s="361"/>
    </row>
    <row r="26" spans="1:14">
      <c r="A26" s="374" t="s">
        <v>28</v>
      </c>
      <c r="B26" s="377">
        <f>'Financial Spread- 1'!B26+'Financial Spread -2'!B26</f>
        <v>0</v>
      </c>
      <c r="C26" s="377">
        <f>'Financial Spread- 1'!C26+'Financial Spread -2'!C26</f>
        <v>0</v>
      </c>
      <c r="D26" s="279" t="str">
        <f t="shared" si="0"/>
        <v/>
      </c>
      <c r="E26" s="373"/>
      <c r="F26" s="378"/>
      <c r="G26" s="256" t="s">
        <v>38</v>
      </c>
      <c r="H26" s="301" t="str">
        <f>IFERROR(ROUND((H23*100000/B12)*365,0),"")</f>
        <v/>
      </c>
      <c r="I26" s="302" t="str">
        <f>IFERROR(ROUND((I23*100000/C12)*365,0),"")</f>
        <v/>
      </c>
      <c r="K26" s="181" t="s">
        <v>157</v>
      </c>
      <c r="L26" s="361"/>
      <c r="M26" s="361"/>
      <c r="N26" s="361"/>
    </row>
    <row r="27" spans="1:14" ht="16.5" thickBot="1">
      <c r="A27" s="381" t="s">
        <v>29</v>
      </c>
      <c r="B27" s="308">
        <f>+B25-B26</f>
        <v>0</v>
      </c>
      <c r="C27" s="308">
        <f>C25-C26</f>
        <v>0</v>
      </c>
      <c r="D27" s="279" t="str">
        <f>IFERROR((C27-B27)/B27,"")</f>
        <v/>
      </c>
      <c r="E27" s="382"/>
      <c r="F27" s="378"/>
      <c r="G27" s="256" t="s">
        <v>41</v>
      </c>
      <c r="H27" s="301" t="str">
        <f>IFERROR(ROUND(B58/(B10+B12+B13-B11)*365,0),"")</f>
        <v/>
      </c>
      <c r="I27" s="301" t="str">
        <f>IFERROR(ROUND(C58/(C10+C12+C13-C11)*365,0),"")</f>
        <v/>
      </c>
      <c r="K27" s="199" t="s">
        <v>158</v>
      </c>
      <c r="L27" s="361"/>
      <c r="M27" s="361"/>
      <c r="N27" s="361"/>
    </row>
    <row r="28" spans="1:14" ht="15.75" thickBot="1">
      <c r="F28" s="361"/>
      <c r="G28" s="256" t="s">
        <v>398</v>
      </c>
      <c r="H28" s="301" t="str">
        <f>IFERROR((B10+B12+B13-B11)/((B10+B11)/2),"")</f>
        <v/>
      </c>
      <c r="I28" s="301" t="str">
        <f>IFERROR((C10+C12+C13-C11)/((C10+C11)/2),"")</f>
        <v/>
      </c>
      <c r="K28" s="179" t="s">
        <v>422</v>
      </c>
      <c r="L28" s="361"/>
      <c r="M28" s="361"/>
      <c r="N28" s="361"/>
    </row>
    <row r="29" spans="1:14" ht="45.75" thickBot="1">
      <c r="A29" s="176" t="s">
        <v>328</v>
      </c>
      <c r="B29" s="383">
        <f>'Financial Spread- 1'!B29+'Financial Spread -2'!B29</f>
        <v>0</v>
      </c>
      <c r="C29" s="384">
        <f>'Financial Spread- 1'!C29+'Financial Spread -2'!C29</f>
        <v>0</v>
      </c>
      <c r="E29" s="385"/>
      <c r="F29" s="361"/>
      <c r="G29" s="256" t="s">
        <v>43</v>
      </c>
      <c r="H29" s="301">
        <f>H17-H16</f>
        <v>0</v>
      </c>
      <c r="I29" s="302">
        <f>I17-I16</f>
        <v>0</v>
      </c>
      <c r="K29" s="181" t="s">
        <v>162</v>
      </c>
      <c r="L29" s="361"/>
      <c r="M29" s="361"/>
      <c r="N29" s="361"/>
    </row>
    <row r="30" spans="1:14" ht="15.75" thickBot="1">
      <c r="A30" s="177" t="s">
        <v>327</v>
      </c>
      <c r="B30" s="383">
        <f>'Financial Spread- 1'!B30+'Financial Spread -2'!B30</f>
        <v>0</v>
      </c>
      <c r="C30" s="384">
        <f>'Financial Spread- 1'!C30+'Financial Spread -2'!C30</f>
        <v>0</v>
      </c>
      <c r="E30" s="385"/>
      <c r="F30" s="361"/>
      <c r="G30" s="256" t="s">
        <v>45</v>
      </c>
      <c r="H30" s="312" t="str">
        <f>IFERROR(H17/H16,"")</f>
        <v/>
      </c>
      <c r="I30" s="313" t="str">
        <f>IFERROR(I17/I16,"")</f>
        <v/>
      </c>
      <c r="K30" s="181" t="s">
        <v>164</v>
      </c>
      <c r="L30" s="361"/>
      <c r="M30" s="361"/>
      <c r="N30" s="361"/>
    </row>
    <row r="31" spans="1:14" ht="30.75" thickBot="1">
      <c r="A31" s="178" t="s">
        <v>329</v>
      </c>
      <c r="B31" s="314">
        <f>B29-B30</f>
        <v>0</v>
      </c>
      <c r="C31" s="386">
        <f>C29-C30</f>
        <v>0</v>
      </c>
      <c r="F31" s="361"/>
      <c r="G31" s="256" t="s">
        <v>47</v>
      </c>
      <c r="H31" s="312" t="str">
        <f>IFERROR((H17-H24)/H16,"")</f>
        <v/>
      </c>
      <c r="I31" s="313" t="str">
        <f>IFERROR((I17-I24)/I16,"")</f>
        <v/>
      </c>
      <c r="K31" s="200" t="s">
        <v>336</v>
      </c>
      <c r="L31" s="361"/>
      <c r="M31" s="361"/>
      <c r="N31" s="361"/>
    </row>
    <row r="32" spans="1:14" ht="15.75" thickBot="1">
      <c r="F32" s="361"/>
      <c r="G32" s="289" t="s">
        <v>49</v>
      </c>
      <c r="H32" s="312" t="str">
        <f>IFERROR(B19/(B20+B21),"")</f>
        <v/>
      </c>
      <c r="I32" s="312" t="str">
        <f>IFERROR(C19/(C20+C21),"")</f>
        <v/>
      </c>
      <c r="K32" s="199" t="s">
        <v>413</v>
      </c>
      <c r="L32" s="361"/>
      <c r="M32" s="361"/>
      <c r="N32" s="361"/>
    </row>
    <row r="33" spans="1:14" ht="16.5" thickBot="1">
      <c r="A33" s="605" t="s">
        <v>30</v>
      </c>
      <c r="B33" s="606"/>
      <c r="C33" s="607"/>
      <c r="D33" s="316"/>
      <c r="E33" s="317"/>
      <c r="F33" s="361"/>
      <c r="G33" s="321" t="s">
        <v>177</v>
      </c>
      <c r="H33" s="322" t="str">
        <f>IFERROR(H18/H19,"")</f>
        <v/>
      </c>
      <c r="I33" s="323" t="str">
        <f>IFERROR(I18/I19,"")</f>
        <v/>
      </c>
      <c r="K33" s="181" t="s">
        <v>179</v>
      </c>
      <c r="L33" s="361"/>
      <c r="M33" s="361"/>
      <c r="N33" s="361"/>
    </row>
    <row r="34" spans="1:14" ht="15.75">
      <c r="A34" s="387" t="s">
        <v>3</v>
      </c>
      <c r="B34" s="319">
        <f>B2</f>
        <v>43555</v>
      </c>
      <c r="C34" s="319">
        <f>B34+365</f>
        <v>43920</v>
      </c>
      <c r="D34" s="319" t="s">
        <v>87</v>
      </c>
      <c r="E34" s="320" t="s">
        <v>77</v>
      </c>
      <c r="F34" s="361"/>
      <c r="G34" s="289" t="s">
        <v>333</v>
      </c>
      <c r="H34" s="312" t="str">
        <f>IFERROR((H18+H16)/H19,"")</f>
        <v/>
      </c>
      <c r="I34" s="312" t="str">
        <f>IFERROR((I18+I16)/I19,"")</f>
        <v/>
      </c>
      <c r="K34" s="201" t="s">
        <v>178</v>
      </c>
      <c r="L34" s="361"/>
      <c r="M34" s="361"/>
      <c r="N34" s="361"/>
    </row>
    <row r="35" spans="1:14" ht="15.75">
      <c r="A35" s="388" t="s">
        <v>31</v>
      </c>
      <c r="B35" s="377"/>
      <c r="C35" s="377"/>
      <c r="D35" s="289"/>
      <c r="E35" s="389"/>
      <c r="F35" s="361"/>
      <c r="K35" s="181"/>
      <c r="L35" s="361"/>
      <c r="M35" s="361"/>
      <c r="N35" s="361"/>
    </row>
    <row r="36" spans="1:14">
      <c r="A36" s="374" t="s">
        <v>32</v>
      </c>
      <c r="B36" s="377">
        <f>'Financial Spread- 1'!B36+'Financial Spread -2'!B36</f>
        <v>0</v>
      </c>
      <c r="C36" s="377">
        <f>'Financial Spread- 1'!C36+'Financial Spread -2'!C36</f>
        <v>0</v>
      </c>
      <c r="D36" s="279" t="str">
        <f t="shared" ref="D36:D69" si="1">IFERROR((C36-B36)/B36,"")</f>
        <v/>
      </c>
      <c r="E36" s="373"/>
      <c r="F36" s="390"/>
      <c r="G36" s="622"/>
      <c r="H36" s="622"/>
      <c r="I36" s="391"/>
      <c r="J36" s="361"/>
      <c r="K36" s="361"/>
      <c r="L36" s="361"/>
      <c r="M36" s="361"/>
      <c r="N36" s="361"/>
    </row>
    <row r="37" spans="1:14">
      <c r="A37" s="374" t="s">
        <v>34</v>
      </c>
      <c r="B37" s="377">
        <f>'Financial Spread- 1'!B37+'Financial Spread -2'!B37</f>
        <v>0</v>
      </c>
      <c r="C37" s="377">
        <f>'Financial Spread- 1'!C37+'Financial Spread -2'!C37</f>
        <v>0</v>
      </c>
      <c r="D37" s="279" t="str">
        <f t="shared" si="1"/>
        <v/>
      </c>
      <c r="E37" s="373"/>
      <c r="F37" s="361"/>
      <c r="G37" s="385"/>
      <c r="H37" s="392"/>
      <c r="I37" s="393"/>
      <c r="K37" s="361"/>
      <c r="L37" s="361"/>
      <c r="M37" s="361"/>
      <c r="N37" s="361"/>
    </row>
    <row r="38" spans="1:14" ht="30">
      <c r="A38" s="374" t="s">
        <v>36</v>
      </c>
      <c r="B38" s="377">
        <f>'Financial Spread- 1'!B38+'Financial Spread -2'!B38</f>
        <v>0</v>
      </c>
      <c r="C38" s="377">
        <f>'Financial Spread- 1'!C38+'Financial Spread -2'!C38</f>
        <v>0</v>
      </c>
      <c r="D38" s="279" t="str">
        <f t="shared" si="1"/>
        <v/>
      </c>
      <c r="E38" s="373"/>
      <c r="F38" s="378"/>
      <c r="H38" s="394"/>
      <c r="I38" s="395"/>
      <c r="K38" s="361"/>
      <c r="L38" s="361"/>
      <c r="M38" s="361"/>
      <c r="N38" s="361"/>
    </row>
    <row r="39" spans="1:14">
      <c r="A39" s="396" t="s">
        <v>316</v>
      </c>
      <c r="B39" s="305">
        <f>B36+B37</f>
        <v>0</v>
      </c>
      <c r="C39" s="305">
        <f>C36+C37</f>
        <v>0</v>
      </c>
      <c r="D39" s="279" t="str">
        <f t="shared" si="1"/>
        <v/>
      </c>
      <c r="E39" s="373"/>
      <c r="F39" s="378"/>
      <c r="K39" s="361"/>
      <c r="L39" s="361"/>
      <c r="M39" s="361"/>
      <c r="N39" s="361"/>
    </row>
    <row r="40" spans="1:14">
      <c r="A40" s="374" t="s">
        <v>317</v>
      </c>
      <c r="B40" s="377">
        <f>'Financial Spread- 1'!B40+'Financial Spread -2'!B40</f>
        <v>0</v>
      </c>
      <c r="C40" s="377">
        <f>'Financial Spread- 1'!C40+'Financial Spread -2'!C40</f>
        <v>0</v>
      </c>
      <c r="D40" s="279" t="str">
        <f t="shared" si="1"/>
        <v/>
      </c>
      <c r="E40" s="373"/>
      <c r="F40" s="361"/>
      <c r="H40" s="392"/>
      <c r="I40" s="393"/>
      <c r="K40" s="361"/>
      <c r="L40" s="361"/>
      <c r="M40" s="361"/>
      <c r="N40" s="361"/>
    </row>
    <row r="41" spans="1:14" ht="30">
      <c r="A41" s="374" t="s">
        <v>318</v>
      </c>
      <c r="B41" s="377">
        <f>'Financial Spread- 1'!B41+'Financial Spread -2'!B41</f>
        <v>0</v>
      </c>
      <c r="C41" s="377">
        <f>'Financial Spread- 1'!C41+'Financial Spread -2'!C41</f>
        <v>0</v>
      </c>
      <c r="D41" s="279" t="str">
        <f t="shared" si="1"/>
        <v/>
      </c>
      <c r="E41" s="373"/>
      <c r="F41" s="378"/>
      <c r="K41" s="361"/>
      <c r="L41" s="361"/>
      <c r="M41" s="361"/>
      <c r="N41" s="361"/>
    </row>
    <row r="42" spans="1:14">
      <c r="A42" s="374" t="s">
        <v>320</v>
      </c>
      <c r="B42" s="377">
        <f>'Financial Spread- 1'!B42+'Financial Spread -2'!B42</f>
        <v>0</v>
      </c>
      <c r="C42" s="377">
        <f>'Financial Spread- 1'!C42+'Financial Spread -2'!C42</f>
        <v>0</v>
      </c>
      <c r="D42" s="279" t="str">
        <f t="shared" si="1"/>
        <v/>
      </c>
      <c r="E42" s="373"/>
      <c r="F42" s="378"/>
      <c r="K42" s="361"/>
      <c r="L42" s="361"/>
      <c r="M42" s="361"/>
      <c r="N42" s="361"/>
    </row>
    <row r="43" spans="1:14">
      <c r="A43" s="396" t="s">
        <v>321</v>
      </c>
      <c r="B43" s="305">
        <f>B39+B41-B40-B42-B57-B61</f>
        <v>0</v>
      </c>
      <c r="C43" s="305">
        <f>(C39+C41-C40-C42-C57-C61)</f>
        <v>0</v>
      </c>
      <c r="D43" s="279"/>
      <c r="E43" s="373"/>
      <c r="F43" s="378"/>
      <c r="K43" s="361"/>
      <c r="L43" s="361"/>
      <c r="M43" s="361"/>
      <c r="N43" s="361"/>
    </row>
    <row r="44" spans="1:14" ht="30">
      <c r="A44" s="374" t="s">
        <v>39</v>
      </c>
      <c r="B44" s="397">
        <f>'Financial Spread- 1'!B44+'Financial Spread -2'!B44</f>
        <v>0</v>
      </c>
      <c r="C44" s="398">
        <f>'Financial Spread- 1'!C44+'Financial Spread -2'!C44</f>
        <v>0</v>
      </c>
      <c r="D44" s="279" t="str">
        <f t="shared" si="1"/>
        <v/>
      </c>
      <c r="E44" s="373"/>
      <c r="F44" s="378"/>
      <c r="K44" s="361"/>
      <c r="L44" s="361"/>
      <c r="M44" s="361"/>
      <c r="N44" s="361"/>
    </row>
    <row r="45" spans="1:14">
      <c r="A45" s="374" t="s">
        <v>319</v>
      </c>
      <c r="B45" s="397">
        <f>'Financial Spread- 1'!B45+'Financial Spread -2'!B45</f>
        <v>0</v>
      </c>
      <c r="C45" s="398">
        <f>'Financial Spread- 1'!C45+'Financial Spread -2'!C45</f>
        <v>0</v>
      </c>
      <c r="D45" s="279" t="str">
        <f t="shared" si="1"/>
        <v/>
      </c>
      <c r="E45" s="373"/>
      <c r="F45" s="378"/>
      <c r="K45" s="361"/>
      <c r="L45" s="361"/>
      <c r="M45" s="361"/>
      <c r="N45" s="361"/>
    </row>
    <row r="46" spans="1:14">
      <c r="A46" s="430" t="s">
        <v>414</v>
      </c>
      <c r="B46" s="397">
        <f>'Financial Spread- 1'!B46+'Financial Spread -2'!B46</f>
        <v>0</v>
      </c>
      <c r="C46" s="398">
        <f>'Financial Spread- 1'!C46+'Financial Spread -2'!C46</f>
        <v>0</v>
      </c>
      <c r="D46" s="279" t="str">
        <f t="shared" si="1"/>
        <v/>
      </c>
      <c r="E46" s="373"/>
      <c r="F46" s="378"/>
      <c r="K46" s="361"/>
      <c r="L46" s="361"/>
      <c r="M46" s="361"/>
      <c r="N46" s="361"/>
    </row>
    <row r="47" spans="1:14">
      <c r="A47" s="374" t="s">
        <v>44</v>
      </c>
      <c r="B47" s="397">
        <f>'Financial Spread- 1'!B47+'Financial Spread -2'!B47</f>
        <v>0</v>
      </c>
      <c r="C47" s="398">
        <f>'Financial Spread- 1'!C47+'Financial Spread -2'!C47</f>
        <v>0</v>
      </c>
      <c r="D47" s="279" t="str">
        <f t="shared" si="1"/>
        <v/>
      </c>
      <c r="E47" s="373"/>
      <c r="F47" s="378"/>
      <c r="K47" s="361"/>
      <c r="L47" s="361"/>
      <c r="M47" s="361"/>
      <c r="N47" s="361"/>
    </row>
    <row r="48" spans="1:14">
      <c r="A48" s="396" t="s">
        <v>42</v>
      </c>
      <c r="B48" s="305">
        <f>SUM(B44+B45+B46+B47)</f>
        <v>0</v>
      </c>
      <c r="C48" s="305">
        <f>SUM(C44+C45+C46+C47)</f>
        <v>0</v>
      </c>
      <c r="D48" s="279" t="str">
        <f t="shared" si="1"/>
        <v/>
      </c>
      <c r="E48" s="373"/>
      <c r="F48" s="361"/>
      <c r="K48" s="361"/>
      <c r="L48" s="361"/>
      <c r="M48" s="361"/>
      <c r="N48" s="361"/>
    </row>
    <row r="49" spans="1:14">
      <c r="A49" s="374" t="s">
        <v>46</v>
      </c>
      <c r="B49" s="399">
        <f>'Financial Spread- 1'!B49+'Financial Spread -2'!B49</f>
        <v>0</v>
      </c>
      <c r="C49" s="398">
        <f>'Financial Spread- 1'!C49+'Financial Spread -2'!C49</f>
        <v>0</v>
      </c>
      <c r="D49" s="279" t="str">
        <f t="shared" si="1"/>
        <v/>
      </c>
      <c r="E49" s="373"/>
      <c r="F49" s="378"/>
      <c r="K49" s="361"/>
      <c r="L49" s="361"/>
      <c r="M49" s="361"/>
      <c r="N49" s="361"/>
    </row>
    <row r="50" spans="1:14">
      <c r="A50" s="374" t="s">
        <v>48</v>
      </c>
      <c r="B50" s="399">
        <f>'Financial Spread- 1'!B50+'Financial Spread -2'!B50</f>
        <v>0</v>
      </c>
      <c r="C50" s="398">
        <f>'Financial Spread- 1'!C50+'Financial Spread -2'!C50</f>
        <v>0</v>
      </c>
      <c r="D50" s="279" t="str">
        <f t="shared" si="1"/>
        <v/>
      </c>
      <c r="E50" s="373"/>
      <c r="F50" s="378"/>
      <c r="K50" s="361"/>
      <c r="L50" s="361"/>
      <c r="M50" s="361"/>
      <c r="N50" s="361"/>
    </row>
    <row r="51" spans="1:14">
      <c r="A51" s="374" t="s">
        <v>50</v>
      </c>
      <c r="B51" s="399">
        <f>'Financial Spread- 1'!B51+'Financial Spread -2'!B51</f>
        <v>0</v>
      </c>
      <c r="C51" s="398">
        <f>'Financial Spread- 1'!C51+'Financial Spread -2'!C51</f>
        <v>0</v>
      </c>
      <c r="D51" s="279" t="str">
        <f t="shared" si="1"/>
        <v/>
      </c>
      <c r="E51" s="373"/>
      <c r="F51" s="378"/>
      <c r="K51" s="361"/>
      <c r="L51" s="361"/>
      <c r="M51" s="361"/>
      <c r="N51" s="361"/>
    </row>
    <row r="52" spans="1:14">
      <c r="A52" s="374" t="s">
        <v>326</v>
      </c>
      <c r="B52" s="399">
        <f>'Financial Spread- 1'!B52+'Financial Spread -2'!B52</f>
        <v>0</v>
      </c>
      <c r="C52" s="398">
        <f>'Financial Spread- 1'!C52+'Financial Spread -2'!C52</f>
        <v>0</v>
      </c>
      <c r="D52" s="279" t="str">
        <f t="shared" si="1"/>
        <v/>
      </c>
      <c r="E52" s="373"/>
      <c r="F52" s="378"/>
      <c r="G52" s="361"/>
      <c r="H52" s="361"/>
      <c r="I52" s="361"/>
      <c r="J52" s="361"/>
      <c r="K52" s="361"/>
      <c r="L52" s="361"/>
      <c r="M52" s="361"/>
      <c r="N52" s="361"/>
    </row>
    <row r="53" spans="1:14">
      <c r="A53" s="374" t="s">
        <v>51</v>
      </c>
      <c r="B53" s="399">
        <f>'Financial Spread- 1'!B53+'Financial Spread -2'!B53</f>
        <v>0</v>
      </c>
      <c r="C53" s="398">
        <f>'Financial Spread- 1'!C53+'Financial Spread -2'!C53</f>
        <v>0</v>
      </c>
      <c r="D53" s="279" t="str">
        <f t="shared" si="1"/>
        <v/>
      </c>
      <c r="E53" s="373"/>
      <c r="F53" s="378"/>
      <c r="G53" s="361"/>
      <c r="H53" s="361"/>
      <c r="I53" s="361"/>
      <c r="J53" s="361"/>
      <c r="K53" s="361"/>
    </row>
    <row r="54" spans="1:14" ht="15.75">
      <c r="A54" s="400" t="s">
        <v>52</v>
      </c>
      <c r="B54" s="339">
        <f>SUM(B38+B39+B41+B48+B49+B50+B51+B52+B53)</f>
        <v>0</v>
      </c>
      <c r="C54" s="339">
        <f>SUM(C38+C39+C41+C48+C49+C50+C51+C52+C53)</f>
        <v>0</v>
      </c>
      <c r="D54" s="279" t="str">
        <f t="shared" si="1"/>
        <v/>
      </c>
      <c r="E54" s="373"/>
      <c r="F54" s="361"/>
      <c r="G54" s="401"/>
      <c r="H54" s="402"/>
      <c r="I54" s="402"/>
      <c r="K54" s="361"/>
    </row>
    <row r="55" spans="1:14" ht="15.75">
      <c r="A55" s="388" t="s">
        <v>53</v>
      </c>
      <c r="B55" s="403"/>
      <c r="C55" s="403"/>
      <c r="D55" s="279" t="str">
        <f t="shared" si="1"/>
        <v/>
      </c>
      <c r="E55" s="373"/>
      <c r="F55" s="361"/>
      <c r="G55" s="361"/>
      <c r="H55" s="361"/>
      <c r="I55" s="361"/>
      <c r="K55" s="361"/>
    </row>
    <row r="56" spans="1:14" ht="30">
      <c r="A56" s="376" t="s">
        <v>322</v>
      </c>
      <c r="B56" s="377">
        <f>'Financial Spread- 1'!B56+'Financial Spread -2'!B56</f>
        <v>0</v>
      </c>
      <c r="C56" s="377">
        <f>'Financial Spread- 1'!C56+'Financial Spread -2'!C56</f>
        <v>0</v>
      </c>
      <c r="D56" s="279" t="str">
        <f t="shared" si="1"/>
        <v/>
      </c>
      <c r="E56" s="373"/>
      <c r="F56" s="385"/>
      <c r="G56" s="361"/>
      <c r="H56" s="361"/>
      <c r="I56" s="361"/>
      <c r="K56" s="361"/>
    </row>
    <row r="57" spans="1:14">
      <c r="A57" s="376" t="s">
        <v>323</v>
      </c>
      <c r="B57" s="377">
        <f>'Financial Spread- 1'!B57+'Financial Spread -2'!B57</f>
        <v>0</v>
      </c>
      <c r="C57" s="377">
        <f>'Financial Spread- 1'!C57+'Financial Spread -2'!C57</f>
        <v>0</v>
      </c>
      <c r="D57" s="279"/>
      <c r="E57" s="373"/>
      <c r="F57" s="385"/>
      <c r="K57" s="361"/>
    </row>
    <row r="58" spans="1:14">
      <c r="A58" s="376" t="s">
        <v>54</v>
      </c>
      <c r="B58" s="377">
        <f>'Financial Spread- 1'!B58+'Financial Spread -2'!B58</f>
        <v>0</v>
      </c>
      <c r="C58" s="377">
        <f>'Financial Spread- 1'!C58+'Financial Spread -2'!C58</f>
        <v>0</v>
      </c>
      <c r="D58" s="279" t="str">
        <f t="shared" si="1"/>
        <v/>
      </c>
      <c r="E58" s="373"/>
      <c r="K58" s="361"/>
    </row>
    <row r="59" spans="1:14">
      <c r="A59" s="404" t="s">
        <v>55</v>
      </c>
      <c r="B59" s="603"/>
      <c r="C59" s="603"/>
      <c r="D59" s="279" t="str">
        <f>IFERROR((C59-B59)/B59,"")</f>
        <v/>
      </c>
      <c r="E59" s="373"/>
      <c r="K59" s="361"/>
    </row>
    <row r="60" spans="1:14">
      <c r="A60" s="405" t="s">
        <v>56</v>
      </c>
      <c r="B60" s="377">
        <f>'Financial Spread- 1'!B60+'Financial Spread -2'!B60</f>
        <v>0</v>
      </c>
      <c r="C60" s="377">
        <f>'Financial Spread- 1'!C60+'Financial Spread -2'!C60</f>
        <v>0</v>
      </c>
      <c r="D60" s="279" t="str">
        <f>IFERROR((C60-B60)/B60,"")</f>
        <v/>
      </c>
      <c r="E60" s="373"/>
      <c r="K60" s="361"/>
    </row>
    <row r="61" spans="1:14">
      <c r="A61" s="406" t="s">
        <v>57</v>
      </c>
      <c r="B61" s="407">
        <f>'Financial Spread- 1'!B61+'Financial Spread -2'!B61</f>
        <v>0</v>
      </c>
      <c r="C61" s="407">
        <f>'Financial Spread- 1'!C61+'Financial Spread -2'!C61</f>
        <v>0</v>
      </c>
      <c r="D61" s="279" t="str">
        <f t="shared" si="1"/>
        <v/>
      </c>
      <c r="E61" s="373"/>
      <c r="K61" s="361"/>
    </row>
    <row r="62" spans="1:14">
      <c r="A62" s="376" t="s">
        <v>58</v>
      </c>
      <c r="B62" s="377">
        <f>'Financial Spread- 1'!B62+'Financial Spread -2'!B62</f>
        <v>0</v>
      </c>
      <c r="C62" s="377">
        <f>'Financial Spread- 1'!C62+'Financial Spread -2'!C62</f>
        <v>0</v>
      </c>
      <c r="D62" s="279" t="str">
        <f t="shared" si="1"/>
        <v/>
      </c>
      <c r="E62" s="373"/>
      <c r="K62" s="361"/>
    </row>
    <row r="63" spans="1:14">
      <c r="A63" s="376" t="s">
        <v>334</v>
      </c>
      <c r="B63" s="377">
        <f>'Financial Spread- 1'!B63+'Financial Spread -2'!B63</f>
        <v>0</v>
      </c>
      <c r="C63" s="377">
        <f>'Financial Spread- 1'!C63+'Financial Spread -2'!C63</f>
        <v>0</v>
      </c>
      <c r="D63" s="279"/>
      <c r="E63" s="373"/>
      <c r="K63" s="361"/>
    </row>
    <row r="64" spans="1:14">
      <c r="A64" s="376" t="s">
        <v>324</v>
      </c>
      <c r="B64" s="377">
        <f>'Financial Spread- 1'!B64+'Financial Spread -2'!B64</f>
        <v>0</v>
      </c>
      <c r="C64" s="377">
        <f>'Financial Spread- 1'!C64+'Financial Spread -2'!C64</f>
        <v>0</v>
      </c>
      <c r="D64" s="279" t="str">
        <f t="shared" si="1"/>
        <v/>
      </c>
      <c r="E64" s="373"/>
      <c r="K64" s="361"/>
    </row>
    <row r="65" spans="1:11">
      <c r="A65" s="376" t="s">
        <v>325</v>
      </c>
      <c r="B65" s="377">
        <f>'Financial Spread- 1'!B65+'Financial Spread -2'!B65</f>
        <v>0</v>
      </c>
      <c r="C65" s="377">
        <f>'Financial Spread- 1'!C65+'Financial Spread -2'!C65</f>
        <v>0</v>
      </c>
      <c r="D65" s="279" t="str">
        <f t="shared" si="1"/>
        <v/>
      </c>
      <c r="E65" s="373"/>
      <c r="G65" s="361"/>
      <c r="H65" s="361"/>
      <c r="I65" s="361"/>
      <c r="J65" s="361"/>
      <c r="K65" s="361"/>
    </row>
    <row r="66" spans="1:11">
      <c r="A66" s="376" t="s">
        <v>60</v>
      </c>
      <c r="B66" s="377">
        <f>'Financial Spread- 1'!B66+'Financial Spread -2'!B66</f>
        <v>0</v>
      </c>
      <c r="C66" s="377">
        <f>'Financial Spread- 1'!C66+'Financial Spread -2'!C66</f>
        <v>0</v>
      </c>
      <c r="D66" s="279" t="str">
        <f t="shared" si="1"/>
        <v/>
      </c>
      <c r="E66" s="373"/>
    </row>
    <row r="67" spans="1:11" ht="30">
      <c r="A67" s="408" t="s">
        <v>61</v>
      </c>
      <c r="B67" s="377">
        <f>'Financial Spread- 1'!B67+'Financial Spread -2'!B67</f>
        <v>0</v>
      </c>
      <c r="C67" s="377">
        <f>'Financial Spread- 1'!C67+'Financial Spread -2'!C67</f>
        <v>0</v>
      </c>
      <c r="D67" s="279" t="str">
        <f t="shared" si="1"/>
        <v/>
      </c>
      <c r="E67" s="373"/>
    </row>
    <row r="68" spans="1:11">
      <c r="A68" s="376" t="s">
        <v>59</v>
      </c>
      <c r="B68" s="377">
        <f>'Financial Spread- 1'!B68+'Financial Spread -2'!B68</f>
        <v>0</v>
      </c>
      <c r="C68" s="377">
        <f>'Financial Spread- 1'!C68+'Financial Spread -2'!C68</f>
        <v>0</v>
      </c>
      <c r="D68" s="279" t="str">
        <f t="shared" si="1"/>
        <v/>
      </c>
      <c r="E68" s="373"/>
    </row>
    <row r="69" spans="1:11" ht="15.75">
      <c r="A69" s="400" t="s">
        <v>52</v>
      </c>
      <c r="B69" s="339">
        <f>SUM(B56:B68)+B40</f>
        <v>0</v>
      </c>
      <c r="C69" s="339">
        <f>SUM(C56:C68)+C40</f>
        <v>0</v>
      </c>
      <c r="D69" s="279" t="str">
        <f t="shared" si="1"/>
        <v/>
      </c>
      <c r="E69" s="373"/>
    </row>
    <row r="70" spans="1:11" ht="15.75" thickBot="1">
      <c r="A70" s="409" t="s">
        <v>62</v>
      </c>
      <c r="B70" s="350">
        <f>B54-B69</f>
        <v>0</v>
      </c>
      <c r="C70" s="350">
        <f>C54-C69</f>
        <v>0</v>
      </c>
      <c r="D70" s="351"/>
      <c r="E70" s="410"/>
    </row>
    <row r="76" spans="1:11" ht="15.75">
      <c r="D76" s="411"/>
      <c r="E76" s="361"/>
    </row>
    <row r="77" spans="1:11">
      <c r="D77" s="412"/>
      <c r="E77" s="361"/>
    </row>
    <row r="78" spans="1:11">
      <c r="D78" s="413"/>
      <c r="E78" s="361"/>
    </row>
    <row r="79" spans="1:11">
      <c r="D79" s="414"/>
      <c r="E79" s="361"/>
    </row>
    <row r="80" spans="1:11">
      <c r="D80" s="413"/>
      <c r="E80" s="361"/>
    </row>
    <row r="81" spans="4:5">
      <c r="D81" s="413"/>
      <c r="E81" s="361"/>
    </row>
    <row r="82" spans="4:5">
      <c r="D82" s="413"/>
      <c r="E82" s="361"/>
    </row>
    <row r="83" spans="4:5">
      <c r="D83" s="413"/>
      <c r="E83" s="361"/>
    </row>
    <row r="84" spans="4:5">
      <c r="D84" s="415"/>
    </row>
    <row r="85" spans="4:5">
      <c r="D85" s="413"/>
    </row>
    <row r="86" spans="4:5">
      <c r="D86" s="413"/>
    </row>
    <row r="87" spans="4:5">
      <c r="D87" s="415"/>
    </row>
    <row r="88" spans="4:5">
      <c r="D88" s="415"/>
    </row>
    <row r="89" spans="4:5">
      <c r="D89" s="413"/>
    </row>
    <row r="90" spans="4:5">
      <c r="D90" s="415"/>
    </row>
    <row r="91" spans="4:5">
      <c r="D91" s="391"/>
    </row>
    <row r="92" spans="4:5">
      <c r="D92" s="175"/>
    </row>
    <row r="93" spans="4:5">
      <c r="D93" s="359"/>
    </row>
    <row r="94" spans="4:5">
      <c r="D94" s="359"/>
    </row>
    <row r="95" spans="4:5">
      <c r="D95" s="359"/>
    </row>
    <row r="96" spans="4:5">
      <c r="D96" s="175"/>
    </row>
    <row r="97" spans="4:4">
      <c r="D97" s="175"/>
    </row>
    <row r="98" spans="4:4">
      <c r="D98" s="175"/>
    </row>
    <row r="99" spans="4:4">
      <c r="D99" s="359"/>
    </row>
    <row r="100" spans="4:4">
      <c r="D100" s="359"/>
    </row>
    <row r="101" spans="4:4">
      <c r="D101" s="359"/>
    </row>
    <row r="102" spans="4:4">
      <c r="D102" s="359"/>
    </row>
  </sheetData>
  <sheetProtection algorithmName="SHA-512" hashValue="0vzRxRxsWY/y2lKkVxiPf4GelkAJENS2MrPpX4zsPxuTY1yx8UnTxhGixM5aGTezZzx5W8zuUotM2g9skuVSsg==" saltValue="Ly4EFvVCYbw+YD7qL3kGDA==" spinCount="100000" sheet="1" objects="1" scenarios="1"/>
  <protectedRanges>
    <protectedRange sqref="B34:E34 B3:E4 D5:E5 D2" name="Range5_1_6" securityDescriptor=""/>
    <protectedRange sqref="B33:C33 B8:E8" name="Range1_1_6" securityDescriptor=""/>
    <protectedRange sqref="B59:C59 E59" name="Range2_1_3" securityDescriptor=""/>
    <protectedRange sqref="E16:E17" name="Range1_1_2_2" securityDescriptor=""/>
    <protectedRange sqref="E21:E22" name="Range1_1_3_2" securityDescriptor=""/>
    <protectedRange sqref="G2:I2" name="Range5_1_3_3" securityDescriptor=""/>
    <protectedRange sqref="H6:I7 D77:D78" name="Range5_1_3_1_2" securityDescriptor=""/>
    <protectedRange sqref="E11" name="Range1_1_1_1_2" securityDescriptor=""/>
    <protectedRange sqref="B35:C35" name="Range1_1_4_2" securityDescriptor=""/>
    <protectedRange sqref="E37:E38 E40" name="Range1_1_6_1_2" securityDescriptor=""/>
    <protectedRange sqref="E50" name="Range1_1_7_1_3" securityDescriptor=""/>
    <protectedRange sqref="E53" name="Range1_3_1_2" securityDescriptor=""/>
    <protectedRange sqref="E62:E64" name="Range2_1_4_1_3" securityDescriptor=""/>
    <protectedRange sqref="B40:C42" name="Range2_1_3_1_1_2" securityDescriptor=""/>
    <protectedRange sqref="B62:C68" name="Range2_1_4_1_1_2" securityDescriptor=""/>
    <protectedRange sqref="B2:C2" name="Range5_1" securityDescriptor=""/>
  </protectedRanges>
  <mergeCells count="9">
    <mergeCell ref="A1:C1"/>
    <mergeCell ref="A5:C5"/>
    <mergeCell ref="J2:K2"/>
    <mergeCell ref="G5:I5"/>
    <mergeCell ref="B59:C59"/>
    <mergeCell ref="B8:C8"/>
    <mergeCell ref="G20:I20"/>
    <mergeCell ref="A33:C33"/>
    <mergeCell ref="G36:H36"/>
  </mergeCells>
  <conditionalFormatting sqref="H25:I27">
    <cfRule type="cellIs" dxfId="265" priority="7" operator="lessThan">
      <formula>90</formula>
    </cfRule>
    <cfRule type="cellIs" dxfId="264" priority="8" operator="greaterThanOrEqual">
      <formula>90</formula>
    </cfRule>
  </conditionalFormatting>
  <conditionalFormatting sqref="H28">
    <cfRule type="cellIs" dxfId="263" priority="5" operator="lessThan">
      <formula>4</formula>
    </cfRule>
    <cfRule type="cellIs" dxfId="262" priority="6" operator="greaterThanOrEqual">
      <formula>4</formula>
    </cfRule>
  </conditionalFormatting>
  <conditionalFormatting sqref="I28">
    <cfRule type="cellIs" dxfId="261" priority="1" operator="lessThan">
      <formula>4</formula>
    </cfRule>
    <cfRule type="cellIs" dxfId="260" priority="2" operator="greaterThanOrEqual">
      <formula>4</formula>
    </cfRule>
  </conditionalFormatting>
  <dataValidations count="2">
    <dataValidation type="list" allowBlank="1" showInputMessage="1" showErrorMessage="1" sqref="B3" xr:uid="{00000000-0002-0000-0400-000000000000}">
      <formula1>"Audited,UnAudited, 44ADA, 44AD"</formula1>
    </dataValidation>
    <dataValidation type="list" allowBlank="1" showInputMessage="1" showErrorMessage="1" sqref="C3" xr:uid="{00000000-0002-0000-0400-000001000000}">
      <formula1>"Audited,UnAudited,44ADA,44AD"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XFD54"/>
  <sheetViews>
    <sheetView topLeftCell="F1" zoomScaleNormal="100" workbookViewId="0">
      <selection activeCell="I11" sqref="I11"/>
    </sheetView>
  </sheetViews>
  <sheetFormatPr defaultColWidth="9" defaultRowHeight="15"/>
  <cols>
    <col min="1" max="1" width="34.7109375" style="45" bestFit="1" customWidth="1"/>
    <col min="2" max="2" width="15.42578125" style="45" customWidth="1"/>
    <col min="3" max="3" width="16.140625" style="45" bestFit="1" customWidth="1"/>
    <col min="4" max="4" width="27.85546875" style="45" customWidth="1"/>
    <col min="5" max="5" width="16.5703125" style="45" customWidth="1"/>
    <col min="6" max="6" width="20" style="45" bestFit="1" customWidth="1"/>
    <col min="7" max="7" width="8.28515625" style="27" customWidth="1"/>
    <col min="8" max="8" width="47.5703125" style="45" bestFit="1" customWidth="1"/>
    <col min="9" max="9" width="12.140625" style="45" customWidth="1"/>
    <col min="10" max="10" width="11.5703125" style="45" customWidth="1"/>
    <col min="11" max="11" width="6" style="27" customWidth="1"/>
    <col min="12" max="12" width="48.42578125" style="45" bestFit="1" customWidth="1"/>
    <col min="13" max="13" width="28.42578125" style="45" bestFit="1" customWidth="1"/>
    <col min="14" max="14" width="28.140625" style="45" bestFit="1" customWidth="1"/>
    <col min="15" max="15" width="13.85546875" style="45" bestFit="1" customWidth="1"/>
    <col min="16" max="16" width="5.140625" style="27" customWidth="1"/>
    <col min="17" max="17" width="42" style="45" bestFit="1" customWidth="1"/>
    <col min="18" max="18" width="10.140625" style="45" bestFit="1" customWidth="1"/>
    <col min="19" max="16384" width="9" style="45"/>
  </cols>
  <sheetData>
    <row r="1" spans="1:27" ht="15.75" thickBot="1">
      <c r="A1" s="146" t="s">
        <v>210</v>
      </c>
      <c r="B1" s="626" t="str">
        <f>'Policy Parameters'!B1</f>
        <v>ABC</v>
      </c>
      <c r="C1" s="627"/>
      <c r="D1" s="628"/>
      <c r="E1" s="27"/>
      <c r="F1" s="27"/>
      <c r="H1" s="27"/>
      <c r="I1" s="27"/>
      <c r="J1" s="27"/>
      <c r="L1" s="27"/>
      <c r="M1" s="27"/>
      <c r="N1" s="27"/>
      <c r="O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147" t="s">
        <v>108</v>
      </c>
      <c r="B2" s="43" t="s">
        <v>0</v>
      </c>
      <c r="C2" s="43" t="s">
        <v>154</v>
      </c>
      <c r="D2" s="44" t="s">
        <v>1</v>
      </c>
      <c r="E2" s="27"/>
      <c r="F2" s="27"/>
      <c r="H2" s="27"/>
      <c r="I2" s="27"/>
      <c r="J2" s="27"/>
      <c r="L2" s="27"/>
      <c r="M2" s="27"/>
      <c r="N2" s="27"/>
      <c r="O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33">
        <v>3030000</v>
      </c>
      <c r="B3" s="205">
        <v>0.18</v>
      </c>
      <c r="C3" s="35">
        <v>36</v>
      </c>
      <c r="D3" s="191">
        <f>PMT(B3/12,C3,-A3)</f>
        <v>109541.75847382801</v>
      </c>
      <c r="E3" s="27"/>
      <c r="F3" s="27"/>
      <c r="H3" s="27"/>
      <c r="I3" s="27"/>
      <c r="J3" s="27"/>
      <c r="L3" s="27"/>
      <c r="M3" s="27"/>
      <c r="N3" s="27"/>
      <c r="O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190"/>
      <c r="B4" s="34"/>
      <c r="C4" s="35"/>
      <c r="D4" s="192" t="s">
        <v>343</v>
      </c>
      <c r="E4" s="27"/>
      <c r="F4" s="27"/>
      <c r="H4" s="27"/>
      <c r="I4" s="27"/>
      <c r="J4" s="27"/>
      <c r="L4" s="27"/>
      <c r="M4" s="27"/>
      <c r="N4" s="27"/>
      <c r="O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42" t="s">
        <v>142</v>
      </c>
      <c r="B5" s="30">
        <f>+F26</f>
        <v>0</v>
      </c>
      <c r="C5" s="109" t="str">
        <f>IF(B5&gt;1,"Eligible","Not Eligible")</f>
        <v>Not Eligible</v>
      </c>
      <c r="D5" s="114">
        <f>F28</f>
        <v>0</v>
      </c>
      <c r="E5" s="27"/>
      <c r="F5" s="27"/>
      <c r="H5" s="27"/>
      <c r="I5" s="27"/>
      <c r="J5" s="27"/>
      <c r="L5" s="27"/>
      <c r="M5" s="27"/>
      <c r="N5" s="27"/>
      <c r="O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>
      <c r="A6" s="42" t="s">
        <v>141</v>
      </c>
      <c r="B6" s="114">
        <f>+I19</f>
        <v>0</v>
      </c>
      <c r="C6" s="32" t="str">
        <f>IF(SUM(A3/100000)&lt;B6,"Eligible","Not Eligible")</f>
        <v>Not Eligible</v>
      </c>
      <c r="D6" s="114">
        <f>I20</f>
        <v>0</v>
      </c>
      <c r="E6" s="27"/>
      <c r="F6" s="27"/>
      <c r="H6" s="27"/>
      <c r="I6" s="27"/>
      <c r="J6" s="27"/>
      <c r="L6" s="27"/>
      <c r="M6" s="27"/>
      <c r="N6" s="27"/>
      <c r="O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42" t="s">
        <v>143</v>
      </c>
      <c r="B7" s="30" t="str">
        <f>M21</f>
        <v/>
      </c>
      <c r="C7" s="109" t="str">
        <f>IF(B7&gt;1,"Eligible","Not Eligible")</f>
        <v>Eligible</v>
      </c>
      <c r="D7" s="114">
        <f>M23</f>
        <v>0</v>
      </c>
      <c r="E7" s="27"/>
      <c r="F7" s="27"/>
      <c r="H7" s="27"/>
      <c r="I7" s="27"/>
      <c r="J7" s="27"/>
      <c r="L7" s="27"/>
      <c r="M7" s="27"/>
      <c r="N7" s="27"/>
      <c r="O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5.75" thickBot="1">
      <c r="A8" s="27"/>
      <c r="B8" s="27"/>
      <c r="C8" s="27"/>
      <c r="D8" s="27"/>
      <c r="E8" s="27"/>
      <c r="F8" s="27"/>
      <c r="H8" s="27"/>
      <c r="I8" s="27"/>
      <c r="J8" s="27"/>
      <c r="L8" s="27"/>
      <c r="M8" s="27"/>
      <c r="N8" s="27"/>
      <c r="O8" s="27"/>
      <c r="Q8" s="27"/>
      <c r="R8" s="27"/>
      <c r="S8" s="27"/>
      <c r="T8" s="27"/>
      <c r="U8" s="27"/>
      <c r="V8" s="27"/>
      <c r="W8" s="27"/>
      <c r="X8" s="27"/>
    </row>
    <row r="9" spans="1:27">
      <c r="A9" s="632" t="s">
        <v>209</v>
      </c>
      <c r="B9" s="633"/>
      <c r="C9" s="633"/>
      <c r="D9" s="633"/>
      <c r="E9" s="633"/>
      <c r="F9" s="634"/>
      <c r="H9" s="647" t="s">
        <v>107</v>
      </c>
      <c r="I9" s="648"/>
      <c r="J9" s="649"/>
      <c r="L9" s="644" t="s">
        <v>97</v>
      </c>
      <c r="M9" s="645"/>
      <c r="N9" s="645"/>
      <c r="O9" s="646"/>
      <c r="Q9" s="115" t="s">
        <v>172</v>
      </c>
      <c r="R9" s="116"/>
    </row>
    <row r="10" spans="1:27" ht="45">
      <c r="A10" s="91" t="str">
        <f>B1</f>
        <v>ABC</v>
      </c>
      <c r="B10" s="257">
        <f>'Financial Spread- 1'!B2</f>
        <v>43555</v>
      </c>
      <c r="C10" s="257">
        <f>'Financial Spread- 1'!C2</f>
        <v>43921</v>
      </c>
      <c r="D10" s="92" t="s">
        <v>90</v>
      </c>
      <c r="E10" s="93" t="s">
        <v>185</v>
      </c>
      <c r="F10" s="93" t="s">
        <v>91</v>
      </c>
      <c r="G10" s="188"/>
      <c r="H10" s="117" t="s">
        <v>187</v>
      </c>
      <c r="I10" s="186" t="s">
        <v>188</v>
      </c>
      <c r="J10" s="117" t="s">
        <v>189</v>
      </c>
      <c r="L10" s="118" t="s">
        <v>98</v>
      </c>
      <c r="M10" s="119">
        <f>+'GST '!R15</f>
        <v>0</v>
      </c>
      <c r="N10" s="120" t="s">
        <v>212</v>
      </c>
      <c r="O10" s="119">
        <f>+'Consolidated Financial Spread'!C25-'Consolidated Financial Spread'!C9</f>
        <v>0</v>
      </c>
      <c r="Q10" s="121" t="s">
        <v>173</v>
      </c>
      <c r="R10" s="36"/>
    </row>
    <row r="11" spans="1:27" ht="30">
      <c r="A11" s="94" t="s">
        <v>208</v>
      </c>
      <c r="B11" s="95">
        <f>+'Consolidated Financial Spread'!B25-'Consolidated Financial Spread'!B9</f>
        <v>0</v>
      </c>
      <c r="C11" s="95">
        <f>+'Consolidated Financial Spread'!C25-'Consolidated Financial Spread'!C9</f>
        <v>0</v>
      </c>
      <c r="D11" s="96" t="str">
        <f>IFERROR(IF(('GST '!$M$19&lt;0),MINA((1+'GST '!$N$15),1),1),"")</f>
        <v/>
      </c>
      <c r="E11" s="97" t="str">
        <f>IFERROR(+C11*D11,"")</f>
        <v/>
      </c>
      <c r="F11" s="97" t="str">
        <f>E11</f>
        <v/>
      </c>
      <c r="G11" s="188"/>
      <c r="H11" s="122" t="s">
        <v>195</v>
      </c>
      <c r="I11" s="123" t="str">
        <f>IF('Banking Analysis'!G1="Absolute",'Banking Analysis'!E20,IF('Banking Analysis'!G1="Lacs",'Banking Analysis'!E20*10^5, ""))</f>
        <v/>
      </c>
      <c r="J11" s="123" t="str">
        <f>IF('Banking Analysis'!G1="absolute",'Banking Analysis'!G20,IF('Banking Analysis'!G1="Lacs",'Banking Analysis'!G20*10^5,""))</f>
        <v/>
      </c>
      <c r="L11" s="120" t="s">
        <v>213</v>
      </c>
      <c r="M11" s="124" t="str">
        <f>IFERROR(O12,"")</f>
        <v/>
      </c>
      <c r="N11" s="120" t="s">
        <v>215</v>
      </c>
      <c r="O11" s="119">
        <f>'Consolidated Financial Spread'!C6</f>
        <v>0</v>
      </c>
      <c r="Q11" s="121" t="s">
        <v>75</v>
      </c>
      <c r="R11" s="36">
        <v>180</v>
      </c>
    </row>
    <row r="12" spans="1:27" ht="14.25" customHeight="1">
      <c r="A12" s="94" t="s">
        <v>27</v>
      </c>
      <c r="B12" s="95">
        <f>+'Consolidated Financial Spread'!B24</f>
        <v>0</v>
      </c>
      <c r="C12" s="95">
        <f>+'Consolidated Financial Spread'!C24</f>
        <v>0</v>
      </c>
      <c r="D12" s="96">
        <v>1</v>
      </c>
      <c r="E12" s="97">
        <f>IFERROR(+C12*D12,"")</f>
        <v>0</v>
      </c>
      <c r="F12" s="97">
        <f>E12</f>
        <v>0</v>
      </c>
      <c r="H12" s="187" t="s">
        <v>337</v>
      </c>
      <c r="I12" s="650">
        <f>MIN(I11:J11)</f>
        <v>0</v>
      </c>
      <c r="J12" s="650"/>
      <c r="L12" s="120" t="s">
        <v>214</v>
      </c>
      <c r="M12" s="119" t="str">
        <f>IFERROR(M10*M11,"")</f>
        <v/>
      </c>
      <c r="N12" s="118" t="s">
        <v>99</v>
      </c>
      <c r="O12" s="125" t="str">
        <f>IFERROR(O10/O11,"")</f>
        <v/>
      </c>
      <c r="Q12" s="121" t="s">
        <v>174</v>
      </c>
      <c r="R12" s="36">
        <v>10</v>
      </c>
    </row>
    <row r="13" spans="1:27">
      <c r="A13" s="94" t="s">
        <v>410</v>
      </c>
      <c r="B13" s="95">
        <f>+'Consolidated Financial Spread'!B20</f>
        <v>0</v>
      </c>
      <c r="C13" s="95">
        <f>+'Consolidated Financial Spread'!C20</f>
        <v>0</v>
      </c>
      <c r="D13" s="96">
        <v>1</v>
      </c>
      <c r="E13" s="97">
        <f>IFERROR(+C13*D13,"")</f>
        <v>0</v>
      </c>
      <c r="F13" s="97">
        <f>E13</f>
        <v>0</v>
      </c>
      <c r="H13" s="122" t="s">
        <v>196</v>
      </c>
      <c r="I13" s="651">
        <v>0.2</v>
      </c>
      <c r="J13" s="651"/>
      <c r="L13" s="120" t="s">
        <v>218</v>
      </c>
      <c r="M13" s="119">
        <f>+'Consolidated Financial Spread'!C24+'Consolidated Financial Spread'!C31</f>
        <v>0</v>
      </c>
      <c r="N13" s="118"/>
      <c r="O13" s="118"/>
      <c r="Q13" s="121" t="s">
        <v>175</v>
      </c>
      <c r="R13" s="36">
        <v>500000</v>
      </c>
    </row>
    <row r="14" spans="1:27" ht="30.75" thickBot="1">
      <c r="A14" s="94" t="s">
        <v>409</v>
      </c>
      <c r="B14" s="95">
        <f>'Consolidated Financial Spread'!B31</f>
        <v>0</v>
      </c>
      <c r="C14" s="95">
        <f>'Consolidated Financial Spread'!C31</f>
        <v>0</v>
      </c>
      <c r="D14" s="96" t="str">
        <f>IFERROR(IF(('GST '!$M$19&lt;0),MINA((1+'GST '!$N$15),1),1),"")</f>
        <v/>
      </c>
      <c r="E14" s="97" t="str">
        <f>IFERROR(+C14*D14,"")</f>
        <v/>
      </c>
      <c r="F14" s="97" t="str">
        <f>E14</f>
        <v/>
      </c>
      <c r="H14" s="126" t="s">
        <v>197</v>
      </c>
      <c r="I14" s="650">
        <f>+I12*I13</f>
        <v>0</v>
      </c>
      <c r="J14" s="650"/>
      <c r="L14" s="120" t="s">
        <v>217</v>
      </c>
      <c r="M14" s="119">
        <f>+'Consolidated Financial Spread'!C20</f>
        <v>0</v>
      </c>
      <c r="N14" s="120" t="s">
        <v>216</v>
      </c>
      <c r="O14" s="119">
        <f>+'Consolidated Financial Spread'!C26</f>
        <v>0</v>
      </c>
      <c r="Q14" s="202" t="s">
        <v>176</v>
      </c>
      <c r="R14" s="128">
        <f>(R13*R12)/100000</f>
        <v>50</v>
      </c>
    </row>
    <row r="15" spans="1:27" ht="30" customHeight="1" thickBot="1">
      <c r="A15" s="94" t="s">
        <v>92</v>
      </c>
      <c r="B15" s="95" t="e">
        <f>-('Consolidated Financial Spread'!B26-('Consolidated Financial Spread'!B26/'Consolidated Financial Spread'!B25*'Consolidated Financial Spread'!B9))</f>
        <v>#DIV/0!</v>
      </c>
      <c r="C15" s="95" t="e">
        <f>-('Consolidated Financial Spread'!C26-('Consolidated Financial Spread'!C26/'Consolidated Financial Spread'!C25*'Consolidated Financial Spread'!C9))</f>
        <v>#DIV/0!</v>
      </c>
      <c r="D15" s="96" t="str">
        <f>IFERROR(IF(('GST '!$M$19&lt;0),MINA((1+'GST '!$N$15),1),1),"")</f>
        <v/>
      </c>
      <c r="E15" s="97" t="str">
        <f>IFERROR(+C15*D15,"")</f>
        <v/>
      </c>
      <c r="F15" s="97" t="str">
        <f>E15</f>
        <v/>
      </c>
      <c r="H15" s="127" t="s">
        <v>211</v>
      </c>
      <c r="I15" s="652"/>
      <c r="J15" s="652"/>
      <c r="L15" s="129" t="s">
        <v>100</v>
      </c>
      <c r="M15" s="130" t="str">
        <f>IFERROR(M12+M13+M14,"")</f>
        <v/>
      </c>
      <c r="N15" s="118" t="s">
        <v>101</v>
      </c>
      <c r="O15" s="131" t="str">
        <f>IFERROR(O14/O10,"")</f>
        <v/>
      </c>
      <c r="Q15" s="425" t="s">
        <v>342</v>
      </c>
      <c r="R15" s="204">
        <f>MIN(R14,10)</f>
        <v>10</v>
      </c>
    </row>
    <row r="16" spans="1:27">
      <c r="A16" s="98" t="s">
        <v>151</v>
      </c>
      <c r="B16" s="99" t="e">
        <f>SUM(B11:B15)</f>
        <v>#DIV/0!</v>
      </c>
      <c r="C16" s="99" t="e">
        <f>SUM(C11:C15)</f>
        <v>#DIV/0!</v>
      </c>
      <c r="D16" s="96" t="str">
        <f>IFERROR(IF(('GST '!$M$19&lt;0),MINA((1+'GST '!$N$15),1),1),"")</f>
        <v/>
      </c>
      <c r="E16" s="99">
        <f>SUM(E11:E15)</f>
        <v>0</v>
      </c>
      <c r="F16" s="100">
        <f>SUM(F11:F15)</f>
        <v>0</v>
      </c>
      <c r="H16" s="127" t="s">
        <v>198</v>
      </c>
      <c r="I16" s="650">
        <f>+I14-I15</f>
        <v>0</v>
      </c>
      <c r="J16" s="650"/>
      <c r="L16" s="426" t="s">
        <v>411</v>
      </c>
      <c r="M16" s="132" t="str">
        <f>IFERROR(M12*O15,"")</f>
        <v/>
      </c>
      <c r="N16" s="111"/>
      <c r="O16" s="111"/>
    </row>
    <row r="17" spans="1:24 16384:16384">
      <c r="A17" s="635"/>
      <c r="B17" s="636"/>
      <c r="C17" s="636"/>
      <c r="D17" s="636"/>
      <c r="E17" s="637"/>
      <c r="F17" s="37"/>
      <c r="H17" s="126" t="s">
        <v>199</v>
      </c>
      <c r="I17" s="650">
        <f>C3</f>
        <v>36</v>
      </c>
      <c r="J17" s="650"/>
      <c r="L17" s="118" t="s">
        <v>102</v>
      </c>
      <c r="M17" s="133" t="str">
        <f>IFERROR(M15-M16,"")</f>
        <v/>
      </c>
      <c r="N17" s="38"/>
      <c r="O17" s="38"/>
      <c r="Q17" s="27"/>
      <c r="R17" s="27"/>
      <c r="S17" s="27"/>
      <c r="T17" s="27"/>
      <c r="U17" s="27"/>
      <c r="V17" s="27"/>
      <c r="W17" s="27"/>
      <c r="X17" s="27"/>
      <c r="XFD17" s="134" t="s">
        <v>129</v>
      </c>
    </row>
    <row r="18" spans="1:24 16384:16384" ht="15" customHeight="1">
      <c r="A18" s="638" t="s">
        <v>262</v>
      </c>
      <c r="B18" s="638"/>
      <c r="C18" s="638"/>
      <c r="D18" s="638"/>
      <c r="E18" s="639"/>
      <c r="F18" s="101" t="e">
        <f>+(C11+C15)/(B11+B15)</f>
        <v>#DIV/0!</v>
      </c>
      <c r="G18" s="29"/>
      <c r="H18" s="126" t="s">
        <v>200</v>
      </c>
      <c r="I18" s="653">
        <f>+B3</f>
        <v>0.18</v>
      </c>
      <c r="J18" s="653"/>
      <c r="L18" s="129" t="s">
        <v>103</v>
      </c>
      <c r="M18" s="135">
        <f>Loandetails1!O71*12</f>
        <v>0</v>
      </c>
      <c r="N18" s="38"/>
      <c r="O18" s="38"/>
      <c r="Q18" s="27"/>
      <c r="R18" s="27"/>
      <c r="S18" s="27"/>
      <c r="T18" s="27"/>
      <c r="U18" s="27"/>
      <c r="V18" s="27"/>
      <c r="W18" s="27"/>
      <c r="X18" s="27"/>
      <c r="XFD18" s="136" t="s">
        <v>224</v>
      </c>
    </row>
    <row r="19" spans="1:24 16384:16384">
      <c r="A19" s="629" t="s">
        <v>314</v>
      </c>
      <c r="B19" s="630"/>
      <c r="C19" s="630"/>
      <c r="D19" s="630"/>
      <c r="E19" s="631"/>
      <c r="F19" s="108" t="s">
        <v>256</v>
      </c>
      <c r="G19" s="27" t="str">
        <f>IF(F19="No - Justified Growth","Be sure","")</f>
        <v/>
      </c>
      <c r="H19" s="126" t="s">
        <v>201</v>
      </c>
      <c r="I19" s="640">
        <f>+I16/PMT($B$3/12,$C$3,-100000)</f>
        <v>0</v>
      </c>
      <c r="J19" s="640"/>
      <c r="L19" s="118" t="s">
        <v>104</v>
      </c>
      <c r="M19" s="135">
        <f>D3*12</f>
        <v>1314501.1016859361</v>
      </c>
      <c r="N19" s="38"/>
      <c r="O19" s="38"/>
      <c r="Q19" s="27"/>
      <c r="R19" s="27"/>
      <c r="S19" s="27"/>
      <c r="T19" s="27"/>
      <c r="U19" s="27"/>
      <c r="V19" s="27"/>
      <c r="W19" s="27"/>
      <c r="X19" s="27"/>
      <c r="XFD19" s="45" t="s">
        <v>256</v>
      </c>
    </row>
    <row r="20" spans="1:24 16384:16384" ht="29.25" customHeight="1">
      <c r="A20" s="638" t="s">
        <v>152</v>
      </c>
      <c r="B20" s="638"/>
      <c r="C20" s="638"/>
      <c r="D20" s="638"/>
      <c r="E20" s="639"/>
      <c r="F20" s="102">
        <f>IF(F19="Yes",AVERAGE('Consolidated Financial Spread'!B27:C27)+AVERAGE(B14:C14)+C12+C13,E16)</f>
        <v>0</v>
      </c>
      <c r="G20" s="40"/>
      <c r="H20" s="185" t="s">
        <v>339</v>
      </c>
      <c r="I20" s="654">
        <f>MINA(I19,30)</f>
        <v>0</v>
      </c>
      <c r="J20" s="655"/>
      <c r="L20" s="118" t="s">
        <v>105</v>
      </c>
      <c r="M20" s="133">
        <f>SUM(M18:M19)</f>
        <v>1314501.1016859361</v>
      </c>
      <c r="N20" s="38"/>
      <c r="O20" s="38"/>
      <c r="Q20" s="27"/>
      <c r="R20" s="27"/>
      <c r="S20" s="27"/>
      <c r="T20" s="27"/>
      <c r="U20" s="27"/>
      <c r="V20" s="27"/>
      <c r="W20" s="27"/>
      <c r="X20" s="27"/>
    </row>
    <row r="21" spans="1:24 16384:16384">
      <c r="A21" s="623" t="s">
        <v>93</v>
      </c>
      <c r="B21" s="624"/>
      <c r="C21" s="624"/>
      <c r="D21" s="624"/>
      <c r="E21" s="625"/>
      <c r="F21" s="103">
        <f>IFERROR(F20/12,"")</f>
        <v>0</v>
      </c>
      <c r="H21" s="138"/>
      <c r="L21" s="118" t="s">
        <v>106</v>
      </c>
      <c r="M21" s="137" t="str">
        <f>IFERROR(M17/M20,"")</f>
        <v/>
      </c>
      <c r="N21" s="38"/>
      <c r="O21" s="38"/>
      <c r="Q21" s="27"/>
      <c r="R21" s="27"/>
      <c r="S21" s="27"/>
      <c r="T21" s="27"/>
      <c r="U21" s="27"/>
      <c r="V21" s="27"/>
      <c r="W21" s="27"/>
      <c r="X21" s="27"/>
    </row>
    <row r="22" spans="1:24 16384:16384">
      <c r="A22" s="623" t="s">
        <v>94</v>
      </c>
      <c r="B22" s="624"/>
      <c r="C22" s="624"/>
      <c r="D22" s="624"/>
      <c r="E22" s="625"/>
      <c r="F22" s="104">
        <f>Loandetails1!O71</f>
        <v>0</v>
      </c>
      <c r="H22" s="138"/>
      <c r="I22" s="138"/>
      <c r="L22" s="189" t="s">
        <v>340</v>
      </c>
      <c r="M22" s="203" t="str">
        <f>IFERROR(((M17-M18)/12)/PMT(B3/12,C3,-100000),"")</f>
        <v/>
      </c>
      <c r="N22" s="27"/>
      <c r="O22" s="27"/>
      <c r="Q22" s="27"/>
      <c r="R22" s="27"/>
      <c r="S22" s="27"/>
      <c r="T22" s="27"/>
      <c r="U22" s="27"/>
      <c r="V22" s="27"/>
      <c r="W22" s="27"/>
      <c r="X22" s="27"/>
    </row>
    <row r="23" spans="1:24 16384:16384">
      <c r="A23" s="623" t="s">
        <v>95</v>
      </c>
      <c r="B23" s="624"/>
      <c r="C23" s="624"/>
      <c r="D23" s="624"/>
      <c r="E23" s="625"/>
      <c r="F23" s="41"/>
      <c r="L23" s="185" t="s">
        <v>341</v>
      </c>
      <c r="M23" s="203">
        <f>+MINA(M22,15)</f>
        <v>0</v>
      </c>
      <c r="N23" s="27"/>
      <c r="O23" s="27"/>
      <c r="Q23" s="27"/>
      <c r="R23" s="27"/>
      <c r="S23" s="27"/>
      <c r="T23" s="27"/>
      <c r="U23" s="27"/>
      <c r="V23" s="27"/>
      <c r="W23" s="27"/>
      <c r="X23" s="27"/>
    </row>
    <row r="24" spans="1:24 16384:16384">
      <c r="A24" s="623" t="s">
        <v>96</v>
      </c>
      <c r="B24" s="624"/>
      <c r="C24" s="624"/>
      <c r="D24" s="624"/>
      <c r="E24" s="625"/>
      <c r="F24" s="97">
        <f>+F21-F22</f>
        <v>0</v>
      </c>
      <c r="N24" s="27"/>
      <c r="O24" s="27"/>
      <c r="Q24" s="27"/>
      <c r="R24" s="27"/>
      <c r="S24" s="27"/>
      <c r="T24" s="27"/>
      <c r="U24" s="27"/>
      <c r="V24" s="27"/>
      <c r="W24" s="27"/>
      <c r="X24" s="27"/>
    </row>
    <row r="25" spans="1:24 16384:16384">
      <c r="A25" s="623" t="s">
        <v>180</v>
      </c>
      <c r="B25" s="624"/>
      <c r="C25" s="624"/>
      <c r="D25" s="624"/>
      <c r="E25" s="625"/>
      <c r="F25" s="105" t="str">
        <f>IFERROR(+F21/F22,"")</f>
        <v/>
      </c>
      <c r="N25" s="27"/>
      <c r="O25" s="27"/>
      <c r="Q25" s="27"/>
      <c r="R25" s="27"/>
      <c r="S25" s="27"/>
      <c r="T25" s="27"/>
      <c r="U25" s="27"/>
      <c r="V25" s="27"/>
      <c r="W25" s="27"/>
      <c r="X25" s="27"/>
    </row>
    <row r="26" spans="1:24 16384:16384">
      <c r="A26" s="623" t="s">
        <v>181</v>
      </c>
      <c r="B26" s="624"/>
      <c r="C26" s="624"/>
      <c r="D26" s="624"/>
      <c r="E26" s="625"/>
      <c r="F26" s="106">
        <f>IFERROR(F21/(F22+D3),"")</f>
        <v>0</v>
      </c>
      <c r="N26" s="27"/>
      <c r="O26" s="27"/>
      <c r="Q26" s="27"/>
      <c r="R26" s="27"/>
      <c r="S26" s="27"/>
      <c r="T26" s="27"/>
      <c r="U26" s="27"/>
      <c r="V26" s="27"/>
      <c r="W26" s="27"/>
      <c r="X26" s="27"/>
    </row>
    <row r="27" spans="1:24 16384:16384">
      <c r="A27" s="656" t="s">
        <v>153</v>
      </c>
      <c r="B27" s="642"/>
      <c r="C27" s="642"/>
      <c r="D27" s="642"/>
      <c r="E27" s="643"/>
      <c r="F27" s="107">
        <f>IFERROR(F24/PMT(B3/12,C3,-100000),"")</f>
        <v>0</v>
      </c>
      <c r="H27" s="38"/>
      <c r="I27" s="38"/>
      <c r="J27" s="38"/>
      <c r="N27" s="27"/>
      <c r="O27" s="27"/>
      <c r="Q27" s="27"/>
      <c r="R27" s="27"/>
      <c r="S27" s="27"/>
      <c r="T27" s="27"/>
      <c r="U27" s="27"/>
      <c r="V27" s="27"/>
      <c r="W27" s="27"/>
      <c r="X27" s="27"/>
    </row>
    <row r="28" spans="1:24 16384:16384">
      <c r="A28" s="641" t="s">
        <v>338</v>
      </c>
      <c r="B28" s="642"/>
      <c r="C28" s="642"/>
      <c r="D28" s="642"/>
      <c r="E28" s="643"/>
      <c r="F28" s="107">
        <f>+MINA(F27,30)</f>
        <v>0</v>
      </c>
      <c r="H28" s="27"/>
      <c r="I28" s="27"/>
      <c r="J28" s="27"/>
      <c r="L28" s="27"/>
      <c r="M28" s="27"/>
      <c r="N28" s="27"/>
      <c r="O28" s="27"/>
      <c r="Q28" s="27"/>
      <c r="R28" s="27"/>
      <c r="S28" s="27"/>
      <c r="T28" s="27"/>
      <c r="U28" s="27"/>
      <c r="V28" s="27"/>
      <c r="W28" s="27"/>
      <c r="X28" s="27"/>
    </row>
    <row r="29" spans="1:24 16384:16384" s="111" customFormat="1">
      <c r="A29" s="38"/>
      <c r="B29" s="38"/>
      <c r="C29" s="38"/>
      <c r="D29" s="38"/>
      <c r="E29" s="38"/>
      <c r="F29" s="38"/>
      <c r="G29" s="38"/>
      <c r="H29" s="39"/>
      <c r="I29" s="27"/>
      <c r="J29" s="2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 16384:16384">
      <c r="A30" s="27"/>
      <c r="B30" s="27"/>
      <c r="C30" s="27"/>
      <c r="D30" s="27"/>
      <c r="E30" s="27"/>
      <c r="F30" s="27"/>
      <c r="H30" s="27"/>
      <c r="I30" s="27"/>
      <c r="J30" s="27"/>
      <c r="L30" s="27"/>
      <c r="M30" s="27"/>
      <c r="N30" s="27"/>
      <c r="O30" s="27"/>
      <c r="Q30" s="27"/>
      <c r="R30" s="27"/>
      <c r="S30" s="27"/>
      <c r="T30" s="27"/>
      <c r="U30" s="27"/>
      <c r="V30" s="27"/>
      <c r="W30" s="27"/>
      <c r="X30" s="27"/>
    </row>
    <row r="31" spans="1:24 16384:16384">
      <c r="A31" s="27"/>
      <c r="B31" s="27"/>
      <c r="C31" s="27"/>
      <c r="D31" s="27"/>
      <c r="E31" s="27"/>
      <c r="F31" s="27"/>
      <c r="H31" s="138"/>
      <c r="I31" s="27"/>
      <c r="J31" s="27"/>
      <c r="L31" s="27"/>
      <c r="M31" s="27"/>
      <c r="N31" s="27"/>
      <c r="O31" s="27"/>
      <c r="Q31" s="27"/>
      <c r="R31" s="27"/>
      <c r="S31" s="27"/>
      <c r="T31" s="27"/>
      <c r="U31" s="27"/>
      <c r="V31" s="27"/>
      <c r="W31" s="27"/>
      <c r="X31" s="27"/>
    </row>
    <row r="32" spans="1:24 16384:16384">
      <c r="A32" s="27"/>
      <c r="B32" s="27"/>
      <c r="C32" s="27"/>
      <c r="D32" s="27"/>
      <c r="E32" s="27"/>
      <c r="F32" s="27"/>
      <c r="L32" s="27"/>
      <c r="M32" s="27"/>
      <c r="N32" s="27"/>
      <c r="O32" s="27"/>
      <c r="Q32" s="27"/>
      <c r="R32" s="27"/>
      <c r="S32" s="27"/>
      <c r="T32" s="27"/>
      <c r="U32" s="27"/>
      <c r="V32" s="27"/>
      <c r="W32" s="27"/>
      <c r="X32" s="27"/>
    </row>
    <row r="33" spans="1:24">
      <c r="A33" s="27"/>
      <c r="B33" s="27"/>
      <c r="C33" s="27"/>
      <c r="D33" s="27"/>
      <c r="E33" s="27"/>
      <c r="F33" s="27"/>
      <c r="L33" s="27"/>
      <c r="M33" s="27"/>
      <c r="N33" s="27"/>
      <c r="O33" s="27"/>
      <c r="Q33" s="27"/>
      <c r="R33" s="27"/>
      <c r="S33" s="27"/>
      <c r="T33" s="27"/>
      <c r="U33" s="27"/>
      <c r="V33" s="27"/>
      <c r="W33" s="27"/>
      <c r="X33" s="27"/>
    </row>
    <row r="34" spans="1:24">
      <c r="A34" s="27"/>
      <c r="B34" s="27"/>
      <c r="C34" s="27"/>
      <c r="D34" s="27"/>
      <c r="E34" s="27"/>
      <c r="F34" s="27"/>
      <c r="L34" s="27"/>
      <c r="M34" s="27"/>
      <c r="N34" s="27"/>
      <c r="O34" s="27"/>
      <c r="Q34" s="27"/>
      <c r="R34" s="27"/>
      <c r="S34" s="27"/>
    </row>
    <row r="35" spans="1:24">
      <c r="A35" s="27"/>
      <c r="B35" s="27"/>
      <c r="C35" s="27"/>
      <c r="D35" s="27"/>
      <c r="E35" s="27"/>
      <c r="F35" s="27"/>
      <c r="L35" s="27"/>
      <c r="M35" s="27"/>
      <c r="N35" s="27"/>
      <c r="O35" s="27"/>
      <c r="Q35" s="27"/>
      <c r="R35" s="27"/>
      <c r="S35" s="27"/>
    </row>
    <row r="36" spans="1:24">
      <c r="A36" s="27"/>
      <c r="B36" s="27"/>
      <c r="C36" s="27"/>
      <c r="D36" s="27"/>
      <c r="E36" s="27"/>
      <c r="F36" s="27"/>
      <c r="L36" s="27"/>
      <c r="M36" s="27"/>
      <c r="N36" s="27"/>
      <c r="O36" s="27"/>
      <c r="Q36" s="27"/>
      <c r="R36" s="27"/>
      <c r="S36" s="27"/>
    </row>
    <row r="37" spans="1:24">
      <c r="A37" s="27"/>
      <c r="B37" s="27"/>
      <c r="C37" s="27"/>
      <c r="D37" s="27"/>
      <c r="E37" s="27"/>
      <c r="F37" s="27"/>
      <c r="L37" s="27"/>
      <c r="M37" s="27"/>
      <c r="N37" s="27"/>
      <c r="O37" s="27"/>
      <c r="Q37" s="27"/>
      <c r="R37" s="27"/>
      <c r="S37" s="27"/>
    </row>
    <row r="38" spans="1:24">
      <c r="A38" s="27"/>
      <c r="B38" s="27"/>
      <c r="C38" s="27"/>
      <c r="D38" s="27"/>
      <c r="E38" s="27"/>
      <c r="F38" s="27"/>
      <c r="L38" s="27"/>
      <c r="M38" s="27"/>
      <c r="N38" s="27"/>
      <c r="O38" s="27"/>
      <c r="Q38" s="27"/>
      <c r="R38" s="27"/>
      <c r="S38" s="27"/>
    </row>
    <row r="39" spans="1:24">
      <c r="A39" s="27"/>
      <c r="B39" s="27"/>
      <c r="C39" s="27"/>
      <c r="D39" s="27"/>
      <c r="E39" s="27"/>
      <c r="F39" s="27"/>
      <c r="L39" s="27"/>
      <c r="M39" s="27"/>
      <c r="N39" s="27"/>
      <c r="O39" s="27"/>
      <c r="Q39" s="27"/>
      <c r="R39" s="27"/>
      <c r="S39" s="27"/>
    </row>
    <row r="40" spans="1:24">
      <c r="A40" s="27"/>
      <c r="B40" s="27"/>
      <c r="C40" s="27"/>
      <c r="D40" s="27"/>
      <c r="E40" s="27"/>
      <c r="F40" s="27"/>
      <c r="L40" s="27"/>
      <c r="M40" s="27"/>
      <c r="N40" s="27"/>
      <c r="O40" s="27"/>
      <c r="Q40" s="27"/>
      <c r="R40" s="27"/>
      <c r="S40" s="27"/>
    </row>
    <row r="41" spans="1:24">
      <c r="A41" s="27"/>
      <c r="B41" s="27"/>
      <c r="C41" s="27"/>
      <c r="D41" s="27"/>
      <c r="E41" s="27"/>
      <c r="F41" s="27"/>
      <c r="L41" s="27"/>
      <c r="M41" s="27"/>
      <c r="N41" s="27"/>
      <c r="O41" s="27"/>
      <c r="Q41" s="27"/>
      <c r="R41" s="27"/>
      <c r="S41" s="27"/>
    </row>
    <row r="42" spans="1:24">
      <c r="A42" s="27"/>
      <c r="B42" s="27"/>
      <c r="C42" s="27"/>
      <c r="D42" s="27"/>
      <c r="E42" s="27"/>
      <c r="F42" s="27"/>
      <c r="L42" s="27"/>
      <c r="M42" s="27"/>
      <c r="N42" s="27"/>
      <c r="O42" s="27"/>
      <c r="Q42" s="27"/>
      <c r="R42" s="27"/>
      <c r="S42" s="27"/>
    </row>
    <row r="43" spans="1:24">
      <c r="A43" s="27"/>
      <c r="B43" s="27"/>
      <c r="C43" s="27"/>
      <c r="D43" s="27"/>
      <c r="E43" s="27"/>
      <c r="F43" s="27"/>
      <c r="L43" s="27"/>
      <c r="M43" s="27"/>
      <c r="N43" s="27"/>
      <c r="O43" s="27"/>
      <c r="Q43" s="27"/>
      <c r="R43" s="27"/>
      <c r="S43" s="27"/>
    </row>
    <row r="44" spans="1:24">
      <c r="A44" s="27"/>
      <c r="B44" s="27"/>
      <c r="C44" s="27"/>
      <c r="D44" s="27"/>
      <c r="E44" s="27"/>
      <c r="F44" s="27"/>
      <c r="L44" s="27"/>
      <c r="M44" s="27"/>
      <c r="N44" s="27"/>
      <c r="O44" s="27"/>
      <c r="Q44" s="27"/>
      <c r="R44" s="27"/>
      <c r="S44" s="27"/>
    </row>
    <row r="45" spans="1:24">
      <c r="A45" s="27"/>
      <c r="B45" s="27"/>
      <c r="C45" s="27"/>
      <c r="D45" s="27"/>
      <c r="E45" s="27"/>
      <c r="F45" s="27"/>
      <c r="I45" s="110"/>
      <c r="L45" s="27"/>
      <c r="M45" s="27"/>
      <c r="N45" s="27"/>
      <c r="O45" s="27"/>
      <c r="Q45" s="27"/>
      <c r="R45" s="27"/>
      <c r="S45" s="27"/>
    </row>
    <row r="50" spans="1:6">
      <c r="A50" s="139"/>
      <c r="B50" s="140"/>
      <c r="C50" s="140"/>
      <c r="D50" s="140"/>
      <c r="E50" s="140"/>
      <c r="F50" s="141"/>
    </row>
    <row r="51" spans="1:6">
      <c r="A51" s="139"/>
      <c r="B51" s="140"/>
      <c r="C51" s="140"/>
      <c r="D51" s="140"/>
      <c r="E51" s="140"/>
      <c r="F51" s="142"/>
    </row>
    <row r="52" spans="1:6">
      <c r="A52" s="139"/>
      <c r="B52" s="140"/>
      <c r="C52" s="140"/>
      <c r="D52" s="140"/>
      <c r="E52" s="140"/>
      <c r="F52" s="143"/>
    </row>
    <row r="53" spans="1:6">
      <c r="A53" s="139"/>
      <c r="B53" s="140"/>
      <c r="C53" s="140"/>
      <c r="D53" s="140"/>
      <c r="E53" s="140"/>
      <c r="F53" s="141"/>
    </row>
    <row r="54" spans="1:6">
      <c r="A54" s="144"/>
      <c r="B54" s="140"/>
      <c r="C54" s="140"/>
      <c r="D54" s="140"/>
      <c r="E54" s="140"/>
      <c r="F54" s="145"/>
    </row>
  </sheetData>
  <sheetProtection algorithmName="SHA-512" hashValue="1tErZiAjeZxLvupm0nni6SqD1SufcANnpPIzfVaGAbmOZAVG6chxvhE2/jbMdSrzRQghVFbd8doYDd0ywMFMkw==" saltValue="RK/68P8bAMR61bwmhZ/cTw==" spinCount="100000" sheet="1" objects="1" scenarios="1"/>
  <mergeCells count="25">
    <mergeCell ref="I19:J19"/>
    <mergeCell ref="A28:E28"/>
    <mergeCell ref="L9:O9"/>
    <mergeCell ref="H9:J9"/>
    <mergeCell ref="A20:E20"/>
    <mergeCell ref="I12:J12"/>
    <mergeCell ref="I13:J13"/>
    <mergeCell ref="I14:J14"/>
    <mergeCell ref="I15:J15"/>
    <mergeCell ref="I16:J16"/>
    <mergeCell ref="I17:J17"/>
    <mergeCell ref="I18:J18"/>
    <mergeCell ref="I20:J20"/>
    <mergeCell ref="A25:E25"/>
    <mergeCell ref="A26:E26"/>
    <mergeCell ref="A27:E27"/>
    <mergeCell ref="A21:E21"/>
    <mergeCell ref="A22:E22"/>
    <mergeCell ref="A23:E23"/>
    <mergeCell ref="A24:E24"/>
    <mergeCell ref="B1:D1"/>
    <mergeCell ref="A19:E19"/>
    <mergeCell ref="A9:F9"/>
    <mergeCell ref="A17:E17"/>
    <mergeCell ref="A18:E18"/>
  </mergeCells>
  <dataValidations count="1">
    <dataValidation type="list" allowBlank="1" showInputMessage="1" showErrorMessage="1" sqref="F19" xr:uid="{00000000-0002-0000-0500-000000000000}">
      <formula1>$XFD$17:$XFD$19</formula1>
    </dataValidation>
  </dataValidations>
  <pageMargins left="0.69930555555555596" right="0.69930555555555596" top="0.75" bottom="0.75" header="0.3" footer="0.3"/>
  <pageSetup orientation="portrait" r:id="rId1"/>
  <ignoredErrors>
    <ignoredError sqref="C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XFC23"/>
  <sheetViews>
    <sheetView zoomScaleNormal="100" workbookViewId="0">
      <selection activeCell="E10" sqref="E10"/>
    </sheetView>
  </sheetViews>
  <sheetFormatPr defaultRowHeight="15"/>
  <cols>
    <col min="1" max="1" width="32.7109375" customWidth="1"/>
    <col min="2" max="2" width="15.5703125" customWidth="1"/>
    <col min="3" max="3" width="15.7109375" customWidth="1"/>
    <col min="4" max="4" width="22.140625" bestFit="1" customWidth="1"/>
    <col min="5" max="5" width="18.28515625" customWidth="1"/>
    <col min="6" max="6" width="24.5703125" customWidth="1"/>
    <col min="9" max="10" width="0" hidden="1" customWidth="1"/>
  </cols>
  <sheetData>
    <row r="1" spans="1:10 16383:16383" ht="15.75" thickBot="1">
      <c r="A1" s="8" t="s">
        <v>109</v>
      </c>
      <c r="B1" s="626" t="str">
        <f>'Policy Parameters'!B1</f>
        <v>ABC</v>
      </c>
      <c r="C1" s="627"/>
      <c r="D1" s="628"/>
    </row>
    <row r="2" spans="1:10 16383:16383">
      <c r="A2" s="18" t="s">
        <v>190</v>
      </c>
      <c r="B2" s="661" t="s">
        <v>193</v>
      </c>
      <c r="C2" s="662"/>
      <c r="D2" s="663"/>
      <c r="E2" s="236"/>
      <c r="XFC2" s="236" t="s">
        <v>191</v>
      </c>
    </row>
    <row r="3" spans="1:10 16383:16383">
      <c r="A3" s="9" t="s">
        <v>108</v>
      </c>
      <c r="B3" s="12" t="s">
        <v>0</v>
      </c>
      <c r="C3" s="12" t="s">
        <v>154</v>
      </c>
      <c r="D3" s="10" t="s">
        <v>1</v>
      </c>
      <c r="I3" s="236">
        <f>IF(B2="CA",IF(C4&gt;48,0,1),1)</f>
        <v>1</v>
      </c>
      <c r="J3">
        <f>IF(B2="CS",IF(C4&gt;48,0,1),1)</f>
        <v>1</v>
      </c>
      <c r="XFC3" s="236" t="s">
        <v>192</v>
      </c>
    </row>
    <row r="4" spans="1:10 16383:16383">
      <c r="A4" s="88">
        <v>2000000</v>
      </c>
      <c r="B4" s="89">
        <v>0.16</v>
      </c>
      <c r="C4" s="87">
        <v>48</v>
      </c>
      <c r="D4" s="24">
        <f>PMT(B4/12,C4,-A4)</f>
        <v>56680.561609583739</v>
      </c>
      <c r="XFC4" s="17" t="s">
        <v>193</v>
      </c>
    </row>
    <row r="5" spans="1:10 16383:16383" ht="15.75" thickBot="1"/>
    <row r="6" spans="1:10 16383:16383" ht="15.75" thickBot="1">
      <c r="A6" s="657" t="s">
        <v>406</v>
      </c>
      <c r="B6" s="658"/>
      <c r="C6" s="4"/>
      <c r="D6" s="659" t="s">
        <v>405</v>
      </c>
      <c r="E6" s="660"/>
      <c r="F6" s="4"/>
      <c r="G6" s="4"/>
    </row>
    <row r="7" spans="1:10 16383:16383">
      <c r="A7" s="150" t="s">
        <v>223</v>
      </c>
      <c r="B7" s="153">
        <f>'Consolidated Financial Spread'!C25</f>
        <v>0</v>
      </c>
      <c r="C7" s="13"/>
      <c r="D7" s="157" t="s">
        <v>168</v>
      </c>
      <c r="E7" s="261">
        <f>IF(B2="CA",MINA('Consolidated Financial Spread'!B6*150%,'Consolidated Financial Spread'!C6),IF(B2="CS",MINA('Consolidated Financial Spread'!B6*150%,'Consolidated Financial Spread'!C6),'Consolidated Financial Spread'!C6))</f>
        <v>0</v>
      </c>
      <c r="F7" s="4" t="str">
        <f>IF(AND(B2="Doctor",'Consolidated Financial Spread'!C6&lt;1500000,'Policy Parameters'!B3&lt;&gt;'Policy Parameters'!N4),"GPR less than Norms",IF(AND(B2="Doctor",'Consolidated Financial Spread'!C6&lt;1000000,'Policy Parameters'!B3='Policy Parameters'!N4),"GPR less than Norms",""))</f>
        <v>GPR less than Norms</v>
      </c>
      <c r="G7" s="4"/>
    </row>
    <row r="8" spans="1:10 16383:16383">
      <c r="A8" s="151" t="s">
        <v>401</v>
      </c>
      <c r="B8" s="154">
        <f>'Consolidated Financial Spread'!C26</f>
        <v>0</v>
      </c>
      <c r="C8" s="13"/>
      <c r="D8" s="158" t="s">
        <v>165</v>
      </c>
      <c r="E8" s="161">
        <f>IF(AND(B2="Doctor",'Consolidated Financial Spread'!C6&lt;=50000000),2,IF(AND(B2="Doctor",'Consolidated Financial Spread'!C6&lt;=100000000),1,IF(AND(B2="Doctor",'Consolidated Financial Spread'!C6&gt;100000000),0,2)))</f>
        <v>2</v>
      </c>
      <c r="F8" s="4" t="str">
        <f>IF(AND(B2="doctor",'Consolidated Financial Spread'!C6&gt;100000000),"Not Allowed under GPR","")</f>
        <v/>
      </c>
      <c r="G8" s="4"/>
    </row>
    <row r="9" spans="1:10 16383:16383">
      <c r="A9" s="151" t="s">
        <v>402</v>
      </c>
      <c r="B9" s="154">
        <f>'Consolidated Financial Spread'!C27</f>
        <v>0</v>
      </c>
      <c r="C9" s="13"/>
      <c r="D9" s="158" t="s">
        <v>166</v>
      </c>
      <c r="E9" s="162">
        <f>E7*E8</f>
        <v>0</v>
      </c>
      <c r="F9" s="4"/>
      <c r="G9" s="4"/>
    </row>
    <row r="10" spans="1:10 16383:16383">
      <c r="A10" s="151" t="s">
        <v>165</v>
      </c>
      <c r="B10" s="151">
        <f>IF(B2="Doctor",4,2)</f>
        <v>4</v>
      </c>
      <c r="C10" s="13"/>
      <c r="D10" s="159" t="s">
        <v>169</v>
      </c>
      <c r="E10" s="162">
        <f>E9</f>
        <v>0</v>
      </c>
      <c r="F10" s="4"/>
      <c r="G10" s="4"/>
    </row>
    <row r="11" spans="1:10 16383:16383">
      <c r="A11" s="151" t="s">
        <v>166</v>
      </c>
      <c r="B11" s="154">
        <f>(B9*B10)</f>
        <v>0</v>
      </c>
      <c r="C11" s="13"/>
      <c r="D11" s="158" t="s">
        <v>170</v>
      </c>
      <c r="E11" s="162">
        <f>Loandetails1!O71*12</f>
        <v>0</v>
      </c>
      <c r="F11" s="4"/>
      <c r="G11" s="4"/>
    </row>
    <row r="12" spans="1:10 16383:16383" ht="15.75" thickBot="1">
      <c r="A12" s="151" t="s">
        <v>167</v>
      </c>
      <c r="B12" s="154">
        <f>IF(B2="Doctor",'Consolidated Financial Spread'!C24,0)</f>
        <v>0</v>
      </c>
      <c r="C12" s="13"/>
      <c r="D12" s="160" t="s">
        <v>171</v>
      </c>
      <c r="E12" s="163">
        <f>E10-E11</f>
        <v>0</v>
      </c>
      <c r="F12" s="4"/>
      <c r="G12" s="4"/>
    </row>
    <row r="13" spans="1:10 16383:16383">
      <c r="A13" s="151" t="s">
        <v>226</v>
      </c>
      <c r="B13" s="154">
        <f>IF(B3="Doctor",'Consolidated Financial Spread'!C20,0)</f>
        <v>0</v>
      </c>
      <c r="C13" s="13"/>
      <c r="D13" s="14"/>
      <c r="E13" s="15"/>
      <c r="F13" s="4"/>
      <c r="G13" s="4"/>
    </row>
    <row r="14" spans="1:10 16383:16383">
      <c r="A14" s="151" t="s">
        <v>227</v>
      </c>
      <c r="B14" s="155"/>
      <c r="C14" s="13"/>
      <c r="D14" s="14"/>
      <c r="E14" s="14"/>
      <c r="F14" s="4"/>
      <c r="G14" s="4"/>
    </row>
    <row r="15" spans="1:10 16383:16383">
      <c r="A15" s="151" t="s">
        <v>228</v>
      </c>
      <c r="B15" s="154">
        <f>(B13+B12+B11+B14)</f>
        <v>0</v>
      </c>
      <c r="C15" s="13"/>
      <c r="D15" s="16" t="str">
        <f>IF(OR(D16&lt;&gt;"",D17&lt;&gt;""),"Additional Norms","")</f>
        <v>Additional Norms</v>
      </c>
      <c r="E15" s="14"/>
      <c r="F15" s="4"/>
      <c r="G15" s="4"/>
    </row>
    <row r="16" spans="1:10 16383:16383">
      <c r="A16" s="151" t="s">
        <v>229</v>
      </c>
      <c r="B16" s="154">
        <f>B15/12</f>
        <v>0</v>
      </c>
      <c r="C16" s="13"/>
      <c r="D16" s="14" t="str">
        <f>IF(AND(B2="Doctor",'Consolidated Financial Spread'!C6&lt;800000,'Policy Parameters'!B3&lt;&gt;'Policy Parameters'!N4),"Min GPR below norms",IF(AND(B2="Doctor",'Consolidated Financial Spread'!C6&lt;600000,'Policy Parameters'!B3='Policy Parameters'!N4),"Min GPR below norms",IF(AND(OR(B2="CA",B2="CS"),'Consolidated Financial Spread'!C6&lt;1000000,'Policy Parameters'!B3&lt;&gt;'Policy Parameters'!N4),"Min GPR below norms",IF(AND(OR(B2="CA",B2="CS"),'Consolidated Financial Spread'!C6&lt;750000,'Policy Parameters'!B3='Policy Parameters'!N4),"Min GPR below norms",""))))</f>
        <v>Min GPR below norms</v>
      </c>
      <c r="E16" s="14"/>
      <c r="F16" s="4"/>
      <c r="G16" s="4"/>
    </row>
    <row r="17" spans="1:8">
      <c r="A17" s="151" t="s">
        <v>230</v>
      </c>
      <c r="B17" s="154">
        <f>Loandetails1!O71</f>
        <v>0</v>
      </c>
      <c r="C17" s="13"/>
      <c r="D17" s="4"/>
      <c r="E17" s="4"/>
      <c r="F17" s="4"/>
      <c r="G17" s="4"/>
      <c r="H17" s="19"/>
    </row>
    <row r="18" spans="1:8" ht="15.75" thickBot="1">
      <c r="A18" s="152" t="s">
        <v>231</v>
      </c>
      <c r="B18" s="156">
        <f>B16-B17</f>
        <v>0</v>
      </c>
      <c r="C18" s="4"/>
      <c r="D18" s="4"/>
      <c r="E18" s="4"/>
      <c r="F18" s="4"/>
      <c r="G18" s="4"/>
    </row>
    <row r="19" spans="1:8" ht="15.75" thickBot="1">
      <c r="A19" s="148"/>
      <c r="B19" s="149"/>
      <c r="C19" s="4"/>
      <c r="D19" s="4"/>
      <c r="E19" s="4"/>
      <c r="F19" s="4"/>
      <c r="G19" s="4"/>
    </row>
    <row r="20" spans="1:8" ht="15.75" thickBot="1">
      <c r="A20" s="22" t="s">
        <v>96</v>
      </c>
      <c r="B20" s="23">
        <f>B18</f>
        <v>0</v>
      </c>
      <c r="C20" s="4"/>
      <c r="D20" s="4"/>
      <c r="E20" s="4"/>
      <c r="F20" s="4"/>
      <c r="G20" s="4"/>
    </row>
    <row r="21" spans="1:8" ht="15.75" thickBot="1">
      <c r="A21" s="22" t="s">
        <v>75</v>
      </c>
      <c r="B21" s="22">
        <f>IF(B2="Doctor",MINA(C4,60),MINA(C4,48))</f>
        <v>48</v>
      </c>
      <c r="C21" s="4"/>
      <c r="F21" s="4"/>
      <c r="G21" s="4"/>
    </row>
    <row r="22" spans="1:8" ht="15.75" thickBot="1">
      <c r="A22" s="22" t="s">
        <v>0</v>
      </c>
      <c r="B22" s="90">
        <f>B4</f>
        <v>0.16</v>
      </c>
    </row>
    <row r="23" spans="1:8" ht="15.75" thickBot="1">
      <c r="A23" s="22" t="s">
        <v>232</v>
      </c>
      <c r="B23" s="237">
        <f>B20/PMT(B22/12,B21,-100000)</f>
        <v>0</v>
      </c>
    </row>
  </sheetData>
  <sheetProtection algorithmName="SHA-512" hashValue="Kb2AZsHT7fIaDfxFHSAtD5NG8WqDaWaTvOYSQuOgMvjYbZEMWsvPJyJ43pSL8mwBFBnR9YtVJdWIcsTlET0faQ==" saltValue="ZoNJkNkUhusyMrj/Iuk/1w==" spinCount="100000" sheet="1" objects="1" scenarios="1"/>
  <mergeCells count="4">
    <mergeCell ref="B1:D1"/>
    <mergeCell ref="A6:B6"/>
    <mergeCell ref="D6:E6"/>
    <mergeCell ref="B2:D2"/>
  </mergeCells>
  <conditionalFormatting sqref="C4">
    <cfRule type="expression" dxfId="259" priority="48">
      <formula>$J$3=0</formula>
    </cfRule>
    <cfRule type="expression" dxfId="258" priority="49">
      <formula>$I$3=0</formula>
    </cfRule>
  </conditionalFormatting>
  <conditionalFormatting sqref="D16">
    <cfRule type="containsText" dxfId="257" priority="3" operator="containsText" text="Min GPR below norms">
      <formula>NOT(ISERROR(SEARCH("Min GPR below norms",D16)))</formula>
    </cfRule>
  </conditionalFormatting>
  <conditionalFormatting sqref="F7">
    <cfRule type="containsText" dxfId="256" priority="2" operator="containsText" text="GPR less than Norm">
      <formula>NOT(ISERROR(SEARCH("GPR less than Norm",F7)))</formula>
    </cfRule>
  </conditionalFormatting>
  <conditionalFormatting sqref="F8">
    <cfRule type="containsText" dxfId="255" priority="1" operator="containsText" text="Not Allowed">
      <formula>NOT(ISERROR(SEARCH("Not Allowed",F8)))</formula>
    </cfRule>
  </conditionalFormatting>
  <dataValidations count="1">
    <dataValidation type="list" allowBlank="1" showInputMessage="1" showErrorMessage="1" sqref="B2:D2" xr:uid="{00000000-0002-0000-0600-000000000000}">
      <formula1>$XFC$2:$XFC$4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R111"/>
  <sheetViews>
    <sheetView zoomScaleNormal="100" workbookViewId="0">
      <selection activeCell="P5" sqref="P5"/>
    </sheetView>
  </sheetViews>
  <sheetFormatPr defaultColWidth="9" defaultRowHeight="15"/>
  <cols>
    <col min="1" max="1" width="2.85546875" style="45" customWidth="1"/>
    <col min="2" max="2" width="7.7109375" style="45" customWidth="1"/>
    <col min="3" max="3" width="23.42578125" style="45" bestFit="1" customWidth="1"/>
    <col min="4" max="4" width="13.140625" style="45" customWidth="1"/>
    <col min="5" max="5" width="2.85546875" style="45" customWidth="1"/>
    <col min="6" max="6" width="5.42578125" style="45" bestFit="1" customWidth="1"/>
    <col min="7" max="7" width="7.42578125" style="45" bestFit="1" customWidth="1"/>
    <col min="8" max="8" width="23.42578125" style="45" bestFit="1" customWidth="1"/>
    <col min="9" max="9" width="11.7109375" style="45" customWidth="1"/>
    <col min="10" max="10" width="3.7109375" style="45" customWidth="1"/>
    <col min="11" max="12" width="19.140625" style="45" bestFit="1" customWidth="1"/>
    <col min="13" max="13" width="17.85546875" style="45" bestFit="1" customWidth="1"/>
    <col min="14" max="14" width="11" style="45" customWidth="1"/>
    <col min="15" max="15" width="13.140625" style="45" bestFit="1" customWidth="1"/>
    <col min="16" max="16" width="18.5703125" style="45" bestFit="1" customWidth="1"/>
    <col min="17" max="17" width="18.85546875" style="45" customWidth="1"/>
    <col min="18" max="18" width="23.85546875" style="45" customWidth="1"/>
    <col min="19" max="19" width="9.7109375" style="45" customWidth="1"/>
    <col min="20" max="20" width="7.42578125" style="45" bestFit="1" customWidth="1"/>
    <col min="21" max="21" width="18.5703125" style="45" bestFit="1" customWidth="1"/>
    <col min="22" max="22" width="5.5703125" style="45" bestFit="1" customWidth="1"/>
    <col min="23" max="23" width="3" style="45" customWidth="1"/>
    <col min="24" max="24" width="5.42578125" style="45" bestFit="1" customWidth="1"/>
    <col min="25" max="25" width="7.42578125" style="45" bestFit="1" customWidth="1"/>
    <col min="26" max="26" width="18.5703125" style="45" bestFit="1" customWidth="1"/>
    <col min="27" max="27" width="5.5703125" style="45" bestFit="1" customWidth="1"/>
    <col min="28" max="28" width="3" style="45" customWidth="1"/>
    <col min="29" max="29" width="5.42578125" style="45" bestFit="1" customWidth="1"/>
    <col min="30" max="30" width="7.42578125" style="45" bestFit="1" customWidth="1"/>
    <col min="31" max="31" width="18.5703125" style="45" bestFit="1" customWidth="1"/>
    <col min="32" max="32" width="5.5703125" style="45" bestFit="1" customWidth="1"/>
    <col min="33" max="16384" width="9" style="45"/>
  </cols>
  <sheetData>
    <row r="1" spans="1:18" ht="18" customHeight="1">
      <c r="A1" s="667" t="s">
        <v>146</v>
      </c>
      <c r="B1" s="668"/>
      <c r="C1" s="668"/>
      <c r="D1" s="668"/>
      <c r="E1" s="27"/>
      <c r="F1" s="667" t="s">
        <v>147</v>
      </c>
      <c r="G1" s="668"/>
      <c r="H1" s="668"/>
      <c r="I1" s="668"/>
      <c r="K1" s="666" t="s">
        <v>186</v>
      </c>
      <c r="L1" s="666"/>
      <c r="M1" s="666"/>
      <c r="N1" s="666"/>
      <c r="O1" s="666"/>
      <c r="Q1" s="667" t="s">
        <v>423</v>
      </c>
      <c r="R1" s="672"/>
    </row>
    <row r="2" spans="1:18" ht="15.75" customHeight="1">
      <c r="A2" s="42" t="s">
        <v>67</v>
      </c>
      <c r="B2" s="42" t="s">
        <v>68</v>
      </c>
      <c r="C2" s="174" t="s">
        <v>315</v>
      </c>
      <c r="D2" s="31" t="s">
        <v>150</v>
      </c>
      <c r="E2" s="27"/>
      <c r="F2" s="42" t="s">
        <v>67</v>
      </c>
      <c r="G2" s="42" t="s">
        <v>68</v>
      </c>
      <c r="H2" s="174" t="s">
        <v>315</v>
      </c>
      <c r="I2" s="31" t="s">
        <v>150</v>
      </c>
      <c r="K2" s="46"/>
      <c r="L2" s="47" t="s">
        <v>400</v>
      </c>
      <c r="M2" s="47" t="s">
        <v>184</v>
      </c>
      <c r="N2" s="664" t="str">
        <f>IF(N15&lt;0,"Turnover Degrowth","Turnover Growth")</f>
        <v>Turnover Growth</v>
      </c>
      <c r="O2" s="664" t="str">
        <f>IF(O15&lt;0,"Profit Degrowth","Profit Growth")</f>
        <v>Profit Growth</v>
      </c>
      <c r="Q2" s="45" t="s">
        <v>424</v>
      </c>
      <c r="R2" s="507" t="s">
        <v>315</v>
      </c>
    </row>
    <row r="3" spans="1:18">
      <c r="A3" s="48">
        <v>1</v>
      </c>
      <c r="B3" s="49">
        <f>B19</f>
        <v>43556</v>
      </c>
      <c r="C3" s="50">
        <f>+C19+C35+C51+C67+C83+C99</f>
        <v>0</v>
      </c>
      <c r="D3" s="51" t="str">
        <f>IFERROR(C3/C15,"")</f>
        <v/>
      </c>
      <c r="E3" s="27"/>
      <c r="F3" s="48">
        <v>1</v>
      </c>
      <c r="G3" s="49">
        <f>G19</f>
        <v>43922</v>
      </c>
      <c r="H3" s="50">
        <f>H19+H35+H51+H67+H83+H99</f>
        <v>0</v>
      </c>
      <c r="I3" s="51" t="str">
        <f>IFERROR(H3/H15,"")</f>
        <v/>
      </c>
      <c r="K3" s="52" t="s">
        <v>135</v>
      </c>
      <c r="L3" s="53">
        <f>C3</f>
        <v>0</v>
      </c>
      <c r="M3" s="53">
        <f>H3</f>
        <v>0</v>
      </c>
      <c r="N3" s="664"/>
      <c r="O3" s="664"/>
      <c r="Q3" s="508">
        <v>43922</v>
      </c>
      <c r="R3" s="26"/>
    </row>
    <row r="4" spans="1:18">
      <c r="A4" s="48">
        <v>2</v>
      </c>
      <c r="B4" s="49">
        <f>B3+31</f>
        <v>43587</v>
      </c>
      <c r="C4" s="50">
        <f t="shared" ref="C4:C14" si="0">+C20+C36+C52+C68+C84+C100</f>
        <v>0</v>
      </c>
      <c r="D4" s="51" t="str">
        <f>IFERROR(C4/C15,"")</f>
        <v/>
      </c>
      <c r="E4" s="27"/>
      <c r="F4" s="48">
        <v>2</v>
      </c>
      <c r="G4" s="49">
        <f>G3+31</f>
        <v>43953</v>
      </c>
      <c r="H4" s="50">
        <f t="shared" ref="H4:H14" si="1">H20+H36+H52+H68+H84+H100</f>
        <v>0</v>
      </c>
      <c r="I4" s="51" t="str">
        <f>IFERROR(H4/H15,"")</f>
        <v/>
      </c>
      <c r="K4" s="46" t="s">
        <v>136</v>
      </c>
      <c r="L4" s="53">
        <f t="shared" ref="L4:L14" si="2">C4</f>
        <v>0</v>
      </c>
      <c r="M4" s="53">
        <f t="shared" ref="M4:M9" si="3">H4</f>
        <v>0</v>
      </c>
      <c r="N4" s="664"/>
      <c r="O4" s="664"/>
      <c r="Q4" s="509">
        <f>EDATE(Q3,1)</f>
        <v>43952</v>
      </c>
      <c r="R4" s="26"/>
    </row>
    <row r="5" spans="1:18">
      <c r="A5" s="48">
        <v>3</v>
      </c>
      <c r="B5" s="49">
        <f t="shared" ref="B5:B14" si="4">B4+31</f>
        <v>43618</v>
      </c>
      <c r="C5" s="50">
        <f t="shared" si="0"/>
        <v>0</v>
      </c>
      <c r="D5" s="51" t="str">
        <f>IFERROR(C5/C15,"")</f>
        <v/>
      </c>
      <c r="E5" s="27"/>
      <c r="F5" s="48">
        <v>3</v>
      </c>
      <c r="G5" s="49">
        <f t="shared" ref="G5:G14" si="5">G4+31</f>
        <v>43984</v>
      </c>
      <c r="H5" s="50">
        <f t="shared" si="1"/>
        <v>0</v>
      </c>
      <c r="I5" s="51" t="str">
        <f>IFERROR(H5/H15,"")</f>
        <v/>
      </c>
      <c r="K5" s="52" t="s">
        <v>219</v>
      </c>
      <c r="L5" s="53">
        <f t="shared" si="2"/>
        <v>0</v>
      </c>
      <c r="M5" s="53">
        <f t="shared" si="3"/>
        <v>0</v>
      </c>
      <c r="N5" s="664"/>
      <c r="O5" s="664"/>
      <c r="Q5" s="509">
        <f t="shared" ref="Q5:Q14" si="6">EDATE(Q4,1)</f>
        <v>43983</v>
      </c>
      <c r="R5" s="26"/>
    </row>
    <row r="6" spans="1:18">
      <c r="A6" s="48">
        <v>4</v>
      </c>
      <c r="B6" s="49">
        <f t="shared" si="4"/>
        <v>43649</v>
      </c>
      <c r="C6" s="50">
        <f t="shared" si="0"/>
        <v>0</v>
      </c>
      <c r="D6" s="51" t="str">
        <f>IFERROR(C6/C15,"")</f>
        <v/>
      </c>
      <c r="E6" s="27"/>
      <c r="F6" s="48">
        <v>4</v>
      </c>
      <c r="G6" s="49">
        <f t="shared" si="5"/>
        <v>44015</v>
      </c>
      <c r="H6" s="50">
        <f t="shared" si="1"/>
        <v>0</v>
      </c>
      <c r="I6" s="51" t="str">
        <f>IFERROR(H6/H15,"")</f>
        <v/>
      </c>
      <c r="K6" s="52" t="s">
        <v>137</v>
      </c>
      <c r="L6" s="53">
        <f t="shared" si="2"/>
        <v>0</v>
      </c>
      <c r="M6" s="53">
        <f t="shared" si="3"/>
        <v>0</v>
      </c>
      <c r="N6" s="664"/>
      <c r="O6" s="664"/>
      <c r="Q6" s="509">
        <f t="shared" si="6"/>
        <v>44013</v>
      </c>
      <c r="R6" s="26"/>
    </row>
    <row r="7" spans="1:18">
      <c r="A7" s="48">
        <v>5</v>
      </c>
      <c r="B7" s="49">
        <f t="shared" si="4"/>
        <v>43680</v>
      </c>
      <c r="C7" s="50">
        <f t="shared" si="0"/>
        <v>0</v>
      </c>
      <c r="D7" s="51" t="str">
        <f>IFERROR(C7/C15,"")</f>
        <v/>
      </c>
      <c r="E7" s="27"/>
      <c r="F7" s="48">
        <v>5</v>
      </c>
      <c r="G7" s="49">
        <f t="shared" si="5"/>
        <v>44046</v>
      </c>
      <c r="H7" s="50">
        <f t="shared" si="1"/>
        <v>0</v>
      </c>
      <c r="I7" s="51" t="str">
        <f>IFERROR(H7/H15,"")</f>
        <v/>
      </c>
      <c r="K7" s="52" t="s">
        <v>138</v>
      </c>
      <c r="L7" s="53">
        <f t="shared" si="2"/>
        <v>0</v>
      </c>
      <c r="M7" s="53">
        <f t="shared" si="3"/>
        <v>0</v>
      </c>
      <c r="N7" s="664"/>
      <c r="O7" s="664"/>
      <c r="P7" s="54"/>
      <c r="Q7" s="509">
        <f t="shared" si="6"/>
        <v>44044</v>
      </c>
      <c r="R7" s="26"/>
    </row>
    <row r="8" spans="1:18">
      <c r="A8" s="48">
        <v>6</v>
      </c>
      <c r="B8" s="49">
        <f t="shared" si="4"/>
        <v>43711</v>
      </c>
      <c r="C8" s="50">
        <f t="shared" si="0"/>
        <v>0</v>
      </c>
      <c r="D8" s="51" t="str">
        <f>IFERROR(C8/C15,"")</f>
        <v/>
      </c>
      <c r="E8" s="27"/>
      <c r="F8" s="48">
        <v>6</v>
      </c>
      <c r="G8" s="49">
        <f t="shared" si="5"/>
        <v>44077</v>
      </c>
      <c r="H8" s="50">
        <f t="shared" si="1"/>
        <v>0</v>
      </c>
      <c r="I8" s="51" t="str">
        <f>IFERROR(H8/H15,"")</f>
        <v/>
      </c>
      <c r="K8" s="52" t="s">
        <v>139</v>
      </c>
      <c r="L8" s="53">
        <f t="shared" si="2"/>
        <v>0</v>
      </c>
      <c r="M8" s="53">
        <f t="shared" si="3"/>
        <v>0</v>
      </c>
      <c r="N8" s="664"/>
      <c r="O8" s="664"/>
      <c r="Q8" s="509">
        <f t="shared" si="6"/>
        <v>44075</v>
      </c>
      <c r="R8" s="26"/>
    </row>
    <row r="9" spans="1:18">
      <c r="A9" s="48">
        <v>7</v>
      </c>
      <c r="B9" s="49">
        <f t="shared" si="4"/>
        <v>43742</v>
      </c>
      <c r="C9" s="50">
        <f t="shared" si="0"/>
        <v>0</v>
      </c>
      <c r="D9" s="51" t="str">
        <f>IFERROR(C9/C15,"")</f>
        <v/>
      </c>
      <c r="E9" s="27"/>
      <c r="F9" s="48">
        <v>7</v>
      </c>
      <c r="G9" s="49">
        <f t="shared" si="5"/>
        <v>44108</v>
      </c>
      <c r="H9" s="50">
        <f t="shared" si="1"/>
        <v>0</v>
      </c>
      <c r="I9" s="51" t="str">
        <f>IFERROR(H9/H15,"")</f>
        <v/>
      </c>
      <c r="K9" s="52" t="s">
        <v>140</v>
      </c>
      <c r="L9" s="53">
        <f t="shared" si="2"/>
        <v>0</v>
      </c>
      <c r="M9" s="53">
        <f t="shared" si="3"/>
        <v>0</v>
      </c>
      <c r="N9" s="664"/>
      <c r="O9" s="664"/>
      <c r="Q9" s="509">
        <f t="shared" si="6"/>
        <v>44105</v>
      </c>
      <c r="R9" s="26"/>
    </row>
    <row r="10" spans="1:18">
      <c r="A10" s="48">
        <v>8</v>
      </c>
      <c r="B10" s="49">
        <f t="shared" si="4"/>
        <v>43773</v>
      </c>
      <c r="C10" s="50">
        <f t="shared" si="0"/>
        <v>0</v>
      </c>
      <c r="D10" s="51" t="str">
        <f>IFERROR(C10/C15,"")</f>
        <v/>
      </c>
      <c r="E10" s="27"/>
      <c r="F10" s="48">
        <v>8</v>
      </c>
      <c r="G10" s="49">
        <f t="shared" si="5"/>
        <v>44139</v>
      </c>
      <c r="H10" s="50">
        <f t="shared" si="1"/>
        <v>0</v>
      </c>
      <c r="I10" s="51" t="str">
        <f>IFERROR(H10/H15,"")</f>
        <v/>
      </c>
      <c r="K10" s="52" t="s">
        <v>130</v>
      </c>
      <c r="L10" s="53">
        <f t="shared" si="2"/>
        <v>0</v>
      </c>
      <c r="M10" s="53">
        <f>H10</f>
        <v>0</v>
      </c>
      <c r="N10" s="664"/>
      <c r="O10" s="664"/>
      <c r="Q10" s="509">
        <f t="shared" si="6"/>
        <v>44136</v>
      </c>
      <c r="R10" s="26"/>
    </row>
    <row r="11" spans="1:18">
      <c r="A11" s="48">
        <v>9</v>
      </c>
      <c r="B11" s="49">
        <f t="shared" si="4"/>
        <v>43804</v>
      </c>
      <c r="C11" s="50">
        <f t="shared" si="0"/>
        <v>0</v>
      </c>
      <c r="D11" s="51" t="str">
        <f>IFERROR(C11/C15,"")</f>
        <v/>
      </c>
      <c r="E11" s="27"/>
      <c r="F11" s="48">
        <v>9</v>
      </c>
      <c r="G11" s="49">
        <f t="shared" si="5"/>
        <v>44170</v>
      </c>
      <c r="H11" s="50">
        <f t="shared" si="1"/>
        <v>0</v>
      </c>
      <c r="I11" s="51" t="str">
        <f>IFERROR(H11/H15,"")</f>
        <v/>
      </c>
      <c r="K11" s="52" t="s">
        <v>131</v>
      </c>
      <c r="L11" s="53">
        <f t="shared" si="2"/>
        <v>0</v>
      </c>
      <c r="M11" s="53">
        <f>H11</f>
        <v>0</v>
      </c>
      <c r="N11" s="664"/>
      <c r="O11" s="664"/>
      <c r="Q11" s="509">
        <f t="shared" si="6"/>
        <v>44166</v>
      </c>
      <c r="R11" s="26"/>
    </row>
    <row r="12" spans="1:18">
      <c r="A12" s="48">
        <v>10</v>
      </c>
      <c r="B12" s="49">
        <f t="shared" si="4"/>
        <v>43835</v>
      </c>
      <c r="C12" s="50">
        <f t="shared" si="0"/>
        <v>0</v>
      </c>
      <c r="D12" s="51" t="str">
        <f>IFERROR(C12/C15,"")</f>
        <v/>
      </c>
      <c r="E12" s="27"/>
      <c r="F12" s="48">
        <v>10</v>
      </c>
      <c r="G12" s="49">
        <f t="shared" si="5"/>
        <v>44201</v>
      </c>
      <c r="H12" s="50">
        <f t="shared" si="1"/>
        <v>0</v>
      </c>
      <c r="I12" s="51" t="str">
        <f>IFERROR(H12/H15,"")</f>
        <v/>
      </c>
      <c r="K12" s="52" t="s">
        <v>132</v>
      </c>
      <c r="L12" s="53">
        <f t="shared" si="2"/>
        <v>0</v>
      </c>
      <c r="M12" s="416">
        <f>H12</f>
        <v>0</v>
      </c>
      <c r="N12" s="664"/>
      <c r="O12" s="664"/>
      <c r="Q12" s="509">
        <f t="shared" si="6"/>
        <v>44197</v>
      </c>
      <c r="R12" s="26"/>
    </row>
    <row r="13" spans="1:18">
      <c r="A13" s="48">
        <v>11</v>
      </c>
      <c r="B13" s="49">
        <f t="shared" si="4"/>
        <v>43866</v>
      </c>
      <c r="C13" s="50">
        <f t="shared" si="0"/>
        <v>0</v>
      </c>
      <c r="D13" s="51" t="str">
        <f>IFERROR(C13/C15,"")</f>
        <v/>
      </c>
      <c r="E13" s="27"/>
      <c r="F13" s="48">
        <v>11</v>
      </c>
      <c r="G13" s="49">
        <f t="shared" si="5"/>
        <v>44232</v>
      </c>
      <c r="H13" s="50">
        <f t="shared" si="1"/>
        <v>0</v>
      </c>
      <c r="I13" s="51" t="str">
        <f>IFERROR(H13/H15,"")</f>
        <v/>
      </c>
      <c r="K13" s="52" t="s">
        <v>133</v>
      </c>
      <c r="L13" s="53">
        <f t="shared" si="2"/>
        <v>0</v>
      </c>
      <c r="M13" s="416">
        <f>H13</f>
        <v>0</v>
      </c>
      <c r="N13" s="664"/>
      <c r="O13" s="664"/>
      <c r="Q13" s="509">
        <f t="shared" si="6"/>
        <v>44228</v>
      </c>
      <c r="R13" s="26"/>
    </row>
    <row r="14" spans="1:18" ht="15.75" thickBot="1">
      <c r="A14" s="48">
        <v>12</v>
      </c>
      <c r="B14" s="49">
        <f t="shared" si="4"/>
        <v>43897</v>
      </c>
      <c r="C14" s="50">
        <f t="shared" si="0"/>
        <v>0</v>
      </c>
      <c r="D14" s="51" t="str">
        <f>IFERROR(C14/C15,"")</f>
        <v/>
      </c>
      <c r="E14" s="27"/>
      <c r="F14" s="48">
        <v>12</v>
      </c>
      <c r="G14" s="49">
        <f t="shared" si="5"/>
        <v>44263</v>
      </c>
      <c r="H14" s="50">
        <f t="shared" si="1"/>
        <v>0</v>
      </c>
      <c r="I14" s="51" t="str">
        <f>IFERROR(H14/H15,"")</f>
        <v/>
      </c>
      <c r="K14" s="55" t="s">
        <v>134</v>
      </c>
      <c r="L14" s="56">
        <f t="shared" si="2"/>
        <v>0</v>
      </c>
      <c r="M14" s="416">
        <f>H14</f>
        <v>0</v>
      </c>
      <c r="N14" s="665"/>
      <c r="O14" s="665"/>
      <c r="Q14" s="509">
        <f t="shared" si="6"/>
        <v>44256</v>
      </c>
      <c r="R14" s="26"/>
    </row>
    <row r="15" spans="1:18" ht="15.75" thickBot="1">
      <c r="A15" s="666" t="s">
        <v>52</v>
      </c>
      <c r="B15" s="666"/>
      <c r="C15" s="57">
        <f>SUM(C3:C14)</f>
        <v>0</v>
      </c>
      <c r="D15" s="51">
        <f>IFERROR(SUM(D3:D14),"")</f>
        <v>0</v>
      </c>
      <c r="E15" s="27"/>
      <c r="F15" s="666" t="s">
        <v>52</v>
      </c>
      <c r="G15" s="666"/>
      <c r="H15" s="57">
        <f>SUM(H3:H14)</f>
        <v>0</v>
      </c>
      <c r="I15" s="58">
        <f>SUM(I3:I14)</f>
        <v>0</v>
      </c>
      <c r="K15" s="59" t="s">
        <v>407</v>
      </c>
      <c r="L15" s="60">
        <f>SUM(L3:L14)</f>
        <v>0</v>
      </c>
      <c r="M15" s="197">
        <f>SUM(M3:M14)</f>
        <v>0</v>
      </c>
      <c r="N15" s="61" t="str">
        <f>IFERROR(+(M15-L15)/L15,"")</f>
        <v/>
      </c>
      <c r="O15" s="61" t="str">
        <f>IFERROR(+N15,"")</f>
        <v/>
      </c>
      <c r="Q15" s="510" t="s">
        <v>407</v>
      </c>
      <c r="R15" s="510">
        <f>SUM(R3:R14)</f>
        <v>0</v>
      </c>
    </row>
    <row r="17" spans="1:15">
      <c r="A17" s="669" t="s">
        <v>205</v>
      </c>
      <c r="B17" s="670"/>
      <c r="C17" s="670"/>
      <c r="D17" s="671"/>
      <c r="F17" s="669" t="s">
        <v>205</v>
      </c>
      <c r="G17" s="670"/>
      <c r="H17" s="670"/>
      <c r="I17" s="671"/>
      <c r="K17" s="62"/>
      <c r="L17" s="63" t="s">
        <v>220</v>
      </c>
      <c r="M17" s="64">
        <f>L15</f>
        <v>0</v>
      </c>
    </row>
    <row r="18" spans="1:15">
      <c r="A18" s="42" t="s">
        <v>67</v>
      </c>
      <c r="B18" s="42" t="s">
        <v>68</v>
      </c>
      <c r="C18" s="31" t="s">
        <v>315</v>
      </c>
      <c r="D18" s="48"/>
      <c r="F18" s="42" t="s">
        <v>67</v>
      </c>
      <c r="G18" s="42" t="s">
        <v>68</v>
      </c>
      <c r="H18" s="170" t="s">
        <v>315</v>
      </c>
      <c r="I18" s="48"/>
      <c r="K18" s="62"/>
      <c r="L18" s="63" t="s">
        <v>221</v>
      </c>
      <c r="M18" s="64">
        <f>M15</f>
        <v>0</v>
      </c>
      <c r="O18" s="164"/>
    </row>
    <row r="19" spans="1:15">
      <c r="A19" s="48">
        <v>1</v>
      </c>
      <c r="B19" s="73">
        <v>43556</v>
      </c>
      <c r="C19" s="520"/>
      <c r="D19" s="65" t="str">
        <f>IFERROR(C19/C31,"")</f>
        <v/>
      </c>
      <c r="F19" s="48">
        <v>1</v>
      </c>
      <c r="G19" s="73">
        <v>43922</v>
      </c>
      <c r="H19" s="521"/>
      <c r="I19" s="65" t="str">
        <f>IFERROR(H19/H31,"")</f>
        <v/>
      </c>
      <c r="K19" s="62"/>
      <c r="L19" s="63" t="s">
        <v>222</v>
      </c>
      <c r="M19" s="169" t="e">
        <f>(M18-M17)/M17</f>
        <v>#DIV/0!</v>
      </c>
      <c r="O19" s="164"/>
    </row>
    <row r="20" spans="1:15" ht="45">
      <c r="A20" s="48">
        <v>2</v>
      </c>
      <c r="B20" s="49">
        <f>B19+31</f>
        <v>43587</v>
      </c>
      <c r="C20" s="520"/>
      <c r="D20" s="65" t="str">
        <f>IFERROR(C20/C31,"")</f>
        <v/>
      </c>
      <c r="F20" s="48">
        <v>2</v>
      </c>
      <c r="G20" s="49">
        <f>G19+31</f>
        <v>43953</v>
      </c>
      <c r="H20" s="521"/>
      <c r="I20" s="65" t="str">
        <f>IFERROR(H20/H31,"")</f>
        <v/>
      </c>
      <c r="K20" s="66" t="s">
        <v>69</v>
      </c>
      <c r="L20" s="26">
        <v>9</v>
      </c>
    </row>
    <row r="21" spans="1:15">
      <c r="A21" s="48">
        <v>3</v>
      </c>
      <c r="B21" s="49">
        <f t="shared" ref="B21:B30" si="7">B20+31</f>
        <v>43618</v>
      </c>
      <c r="C21" s="520"/>
      <c r="D21" s="65" t="str">
        <f>IFERROR(C21/C31,"")</f>
        <v/>
      </c>
      <c r="F21" s="48">
        <v>3</v>
      </c>
      <c r="G21" s="49">
        <f t="shared" ref="G21:G30" si="8">G20+31</f>
        <v>43984</v>
      </c>
      <c r="H21" s="521"/>
      <c r="I21" s="65" t="str">
        <f>IFERROR(H21/H31,"")</f>
        <v/>
      </c>
      <c r="K21" s="48" t="s">
        <v>70</v>
      </c>
      <c r="L21" s="67">
        <f>IFERROR(H15/L20*12,"")</f>
        <v>0</v>
      </c>
      <c r="M21" s="68"/>
    </row>
    <row r="22" spans="1:15">
      <c r="A22" s="48">
        <v>4</v>
      </c>
      <c r="B22" s="49">
        <f t="shared" si="7"/>
        <v>43649</v>
      </c>
      <c r="C22" s="520"/>
      <c r="D22" s="65" t="str">
        <f>IFERROR(C22/C31,"")</f>
        <v/>
      </c>
      <c r="F22" s="48">
        <v>4</v>
      </c>
      <c r="G22" s="49">
        <f t="shared" si="8"/>
        <v>44015</v>
      </c>
      <c r="H22" s="210"/>
      <c r="I22" s="65" t="str">
        <f>IFERROR(H22/H31,"")</f>
        <v/>
      </c>
      <c r="K22" s="48" t="s">
        <v>149</v>
      </c>
      <c r="L22" s="69">
        <f>'Consolidated Financial Spread'!C6</f>
        <v>0</v>
      </c>
    </row>
    <row r="23" spans="1:15">
      <c r="A23" s="48">
        <v>5</v>
      </c>
      <c r="B23" s="49">
        <f t="shared" si="7"/>
        <v>43680</v>
      </c>
      <c r="C23" s="520"/>
      <c r="D23" s="65" t="str">
        <f>IFERROR(C23/C31,"")</f>
        <v/>
      </c>
      <c r="F23" s="48">
        <v>5</v>
      </c>
      <c r="G23" s="49">
        <f t="shared" si="8"/>
        <v>44046</v>
      </c>
      <c r="H23" s="210"/>
      <c r="I23" s="65" t="str">
        <f>IFERROR(H23/H31,"")</f>
        <v/>
      </c>
      <c r="K23" s="48" t="s">
        <v>71</v>
      </c>
      <c r="L23" s="69">
        <f>IFERROR(L21-L22,"")</f>
        <v>0</v>
      </c>
    </row>
    <row r="24" spans="1:15" ht="30">
      <c r="A24" s="48">
        <v>6</v>
      </c>
      <c r="B24" s="49">
        <f t="shared" si="7"/>
        <v>43711</v>
      </c>
      <c r="C24" s="520"/>
      <c r="D24" s="65" t="str">
        <f>IFERROR(C24/C31,"")</f>
        <v/>
      </c>
      <c r="F24" s="48">
        <v>6</v>
      </c>
      <c r="G24" s="49">
        <f t="shared" si="8"/>
        <v>44077</v>
      </c>
      <c r="H24" s="210"/>
      <c r="I24" s="65" t="str">
        <f>IFERROR(H24/H31,"")</f>
        <v/>
      </c>
      <c r="K24" s="66" t="s">
        <v>72</v>
      </c>
      <c r="L24" s="70" t="str">
        <f>IFERROR(L23/L22,"")</f>
        <v/>
      </c>
    </row>
    <row r="25" spans="1:15">
      <c r="A25" s="48">
        <v>7</v>
      </c>
      <c r="B25" s="49">
        <f t="shared" si="7"/>
        <v>43742</v>
      </c>
      <c r="C25" s="520"/>
      <c r="D25" s="65" t="str">
        <f>IFERROR(C25/C31,"")</f>
        <v/>
      </c>
      <c r="F25" s="48">
        <v>7</v>
      </c>
      <c r="G25" s="49">
        <f t="shared" si="8"/>
        <v>44108</v>
      </c>
      <c r="H25" s="520"/>
      <c r="I25" s="65" t="str">
        <f>IFERROR(H25/H31,"")</f>
        <v/>
      </c>
    </row>
    <row r="26" spans="1:15">
      <c r="A26" s="48">
        <v>8</v>
      </c>
      <c r="B26" s="49">
        <f t="shared" si="7"/>
        <v>43773</v>
      </c>
      <c r="C26" s="520"/>
      <c r="D26" s="65" t="str">
        <f>IFERROR(C26/C31,"")</f>
        <v/>
      </c>
      <c r="F26" s="48">
        <v>8</v>
      </c>
      <c r="G26" s="49">
        <f t="shared" si="8"/>
        <v>44139</v>
      </c>
      <c r="H26" s="210"/>
      <c r="I26" s="65" t="str">
        <f>IFERROR(H26/H31,"")</f>
        <v/>
      </c>
    </row>
    <row r="27" spans="1:15">
      <c r="A27" s="48">
        <v>9</v>
      </c>
      <c r="B27" s="49">
        <f t="shared" si="7"/>
        <v>43804</v>
      </c>
      <c r="C27" s="520"/>
      <c r="D27" s="65" t="str">
        <f>IFERROR(C27/C31,"")</f>
        <v/>
      </c>
      <c r="F27" s="48">
        <v>9</v>
      </c>
      <c r="G27" s="49">
        <f t="shared" si="8"/>
        <v>44170</v>
      </c>
      <c r="H27" s="210"/>
      <c r="I27" s="65" t="str">
        <f>IFERROR(H27/H31,"")</f>
        <v/>
      </c>
    </row>
    <row r="28" spans="1:15">
      <c r="A28" s="48">
        <v>10</v>
      </c>
      <c r="B28" s="49">
        <f t="shared" si="7"/>
        <v>43835</v>
      </c>
      <c r="C28" s="520"/>
      <c r="D28" s="65" t="str">
        <f>IFERROR(C28/C31,"")</f>
        <v/>
      </c>
      <c r="F28" s="48">
        <v>10</v>
      </c>
      <c r="G28" s="49">
        <f t="shared" si="8"/>
        <v>44201</v>
      </c>
      <c r="H28" s="420"/>
      <c r="I28" s="65" t="str">
        <f>IFERROR(H28/H31,"")</f>
        <v/>
      </c>
    </row>
    <row r="29" spans="1:15">
      <c r="A29" s="48">
        <v>11</v>
      </c>
      <c r="B29" s="49">
        <f t="shared" si="7"/>
        <v>43866</v>
      </c>
      <c r="C29" s="520"/>
      <c r="D29" s="65" t="str">
        <f>IFERROR(C29/C31,"")</f>
        <v/>
      </c>
      <c r="F29" s="48">
        <v>11</v>
      </c>
      <c r="G29" s="49">
        <f t="shared" si="8"/>
        <v>44232</v>
      </c>
      <c r="H29" s="74"/>
      <c r="I29" s="65" t="str">
        <f>IFERROR(H29/H31,"")</f>
        <v/>
      </c>
      <c r="L29" s="164"/>
    </row>
    <row r="30" spans="1:15">
      <c r="A30" s="48">
        <v>12</v>
      </c>
      <c r="B30" s="49">
        <f t="shared" si="7"/>
        <v>43897</v>
      </c>
      <c r="C30" s="520"/>
      <c r="D30" s="65" t="str">
        <f>IFERROR(C30/C31,"")</f>
        <v/>
      </c>
      <c r="F30" s="48">
        <v>12</v>
      </c>
      <c r="G30" s="49">
        <f t="shared" si="8"/>
        <v>44263</v>
      </c>
      <c r="H30" s="74"/>
      <c r="I30" s="65" t="str">
        <f>IFERROR(H30/H31,"")</f>
        <v/>
      </c>
    </row>
    <row r="31" spans="1:15">
      <c r="A31" s="666" t="s">
        <v>52</v>
      </c>
      <c r="B31" s="666"/>
      <c r="C31" s="57">
        <f>SUM(C19:C30)</f>
        <v>0</v>
      </c>
      <c r="D31" s="71">
        <f>SUM(D19:D30)</f>
        <v>0</v>
      </c>
      <c r="F31" s="666" t="s">
        <v>52</v>
      </c>
      <c r="G31" s="666"/>
      <c r="H31" s="57">
        <f>SUM(H19:H30)</f>
        <v>0</v>
      </c>
      <c r="I31" s="71">
        <f>SUM(I19:I30)</f>
        <v>0</v>
      </c>
    </row>
    <row r="33" spans="1:9">
      <c r="A33" s="669" t="s">
        <v>233</v>
      </c>
      <c r="B33" s="670"/>
      <c r="C33" s="670"/>
      <c r="D33" s="671"/>
      <c r="F33" s="669" t="s">
        <v>233</v>
      </c>
      <c r="G33" s="670"/>
      <c r="H33" s="670"/>
      <c r="I33" s="671"/>
    </row>
    <row r="34" spans="1:9">
      <c r="A34" s="42" t="s">
        <v>67</v>
      </c>
      <c r="B34" s="42" t="s">
        <v>68</v>
      </c>
      <c r="C34" s="170" t="s">
        <v>315</v>
      </c>
      <c r="D34" s="48"/>
      <c r="F34" s="42" t="s">
        <v>67</v>
      </c>
      <c r="G34" s="42" t="s">
        <v>68</v>
      </c>
      <c r="H34" s="170" t="s">
        <v>315</v>
      </c>
      <c r="I34" s="48"/>
    </row>
    <row r="35" spans="1:9">
      <c r="A35" s="48">
        <v>1</v>
      </c>
      <c r="B35" s="73">
        <f>B19</f>
        <v>43556</v>
      </c>
      <c r="C35" s="74"/>
      <c r="D35" s="65" t="str">
        <f>IFERROR(C35/C47,"")</f>
        <v/>
      </c>
      <c r="F35" s="48">
        <v>1</v>
      </c>
      <c r="G35" s="73">
        <f>G19</f>
        <v>43922</v>
      </c>
      <c r="H35" s="74"/>
      <c r="I35" s="65" t="str">
        <f>IFERROR(H35/H47,"")</f>
        <v/>
      </c>
    </row>
    <row r="36" spans="1:9">
      <c r="A36" s="48">
        <v>2</v>
      </c>
      <c r="B36" s="49">
        <f>B35+31</f>
        <v>43587</v>
      </c>
      <c r="C36" s="74"/>
      <c r="D36" s="65" t="str">
        <f>IFERROR(C36/C47,"")</f>
        <v/>
      </c>
      <c r="F36" s="48">
        <v>2</v>
      </c>
      <c r="G36" s="49">
        <f>G35+31</f>
        <v>43953</v>
      </c>
      <c r="H36" s="74"/>
      <c r="I36" s="65" t="str">
        <f>IFERROR(H36/H47,"")</f>
        <v/>
      </c>
    </row>
    <row r="37" spans="1:9">
      <c r="A37" s="48">
        <v>3</v>
      </c>
      <c r="B37" s="49">
        <f t="shared" ref="B37:B46" si="9">B36+31</f>
        <v>43618</v>
      </c>
      <c r="C37" s="74"/>
      <c r="D37" s="65" t="str">
        <f>IFERROR(C37/C47,"")</f>
        <v/>
      </c>
      <c r="F37" s="48">
        <v>3</v>
      </c>
      <c r="G37" s="49">
        <f t="shared" ref="G37:G46" si="10">G36+31</f>
        <v>43984</v>
      </c>
      <c r="H37" s="74"/>
      <c r="I37" s="65" t="str">
        <f>IFERROR(H37/H47,"")</f>
        <v/>
      </c>
    </row>
    <row r="38" spans="1:9">
      <c r="A38" s="48">
        <v>4</v>
      </c>
      <c r="B38" s="49">
        <f t="shared" si="9"/>
        <v>43649</v>
      </c>
      <c r="C38" s="74"/>
      <c r="D38" s="65" t="str">
        <f>IFERROR(C38/C47,"")</f>
        <v/>
      </c>
      <c r="F38" s="48">
        <v>4</v>
      </c>
      <c r="G38" s="49">
        <f t="shared" si="10"/>
        <v>44015</v>
      </c>
      <c r="H38" s="74"/>
      <c r="I38" s="65" t="str">
        <f>IFERROR(H38/H47,"")</f>
        <v/>
      </c>
    </row>
    <row r="39" spans="1:9">
      <c r="A39" s="48">
        <v>5</v>
      </c>
      <c r="B39" s="49">
        <f t="shared" si="9"/>
        <v>43680</v>
      </c>
      <c r="C39" s="74"/>
      <c r="D39" s="65" t="str">
        <f>IFERROR(C39/C47,"")</f>
        <v/>
      </c>
      <c r="F39" s="48">
        <v>5</v>
      </c>
      <c r="G39" s="49">
        <f t="shared" si="10"/>
        <v>44046</v>
      </c>
      <c r="H39" s="74"/>
      <c r="I39" s="65" t="str">
        <f>IFERROR(H39/H47,"")</f>
        <v/>
      </c>
    </row>
    <row r="40" spans="1:9">
      <c r="A40" s="48">
        <v>6</v>
      </c>
      <c r="B40" s="49">
        <f t="shared" si="9"/>
        <v>43711</v>
      </c>
      <c r="C40" s="74"/>
      <c r="D40" s="65" t="str">
        <f>IFERROR(C40/C47,"")</f>
        <v/>
      </c>
      <c r="F40" s="48">
        <v>6</v>
      </c>
      <c r="G40" s="49">
        <f t="shared" si="10"/>
        <v>44077</v>
      </c>
      <c r="H40" s="74"/>
      <c r="I40" s="65" t="str">
        <f>IFERROR(H40/H47,"")</f>
        <v/>
      </c>
    </row>
    <row r="41" spans="1:9">
      <c r="A41" s="48">
        <v>7</v>
      </c>
      <c r="B41" s="49">
        <f t="shared" si="9"/>
        <v>43742</v>
      </c>
      <c r="C41" s="74"/>
      <c r="D41" s="65" t="str">
        <f>IFERROR(C41/C47,"")</f>
        <v/>
      </c>
      <c r="F41" s="48">
        <v>7</v>
      </c>
      <c r="G41" s="49">
        <f t="shared" si="10"/>
        <v>44108</v>
      </c>
      <c r="H41" s="74"/>
      <c r="I41" s="65" t="str">
        <f>IFERROR(H41/H47,"")</f>
        <v/>
      </c>
    </row>
    <row r="42" spans="1:9">
      <c r="A42" s="48">
        <v>8</v>
      </c>
      <c r="B42" s="49">
        <f t="shared" si="9"/>
        <v>43773</v>
      </c>
      <c r="C42" s="74"/>
      <c r="D42" s="65" t="str">
        <f>IFERROR(C42/C47,"")</f>
        <v/>
      </c>
      <c r="F42" s="48">
        <v>8</v>
      </c>
      <c r="G42" s="49">
        <f t="shared" si="10"/>
        <v>44139</v>
      </c>
      <c r="H42" s="74"/>
      <c r="I42" s="65" t="str">
        <f>IFERROR(H42/H47,"")</f>
        <v/>
      </c>
    </row>
    <row r="43" spans="1:9">
      <c r="A43" s="48">
        <v>9</v>
      </c>
      <c r="B43" s="49">
        <f t="shared" si="9"/>
        <v>43804</v>
      </c>
      <c r="C43" s="74"/>
      <c r="D43" s="65" t="str">
        <f>IFERROR(C43/C47,"")</f>
        <v/>
      </c>
      <c r="F43" s="48">
        <v>9</v>
      </c>
      <c r="G43" s="49">
        <f t="shared" si="10"/>
        <v>44170</v>
      </c>
      <c r="H43" s="74"/>
      <c r="I43" s="65" t="str">
        <f>IFERROR(H43/H47,"")</f>
        <v/>
      </c>
    </row>
    <row r="44" spans="1:9">
      <c r="A44" s="48">
        <v>10</v>
      </c>
      <c r="B44" s="49">
        <f t="shared" si="9"/>
        <v>43835</v>
      </c>
      <c r="C44" s="74"/>
      <c r="D44" s="65" t="str">
        <f>IFERROR(C44/C47,"")</f>
        <v/>
      </c>
      <c r="F44" s="48">
        <v>10</v>
      </c>
      <c r="G44" s="49">
        <f t="shared" si="10"/>
        <v>44201</v>
      </c>
      <c r="H44" s="74"/>
      <c r="I44" s="65" t="str">
        <f>IFERROR(H44/H47,"")</f>
        <v/>
      </c>
    </row>
    <row r="45" spans="1:9">
      <c r="A45" s="48">
        <v>11</v>
      </c>
      <c r="B45" s="49">
        <f t="shared" si="9"/>
        <v>43866</v>
      </c>
      <c r="C45" s="74"/>
      <c r="D45" s="65" t="str">
        <f>IFERROR(C45/C47,"")</f>
        <v/>
      </c>
      <c r="F45" s="48">
        <v>11</v>
      </c>
      <c r="G45" s="49">
        <f t="shared" si="10"/>
        <v>44232</v>
      </c>
      <c r="H45" s="74"/>
      <c r="I45" s="65" t="str">
        <f>IFERROR(H45/H47,"")</f>
        <v/>
      </c>
    </row>
    <row r="46" spans="1:9">
      <c r="A46" s="48">
        <v>12</v>
      </c>
      <c r="B46" s="49">
        <f t="shared" si="9"/>
        <v>43897</v>
      </c>
      <c r="C46" s="74"/>
      <c r="D46" s="65" t="str">
        <f>IFERROR(C46/C47,"")</f>
        <v/>
      </c>
      <c r="F46" s="48">
        <v>12</v>
      </c>
      <c r="G46" s="49">
        <f t="shared" si="10"/>
        <v>44263</v>
      </c>
      <c r="H46" s="74"/>
      <c r="I46" s="65" t="str">
        <f>IFERROR(H46/H47,"")</f>
        <v/>
      </c>
    </row>
    <row r="47" spans="1:9">
      <c r="A47" s="667" t="s">
        <v>52</v>
      </c>
      <c r="B47" s="672"/>
      <c r="C47" s="57">
        <f>SUM(C35:C46)</f>
        <v>0</v>
      </c>
      <c r="D47" s="71">
        <f>SUM(D35:D46)</f>
        <v>0</v>
      </c>
      <c r="F47" s="666" t="s">
        <v>52</v>
      </c>
      <c r="G47" s="666"/>
      <c r="H47" s="57">
        <f>SUM(H35:H46)</f>
        <v>0</v>
      </c>
      <c r="I47" s="71">
        <f>SUM(I35:I46)</f>
        <v>0</v>
      </c>
    </row>
    <row r="49" spans="1:9">
      <c r="A49" s="669" t="s">
        <v>63</v>
      </c>
      <c r="B49" s="670"/>
      <c r="C49" s="670"/>
      <c r="D49" s="671"/>
      <c r="F49" s="669" t="s">
        <v>63</v>
      </c>
      <c r="G49" s="670"/>
      <c r="H49" s="670"/>
      <c r="I49" s="671"/>
    </row>
    <row r="50" spans="1:9">
      <c r="A50" s="42" t="s">
        <v>67</v>
      </c>
      <c r="B50" s="42" t="s">
        <v>68</v>
      </c>
      <c r="C50" s="174" t="s">
        <v>315</v>
      </c>
      <c r="D50" s="48"/>
      <c r="F50" s="42" t="s">
        <v>67</v>
      </c>
      <c r="G50" s="42" t="s">
        <v>68</v>
      </c>
      <c r="H50" s="174" t="s">
        <v>315</v>
      </c>
      <c r="I50" s="48"/>
    </row>
    <row r="51" spans="1:9">
      <c r="A51" s="48">
        <v>1</v>
      </c>
      <c r="B51" s="73">
        <f>B35</f>
        <v>43556</v>
      </c>
      <c r="C51" s="74"/>
      <c r="D51" s="65" t="str">
        <f>IFERROR(C51/C63,"")</f>
        <v/>
      </c>
      <c r="F51" s="48">
        <v>1</v>
      </c>
      <c r="G51" s="73">
        <f>G35</f>
        <v>43922</v>
      </c>
      <c r="H51" s="74"/>
      <c r="I51" s="65" t="str">
        <f>IFERROR(H51/H63,"")</f>
        <v/>
      </c>
    </row>
    <row r="52" spans="1:9">
      <c r="A52" s="48">
        <v>2</v>
      </c>
      <c r="B52" s="49">
        <f>B51+31</f>
        <v>43587</v>
      </c>
      <c r="C52" s="74"/>
      <c r="D52" s="65" t="str">
        <f>IFERROR(C52/C63,"")</f>
        <v/>
      </c>
      <c r="F52" s="48">
        <v>2</v>
      </c>
      <c r="G52" s="49">
        <f>G51+31</f>
        <v>43953</v>
      </c>
      <c r="H52" s="74"/>
      <c r="I52" s="65" t="str">
        <f>IFERROR(H52/H63,"")</f>
        <v/>
      </c>
    </row>
    <row r="53" spans="1:9">
      <c r="A53" s="48">
        <v>3</v>
      </c>
      <c r="B53" s="49">
        <f t="shared" ref="B53:B62" si="11">B52+31</f>
        <v>43618</v>
      </c>
      <c r="C53" s="74"/>
      <c r="D53" s="65" t="str">
        <f>IFERROR(C53/C63,"")</f>
        <v/>
      </c>
      <c r="F53" s="48">
        <v>3</v>
      </c>
      <c r="G53" s="49">
        <f t="shared" ref="G53:G62" si="12">G52+31</f>
        <v>43984</v>
      </c>
      <c r="H53" s="74"/>
      <c r="I53" s="65" t="str">
        <f>IFERROR(H53/H63,"")</f>
        <v/>
      </c>
    </row>
    <row r="54" spans="1:9">
      <c r="A54" s="48">
        <v>4</v>
      </c>
      <c r="B54" s="49">
        <f t="shared" si="11"/>
        <v>43649</v>
      </c>
      <c r="C54" s="74"/>
      <c r="D54" s="65" t="str">
        <f>IFERROR(C54/C63,"")</f>
        <v/>
      </c>
      <c r="F54" s="48">
        <v>4</v>
      </c>
      <c r="G54" s="49">
        <f t="shared" si="12"/>
        <v>44015</v>
      </c>
      <c r="H54" s="74"/>
      <c r="I54" s="65" t="str">
        <f>IFERROR(H54/H63,"")</f>
        <v/>
      </c>
    </row>
    <row r="55" spans="1:9">
      <c r="A55" s="48">
        <v>5</v>
      </c>
      <c r="B55" s="49">
        <f t="shared" si="11"/>
        <v>43680</v>
      </c>
      <c r="C55" s="74"/>
      <c r="D55" s="65" t="str">
        <f>IFERROR(C55/C63,"")</f>
        <v/>
      </c>
      <c r="F55" s="48">
        <v>5</v>
      </c>
      <c r="G55" s="49">
        <f t="shared" si="12"/>
        <v>44046</v>
      </c>
      <c r="H55" s="74"/>
      <c r="I55" s="65" t="str">
        <f>IFERROR(H55/H63,"")</f>
        <v/>
      </c>
    </row>
    <row r="56" spans="1:9">
      <c r="A56" s="48">
        <v>6</v>
      </c>
      <c r="B56" s="49">
        <f t="shared" si="11"/>
        <v>43711</v>
      </c>
      <c r="C56" s="74"/>
      <c r="D56" s="65" t="str">
        <f>IFERROR(C56/C63,"")</f>
        <v/>
      </c>
      <c r="F56" s="48">
        <v>6</v>
      </c>
      <c r="G56" s="49">
        <f t="shared" si="12"/>
        <v>44077</v>
      </c>
      <c r="H56" s="74"/>
      <c r="I56" s="65" t="str">
        <f>IFERROR(H56/H63,"")</f>
        <v/>
      </c>
    </row>
    <row r="57" spans="1:9">
      <c r="A57" s="48">
        <v>7</v>
      </c>
      <c r="B57" s="49">
        <f t="shared" si="11"/>
        <v>43742</v>
      </c>
      <c r="C57" s="74"/>
      <c r="D57" s="65" t="str">
        <f>IFERROR(C57/C63,"")</f>
        <v/>
      </c>
      <c r="F57" s="48">
        <v>7</v>
      </c>
      <c r="G57" s="49">
        <f t="shared" si="12"/>
        <v>44108</v>
      </c>
      <c r="H57" s="74"/>
      <c r="I57" s="65" t="str">
        <f>IFERROR(H57/H63,"")</f>
        <v/>
      </c>
    </row>
    <row r="58" spans="1:9">
      <c r="A58" s="48">
        <v>8</v>
      </c>
      <c r="B58" s="49">
        <f t="shared" si="11"/>
        <v>43773</v>
      </c>
      <c r="C58" s="74"/>
      <c r="D58" s="65" t="str">
        <f>IFERROR(C58/C63,"")</f>
        <v/>
      </c>
      <c r="F58" s="48">
        <v>8</v>
      </c>
      <c r="G58" s="49">
        <f t="shared" si="12"/>
        <v>44139</v>
      </c>
      <c r="H58" s="74"/>
      <c r="I58" s="65" t="str">
        <f>IFERROR(H58/H63,"")</f>
        <v/>
      </c>
    </row>
    <row r="59" spans="1:9">
      <c r="A59" s="48">
        <v>9</v>
      </c>
      <c r="B59" s="49">
        <f t="shared" si="11"/>
        <v>43804</v>
      </c>
      <c r="C59" s="74"/>
      <c r="D59" s="65" t="str">
        <f>IFERROR(C59/C63,"")</f>
        <v/>
      </c>
      <c r="F59" s="48">
        <v>9</v>
      </c>
      <c r="G59" s="49">
        <f t="shared" si="12"/>
        <v>44170</v>
      </c>
      <c r="H59" s="74"/>
      <c r="I59" s="65" t="str">
        <f>IFERROR(H59/H63,"")</f>
        <v/>
      </c>
    </row>
    <row r="60" spans="1:9">
      <c r="A60" s="48">
        <v>10</v>
      </c>
      <c r="B60" s="49">
        <f t="shared" si="11"/>
        <v>43835</v>
      </c>
      <c r="C60" s="74"/>
      <c r="D60" s="65" t="str">
        <f>IFERROR(C60/C63,"")</f>
        <v/>
      </c>
      <c r="F60" s="48">
        <v>10</v>
      </c>
      <c r="G60" s="49">
        <f t="shared" si="12"/>
        <v>44201</v>
      </c>
      <c r="H60" s="74"/>
      <c r="I60" s="65" t="str">
        <f>IFERROR(H60/H63,"")</f>
        <v/>
      </c>
    </row>
    <row r="61" spans="1:9">
      <c r="A61" s="48">
        <v>11</v>
      </c>
      <c r="B61" s="49">
        <f t="shared" si="11"/>
        <v>43866</v>
      </c>
      <c r="C61" s="74"/>
      <c r="D61" s="65" t="str">
        <f>IFERROR(C61/C63,"")</f>
        <v/>
      </c>
      <c r="F61" s="48">
        <v>11</v>
      </c>
      <c r="G61" s="49">
        <f t="shared" si="12"/>
        <v>44232</v>
      </c>
      <c r="H61" s="74"/>
      <c r="I61" s="65" t="str">
        <f>IFERROR(H61/H63,"")</f>
        <v/>
      </c>
    </row>
    <row r="62" spans="1:9">
      <c r="A62" s="48">
        <v>12</v>
      </c>
      <c r="B62" s="49">
        <f t="shared" si="11"/>
        <v>43897</v>
      </c>
      <c r="C62" s="74"/>
      <c r="D62" s="65" t="str">
        <f>IFERROR(C62/C63,"")</f>
        <v/>
      </c>
      <c r="F62" s="48">
        <v>12</v>
      </c>
      <c r="G62" s="49">
        <f t="shared" si="12"/>
        <v>44263</v>
      </c>
      <c r="H62" s="74"/>
      <c r="I62" s="65" t="str">
        <f>IFERROR(H62/H63,"")</f>
        <v/>
      </c>
    </row>
    <row r="63" spans="1:9">
      <c r="A63" s="666" t="s">
        <v>52</v>
      </c>
      <c r="B63" s="666"/>
      <c r="C63" s="57">
        <f>SUM(C51:C62)</f>
        <v>0</v>
      </c>
      <c r="D63" s="71">
        <f>SUM(D51:D62)</f>
        <v>0</v>
      </c>
      <c r="F63" s="666" t="s">
        <v>52</v>
      </c>
      <c r="G63" s="666"/>
      <c r="H63" s="57">
        <f>SUM(H51:H62)</f>
        <v>0</v>
      </c>
      <c r="I63" s="71">
        <f>SUM(I51:I62)</f>
        <v>0</v>
      </c>
    </row>
    <row r="65" spans="1:9">
      <c r="A65" s="669" t="s">
        <v>64</v>
      </c>
      <c r="B65" s="670"/>
      <c r="C65" s="670"/>
      <c r="D65" s="671"/>
      <c r="F65" s="669" t="s">
        <v>64</v>
      </c>
      <c r="G65" s="670"/>
      <c r="H65" s="670"/>
      <c r="I65" s="671"/>
    </row>
    <row r="66" spans="1:9">
      <c r="A66" s="42" t="s">
        <v>67</v>
      </c>
      <c r="B66" s="42" t="s">
        <v>68</v>
      </c>
      <c r="C66" s="174" t="s">
        <v>315</v>
      </c>
      <c r="D66" s="48"/>
      <c r="F66" s="42" t="s">
        <v>67</v>
      </c>
      <c r="G66" s="42" t="s">
        <v>68</v>
      </c>
      <c r="H66" s="174" t="s">
        <v>315</v>
      </c>
      <c r="I66" s="48"/>
    </row>
    <row r="67" spans="1:9">
      <c r="A67" s="48">
        <v>1</v>
      </c>
      <c r="B67" s="73">
        <f>B51</f>
        <v>43556</v>
      </c>
      <c r="C67" s="74"/>
      <c r="D67" s="65" t="str">
        <f>IFERROR(C67/C79,"")</f>
        <v/>
      </c>
      <c r="F67" s="48">
        <v>1</v>
      </c>
      <c r="G67" s="73">
        <f>G51</f>
        <v>43922</v>
      </c>
      <c r="H67" s="74"/>
      <c r="I67" s="65" t="str">
        <f>IFERROR(H67/H79,"")</f>
        <v/>
      </c>
    </row>
    <row r="68" spans="1:9">
      <c r="A68" s="48">
        <v>2</v>
      </c>
      <c r="B68" s="49">
        <f>B67+31</f>
        <v>43587</v>
      </c>
      <c r="C68" s="74"/>
      <c r="D68" s="65" t="str">
        <f>IFERROR(C68/C79,"")</f>
        <v/>
      </c>
      <c r="F68" s="48">
        <v>2</v>
      </c>
      <c r="G68" s="49">
        <f>G67+31</f>
        <v>43953</v>
      </c>
      <c r="H68" s="74"/>
      <c r="I68" s="65" t="str">
        <f>IFERROR(H68/H79,"")</f>
        <v/>
      </c>
    </row>
    <row r="69" spans="1:9">
      <c r="A69" s="48">
        <v>3</v>
      </c>
      <c r="B69" s="49">
        <f t="shared" ref="B69:B78" si="13">B68+31</f>
        <v>43618</v>
      </c>
      <c r="C69" s="74"/>
      <c r="D69" s="65" t="str">
        <f>IFERROR(C69/C79,"")</f>
        <v/>
      </c>
      <c r="F69" s="48">
        <v>3</v>
      </c>
      <c r="G69" s="49">
        <f t="shared" ref="G69:G78" si="14">G68+31</f>
        <v>43984</v>
      </c>
      <c r="H69" s="74"/>
      <c r="I69" s="65" t="str">
        <f>IFERROR(H69/H79,"")</f>
        <v/>
      </c>
    </row>
    <row r="70" spans="1:9">
      <c r="A70" s="48">
        <v>4</v>
      </c>
      <c r="B70" s="49">
        <f t="shared" si="13"/>
        <v>43649</v>
      </c>
      <c r="C70" s="74"/>
      <c r="D70" s="65" t="str">
        <f>IFERROR(C70/C79,"")</f>
        <v/>
      </c>
      <c r="F70" s="48">
        <v>4</v>
      </c>
      <c r="G70" s="49">
        <f t="shared" si="14"/>
        <v>44015</v>
      </c>
      <c r="H70" s="74"/>
      <c r="I70" s="65" t="str">
        <f>IFERROR(H70/H79,"")</f>
        <v/>
      </c>
    </row>
    <row r="71" spans="1:9">
      <c r="A71" s="48">
        <v>5</v>
      </c>
      <c r="B71" s="49">
        <f t="shared" si="13"/>
        <v>43680</v>
      </c>
      <c r="C71" s="74"/>
      <c r="D71" s="65" t="str">
        <f>IFERROR(C71/C79,"")</f>
        <v/>
      </c>
      <c r="F71" s="48">
        <v>5</v>
      </c>
      <c r="G71" s="49">
        <f t="shared" si="14"/>
        <v>44046</v>
      </c>
      <c r="H71" s="74"/>
      <c r="I71" s="65" t="str">
        <f>IFERROR(H71/H79,"")</f>
        <v/>
      </c>
    </row>
    <row r="72" spans="1:9">
      <c r="A72" s="48">
        <v>6</v>
      </c>
      <c r="B72" s="49">
        <f t="shared" si="13"/>
        <v>43711</v>
      </c>
      <c r="C72" s="74"/>
      <c r="D72" s="65" t="str">
        <f>IFERROR(C72/C79,"")</f>
        <v/>
      </c>
      <c r="F72" s="48">
        <v>6</v>
      </c>
      <c r="G72" s="49">
        <f t="shared" si="14"/>
        <v>44077</v>
      </c>
      <c r="H72" s="74"/>
      <c r="I72" s="65" t="str">
        <f>IFERROR(H72/H79,"")</f>
        <v/>
      </c>
    </row>
    <row r="73" spans="1:9">
      <c r="A73" s="48">
        <v>7</v>
      </c>
      <c r="B73" s="49">
        <f t="shared" si="13"/>
        <v>43742</v>
      </c>
      <c r="C73" s="74"/>
      <c r="D73" s="65" t="str">
        <f>IFERROR(C73/C79,"")</f>
        <v/>
      </c>
      <c r="F73" s="48">
        <v>7</v>
      </c>
      <c r="G73" s="49">
        <f t="shared" si="14"/>
        <v>44108</v>
      </c>
      <c r="H73" s="74"/>
      <c r="I73" s="65" t="str">
        <f>IFERROR(H73/H79,"")</f>
        <v/>
      </c>
    </row>
    <row r="74" spans="1:9">
      <c r="A74" s="48">
        <v>8</v>
      </c>
      <c r="B74" s="49">
        <f t="shared" si="13"/>
        <v>43773</v>
      </c>
      <c r="C74" s="74"/>
      <c r="D74" s="65" t="str">
        <f>IFERROR(C74/C79,"")</f>
        <v/>
      </c>
      <c r="F74" s="48">
        <v>8</v>
      </c>
      <c r="G74" s="49">
        <f t="shared" si="14"/>
        <v>44139</v>
      </c>
      <c r="H74" s="74"/>
      <c r="I74" s="65" t="str">
        <f>IFERROR(H74/H79,"")</f>
        <v/>
      </c>
    </row>
    <row r="75" spans="1:9">
      <c r="A75" s="48">
        <v>9</v>
      </c>
      <c r="B75" s="49">
        <f t="shared" si="13"/>
        <v>43804</v>
      </c>
      <c r="C75" s="74"/>
      <c r="D75" s="65" t="str">
        <f>IFERROR(C75/C79,"")</f>
        <v/>
      </c>
      <c r="F75" s="48">
        <v>9</v>
      </c>
      <c r="G75" s="49">
        <f t="shared" si="14"/>
        <v>44170</v>
      </c>
      <c r="H75" s="74"/>
      <c r="I75" s="65" t="str">
        <f>IFERROR(H75/H79,"")</f>
        <v/>
      </c>
    </row>
    <row r="76" spans="1:9">
      <c r="A76" s="48">
        <v>10</v>
      </c>
      <c r="B76" s="49">
        <f t="shared" si="13"/>
        <v>43835</v>
      </c>
      <c r="C76" s="74"/>
      <c r="D76" s="65" t="str">
        <f>IFERROR(C76/C79,"")</f>
        <v/>
      </c>
      <c r="F76" s="48">
        <v>10</v>
      </c>
      <c r="G76" s="49">
        <f t="shared" si="14"/>
        <v>44201</v>
      </c>
      <c r="H76" s="74"/>
      <c r="I76" s="65" t="str">
        <f>IFERROR(H76/H79,"")</f>
        <v/>
      </c>
    </row>
    <row r="77" spans="1:9">
      <c r="A77" s="48">
        <v>11</v>
      </c>
      <c r="B77" s="49">
        <f t="shared" si="13"/>
        <v>43866</v>
      </c>
      <c r="C77" s="74"/>
      <c r="D77" s="65" t="str">
        <f>IFERROR(C77/C79,"")</f>
        <v/>
      </c>
      <c r="F77" s="48">
        <v>11</v>
      </c>
      <c r="G77" s="49">
        <f t="shared" si="14"/>
        <v>44232</v>
      </c>
      <c r="H77" s="74"/>
      <c r="I77" s="65" t="str">
        <f>IFERROR(H77/H79,"")</f>
        <v/>
      </c>
    </row>
    <row r="78" spans="1:9">
      <c r="A78" s="48">
        <v>12</v>
      </c>
      <c r="B78" s="49">
        <f t="shared" si="13"/>
        <v>43897</v>
      </c>
      <c r="C78" s="74"/>
      <c r="D78" s="65" t="str">
        <f>IFERROR(C78/C79,"")</f>
        <v/>
      </c>
      <c r="F78" s="48">
        <v>12</v>
      </c>
      <c r="G78" s="49">
        <f t="shared" si="14"/>
        <v>44263</v>
      </c>
      <c r="H78" s="74"/>
      <c r="I78" s="65" t="str">
        <f>IFERROR(H78/H79,"")</f>
        <v/>
      </c>
    </row>
    <row r="79" spans="1:9">
      <c r="A79" s="666" t="s">
        <v>52</v>
      </c>
      <c r="B79" s="666"/>
      <c r="C79" s="57">
        <f>SUM(C67:C78)</f>
        <v>0</v>
      </c>
      <c r="D79" s="71">
        <f>SUM(D67:D78)</f>
        <v>0</v>
      </c>
      <c r="F79" s="666" t="s">
        <v>52</v>
      </c>
      <c r="G79" s="666"/>
      <c r="H79" s="57">
        <f>SUM(H67:H78)</f>
        <v>0</v>
      </c>
      <c r="I79" s="71">
        <f>SUM(I67:I78)</f>
        <v>0</v>
      </c>
    </row>
    <row r="81" spans="1:9">
      <c r="A81" s="669" t="s">
        <v>65</v>
      </c>
      <c r="B81" s="670"/>
      <c r="C81" s="670"/>
      <c r="D81" s="671"/>
      <c r="F81" s="669" t="s">
        <v>65</v>
      </c>
      <c r="G81" s="670"/>
      <c r="H81" s="670"/>
      <c r="I81" s="671"/>
    </row>
    <row r="82" spans="1:9">
      <c r="A82" s="42" t="s">
        <v>67</v>
      </c>
      <c r="B82" s="42" t="s">
        <v>68</v>
      </c>
      <c r="C82" s="174" t="s">
        <v>315</v>
      </c>
      <c r="D82" s="48"/>
      <c r="F82" s="42" t="s">
        <v>67</v>
      </c>
      <c r="G82" s="42" t="s">
        <v>68</v>
      </c>
      <c r="H82" s="174" t="s">
        <v>315</v>
      </c>
      <c r="I82" s="48"/>
    </row>
    <row r="83" spans="1:9">
      <c r="A83" s="48">
        <v>1</v>
      </c>
      <c r="B83" s="73">
        <f>B67</f>
        <v>43556</v>
      </c>
      <c r="C83" s="74"/>
      <c r="D83" s="65" t="str">
        <f>IFERROR(C83/C95,"")</f>
        <v/>
      </c>
      <c r="F83" s="48">
        <v>1</v>
      </c>
      <c r="G83" s="73">
        <f>G67</f>
        <v>43922</v>
      </c>
      <c r="H83" s="74"/>
      <c r="I83" s="65" t="str">
        <f>IFERROR(H83/H95,"")</f>
        <v/>
      </c>
    </row>
    <row r="84" spans="1:9">
      <c r="A84" s="48">
        <v>2</v>
      </c>
      <c r="B84" s="49">
        <f>B83+31</f>
        <v>43587</v>
      </c>
      <c r="C84" s="74"/>
      <c r="D84" s="65" t="str">
        <f>IFERROR(C84/C95,"")</f>
        <v/>
      </c>
      <c r="F84" s="48">
        <v>2</v>
      </c>
      <c r="G84" s="49">
        <f>G83+31</f>
        <v>43953</v>
      </c>
      <c r="H84" s="74"/>
      <c r="I84" s="65" t="str">
        <f>IFERROR(H84/H95,"")</f>
        <v/>
      </c>
    </row>
    <row r="85" spans="1:9">
      <c r="A85" s="48">
        <v>3</v>
      </c>
      <c r="B85" s="49">
        <f t="shared" ref="B85:B94" si="15">B84+31</f>
        <v>43618</v>
      </c>
      <c r="C85" s="74"/>
      <c r="D85" s="65" t="str">
        <f>IFERROR(C85/C95,"")</f>
        <v/>
      </c>
      <c r="F85" s="48">
        <v>3</v>
      </c>
      <c r="G85" s="49">
        <f t="shared" ref="G85:G94" si="16">G84+31</f>
        <v>43984</v>
      </c>
      <c r="H85" s="74"/>
      <c r="I85" s="65" t="str">
        <f>IFERROR(H85/H95,"")</f>
        <v/>
      </c>
    </row>
    <row r="86" spans="1:9">
      <c r="A86" s="48">
        <v>4</v>
      </c>
      <c r="B86" s="49">
        <f t="shared" si="15"/>
        <v>43649</v>
      </c>
      <c r="C86" s="74"/>
      <c r="D86" s="65" t="str">
        <f>IFERROR(C86/C95,"")</f>
        <v/>
      </c>
      <c r="F86" s="48">
        <v>4</v>
      </c>
      <c r="G86" s="49">
        <f t="shared" si="16"/>
        <v>44015</v>
      </c>
      <c r="H86" s="74"/>
      <c r="I86" s="65" t="str">
        <f>IFERROR(H86/H95,"")</f>
        <v/>
      </c>
    </row>
    <row r="87" spans="1:9">
      <c r="A87" s="48">
        <v>5</v>
      </c>
      <c r="B87" s="49">
        <f t="shared" si="15"/>
        <v>43680</v>
      </c>
      <c r="C87" s="74"/>
      <c r="D87" s="65" t="str">
        <f>IFERROR(C87/C95,"")</f>
        <v/>
      </c>
      <c r="F87" s="48">
        <v>5</v>
      </c>
      <c r="G87" s="49">
        <f t="shared" si="16"/>
        <v>44046</v>
      </c>
      <c r="H87" s="74"/>
      <c r="I87" s="65" t="str">
        <f>IFERROR(H87/H95,"")</f>
        <v/>
      </c>
    </row>
    <row r="88" spans="1:9">
      <c r="A88" s="48">
        <v>6</v>
      </c>
      <c r="B88" s="49">
        <f t="shared" si="15"/>
        <v>43711</v>
      </c>
      <c r="C88" s="74"/>
      <c r="D88" s="65" t="str">
        <f>IFERROR(C88/C95,"")</f>
        <v/>
      </c>
      <c r="F88" s="48">
        <v>6</v>
      </c>
      <c r="G88" s="49">
        <f t="shared" si="16"/>
        <v>44077</v>
      </c>
      <c r="H88" s="74"/>
      <c r="I88" s="65" t="str">
        <f>IFERROR(H88/H95,"")</f>
        <v/>
      </c>
    </row>
    <row r="89" spans="1:9">
      <c r="A89" s="48">
        <v>7</v>
      </c>
      <c r="B89" s="49">
        <f t="shared" si="15"/>
        <v>43742</v>
      </c>
      <c r="C89" s="74"/>
      <c r="D89" s="65" t="str">
        <f>IFERROR(C89/C95,"")</f>
        <v/>
      </c>
      <c r="F89" s="48">
        <v>7</v>
      </c>
      <c r="G89" s="49">
        <f t="shared" si="16"/>
        <v>44108</v>
      </c>
      <c r="H89" s="74"/>
      <c r="I89" s="65" t="str">
        <f>IFERROR(H89/H95,"")</f>
        <v/>
      </c>
    </row>
    <row r="90" spans="1:9">
      <c r="A90" s="48">
        <v>8</v>
      </c>
      <c r="B90" s="49">
        <f t="shared" si="15"/>
        <v>43773</v>
      </c>
      <c r="C90" s="74"/>
      <c r="D90" s="65" t="str">
        <f>IFERROR(C90/C95,"")</f>
        <v/>
      </c>
      <c r="F90" s="48">
        <v>8</v>
      </c>
      <c r="G90" s="49">
        <f t="shared" si="16"/>
        <v>44139</v>
      </c>
      <c r="H90" s="74"/>
      <c r="I90" s="65" t="str">
        <f>IFERROR(H90/H95,"")</f>
        <v/>
      </c>
    </row>
    <row r="91" spans="1:9">
      <c r="A91" s="48">
        <v>9</v>
      </c>
      <c r="B91" s="49">
        <f t="shared" si="15"/>
        <v>43804</v>
      </c>
      <c r="C91" s="74"/>
      <c r="D91" s="65" t="str">
        <f>IFERROR(C91/C95,"")</f>
        <v/>
      </c>
      <c r="F91" s="48">
        <v>9</v>
      </c>
      <c r="G91" s="49">
        <f t="shared" si="16"/>
        <v>44170</v>
      </c>
      <c r="H91" s="74"/>
      <c r="I91" s="65" t="str">
        <f>IFERROR(H91/H95,"")</f>
        <v/>
      </c>
    </row>
    <row r="92" spans="1:9">
      <c r="A92" s="48">
        <v>10</v>
      </c>
      <c r="B92" s="49">
        <f t="shared" si="15"/>
        <v>43835</v>
      </c>
      <c r="C92" s="74"/>
      <c r="D92" s="65" t="str">
        <f>IFERROR(C92/C95,"")</f>
        <v/>
      </c>
      <c r="F92" s="48">
        <v>10</v>
      </c>
      <c r="G92" s="49">
        <f t="shared" si="16"/>
        <v>44201</v>
      </c>
      <c r="H92" s="74"/>
      <c r="I92" s="65" t="str">
        <f>IFERROR(H92/H95,"")</f>
        <v/>
      </c>
    </row>
    <row r="93" spans="1:9">
      <c r="A93" s="48">
        <v>11</v>
      </c>
      <c r="B93" s="49">
        <f t="shared" si="15"/>
        <v>43866</v>
      </c>
      <c r="C93" s="74"/>
      <c r="D93" s="65" t="str">
        <f>IFERROR(C93/C95,"")</f>
        <v/>
      </c>
      <c r="F93" s="48">
        <v>11</v>
      </c>
      <c r="G93" s="49">
        <f t="shared" si="16"/>
        <v>44232</v>
      </c>
      <c r="H93" s="74"/>
      <c r="I93" s="65" t="str">
        <f>IFERROR(H93/H95,"")</f>
        <v/>
      </c>
    </row>
    <row r="94" spans="1:9">
      <c r="A94" s="48">
        <v>12</v>
      </c>
      <c r="B94" s="49">
        <f t="shared" si="15"/>
        <v>43897</v>
      </c>
      <c r="C94" s="74"/>
      <c r="D94" s="65" t="str">
        <f>IFERROR(C94/C95,"")</f>
        <v/>
      </c>
      <c r="F94" s="48">
        <v>12</v>
      </c>
      <c r="G94" s="49">
        <f t="shared" si="16"/>
        <v>44263</v>
      </c>
      <c r="H94" s="74"/>
      <c r="I94" s="65" t="str">
        <f>IFERROR(H94/H95,"")</f>
        <v/>
      </c>
    </row>
    <row r="95" spans="1:9">
      <c r="A95" s="666" t="s">
        <v>52</v>
      </c>
      <c r="B95" s="666"/>
      <c r="C95" s="57">
        <f>SUM(C83:C94)</f>
        <v>0</v>
      </c>
      <c r="D95" s="71">
        <f>SUM(D83:D94)</f>
        <v>0</v>
      </c>
      <c r="F95" s="666" t="s">
        <v>52</v>
      </c>
      <c r="G95" s="666"/>
      <c r="H95" s="57">
        <f>SUM(H83:H94)</f>
        <v>0</v>
      </c>
      <c r="I95" s="71">
        <f>SUM(I83:I94)</f>
        <v>0</v>
      </c>
    </row>
    <row r="97" spans="1:9">
      <c r="A97" s="669" t="s">
        <v>66</v>
      </c>
      <c r="B97" s="670"/>
      <c r="C97" s="670"/>
      <c r="D97" s="671"/>
      <c r="F97" s="669" t="s">
        <v>66</v>
      </c>
      <c r="G97" s="670"/>
      <c r="H97" s="670"/>
      <c r="I97" s="671"/>
    </row>
    <row r="98" spans="1:9">
      <c r="A98" s="42" t="s">
        <v>67</v>
      </c>
      <c r="B98" s="42" t="s">
        <v>68</v>
      </c>
      <c r="C98" s="42" t="s">
        <v>148</v>
      </c>
      <c r="D98" s="48"/>
      <c r="F98" s="42" t="s">
        <v>67</v>
      </c>
      <c r="G98" s="42" t="s">
        <v>68</v>
      </c>
      <c r="H98" s="42" t="s">
        <v>148</v>
      </c>
      <c r="I98" s="48"/>
    </row>
    <row r="99" spans="1:9">
      <c r="A99" s="48">
        <v>1</v>
      </c>
      <c r="B99" s="73">
        <f>B83</f>
        <v>43556</v>
      </c>
      <c r="C99" s="74"/>
      <c r="D99" s="65" t="str">
        <f>IFERROR(C99/C111,"")</f>
        <v/>
      </c>
      <c r="F99" s="48">
        <v>1</v>
      </c>
      <c r="G99" s="73">
        <f>G83</f>
        <v>43922</v>
      </c>
      <c r="H99" s="74"/>
      <c r="I99" s="65" t="str">
        <f>IFERROR(H99/H111,"")</f>
        <v/>
      </c>
    </row>
    <row r="100" spans="1:9">
      <c r="A100" s="48">
        <v>2</v>
      </c>
      <c r="B100" s="49">
        <f>B99+31</f>
        <v>43587</v>
      </c>
      <c r="C100" s="74"/>
      <c r="D100" s="65" t="str">
        <f>IFERROR(C100/C111,"")</f>
        <v/>
      </c>
      <c r="F100" s="48">
        <v>2</v>
      </c>
      <c r="G100" s="49">
        <f>G99+31</f>
        <v>43953</v>
      </c>
      <c r="H100" s="74"/>
      <c r="I100" s="65" t="str">
        <f>IFERROR(H100/H111,"")</f>
        <v/>
      </c>
    </row>
    <row r="101" spans="1:9">
      <c r="A101" s="48">
        <v>3</v>
      </c>
      <c r="B101" s="49">
        <f t="shared" ref="B101:B110" si="17">B100+31</f>
        <v>43618</v>
      </c>
      <c r="C101" s="74"/>
      <c r="D101" s="65" t="str">
        <f>IFERROR(C101/C111,"")</f>
        <v/>
      </c>
      <c r="F101" s="48">
        <v>3</v>
      </c>
      <c r="G101" s="49">
        <f t="shared" ref="G101:G110" si="18">G100+31</f>
        <v>43984</v>
      </c>
      <c r="H101" s="74"/>
      <c r="I101" s="65" t="str">
        <f>IFERROR(H101/H111,"")</f>
        <v/>
      </c>
    </row>
    <row r="102" spans="1:9">
      <c r="A102" s="48">
        <v>4</v>
      </c>
      <c r="B102" s="49">
        <f t="shared" si="17"/>
        <v>43649</v>
      </c>
      <c r="C102" s="74"/>
      <c r="D102" s="65" t="str">
        <f>IFERROR(C102/C111,"")</f>
        <v/>
      </c>
      <c r="F102" s="48">
        <v>4</v>
      </c>
      <c r="G102" s="49">
        <f t="shared" si="18"/>
        <v>44015</v>
      </c>
      <c r="H102" s="74"/>
      <c r="I102" s="65" t="str">
        <f>IFERROR(H102/H111,"")</f>
        <v/>
      </c>
    </row>
    <row r="103" spans="1:9">
      <c r="A103" s="48">
        <v>5</v>
      </c>
      <c r="B103" s="49">
        <f t="shared" si="17"/>
        <v>43680</v>
      </c>
      <c r="C103" s="74"/>
      <c r="D103" s="65" t="str">
        <f>IFERROR(C103/C111,"")</f>
        <v/>
      </c>
      <c r="F103" s="48">
        <v>5</v>
      </c>
      <c r="G103" s="49">
        <f t="shared" si="18"/>
        <v>44046</v>
      </c>
      <c r="H103" s="74"/>
      <c r="I103" s="65" t="str">
        <f>IFERROR(H103/H111,"")</f>
        <v/>
      </c>
    </row>
    <row r="104" spans="1:9">
      <c r="A104" s="48">
        <v>6</v>
      </c>
      <c r="B104" s="49">
        <f t="shared" si="17"/>
        <v>43711</v>
      </c>
      <c r="C104" s="74"/>
      <c r="D104" s="65" t="str">
        <f>IFERROR(C104/C111,"")</f>
        <v/>
      </c>
      <c r="F104" s="48">
        <v>6</v>
      </c>
      <c r="G104" s="49">
        <f t="shared" si="18"/>
        <v>44077</v>
      </c>
      <c r="H104" s="74"/>
      <c r="I104" s="65" t="str">
        <f>IFERROR(H104/H111,"")</f>
        <v/>
      </c>
    </row>
    <row r="105" spans="1:9">
      <c r="A105" s="48">
        <v>7</v>
      </c>
      <c r="B105" s="49">
        <f t="shared" si="17"/>
        <v>43742</v>
      </c>
      <c r="C105" s="74"/>
      <c r="D105" s="65" t="str">
        <f>IFERROR(C105/C111,"")</f>
        <v/>
      </c>
      <c r="F105" s="48">
        <v>7</v>
      </c>
      <c r="G105" s="49">
        <f t="shared" si="18"/>
        <v>44108</v>
      </c>
      <c r="H105" s="74"/>
      <c r="I105" s="65" t="str">
        <f>IFERROR(H105/H111,"")</f>
        <v/>
      </c>
    </row>
    <row r="106" spans="1:9">
      <c r="A106" s="48">
        <v>8</v>
      </c>
      <c r="B106" s="49">
        <f t="shared" si="17"/>
        <v>43773</v>
      </c>
      <c r="C106" s="74"/>
      <c r="D106" s="65" t="str">
        <f>IFERROR(C106/C111,"")</f>
        <v/>
      </c>
      <c r="F106" s="48">
        <v>8</v>
      </c>
      <c r="G106" s="49">
        <f t="shared" si="18"/>
        <v>44139</v>
      </c>
      <c r="H106" s="74"/>
      <c r="I106" s="65" t="str">
        <f>IFERROR(H106/H111,"")</f>
        <v/>
      </c>
    </row>
    <row r="107" spans="1:9">
      <c r="A107" s="48">
        <v>9</v>
      </c>
      <c r="B107" s="49">
        <f t="shared" si="17"/>
        <v>43804</v>
      </c>
      <c r="C107" s="74"/>
      <c r="D107" s="65" t="str">
        <f>IFERROR(C107/C111,"")</f>
        <v/>
      </c>
      <c r="F107" s="48">
        <v>9</v>
      </c>
      <c r="G107" s="49">
        <f t="shared" si="18"/>
        <v>44170</v>
      </c>
      <c r="H107" s="74"/>
      <c r="I107" s="65" t="str">
        <f>IFERROR(H107/H111,"")</f>
        <v/>
      </c>
    </row>
    <row r="108" spans="1:9">
      <c r="A108" s="48">
        <v>10</v>
      </c>
      <c r="B108" s="49">
        <f t="shared" si="17"/>
        <v>43835</v>
      </c>
      <c r="C108" s="74"/>
      <c r="D108" s="65" t="str">
        <f>IFERROR(C108/C111,"")</f>
        <v/>
      </c>
      <c r="F108" s="48">
        <v>10</v>
      </c>
      <c r="G108" s="49">
        <f t="shared" si="18"/>
        <v>44201</v>
      </c>
      <c r="H108" s="74"/>
      <c r="I108" s="65" t="str">
        <f>IFERROR(H108/H111,"")</f>
        <v/>
      </c>
    </row>
    <row r="109" spans="1:9">
      <c r="A109" s="48">
        <v>11</v>
      </c>
      <c r="B109" s="49">
        <f t="shared" si="17"/>
        <v>43866</v>
      </c>
      <c r="C109" s="74"/>
      <c r="D109" s="65" t="str">
        <f>IFERROR(C109/C111,"")</f>
        <v/>
      </c>
      <c r="F109" s="48">
        <v>11</v>
      </c>
      <c r="G109" s="49">
        <f t="shared" si="18"/>
        <v>44232</v>
      </c>
      <c r="H109" s="74"/>
      <c r="I109" s="65" t="str">
        <f>IFERROR(H109/H111,"")</f>
        <v/>
      </c>
    </row>
    <row r="110" spans="1:9">
      <c r="A110" s="48">
        <v>12</v>
      </c>
      <c r="B110" s="49">
        <f t="shared" si="17"/>
        <v>43897</v>
      </c>
      <c r="C110" s="74"/>
      <c r="D110" s="65" t="str">
        <f>IFERROR(C110/C111,"")</f>
        <v/>
      </c>
      <c r="F110" s="48">
        <v>12</v>
      </c>
      <c r="G110" s="49">
        <f t="shared" si="18"/>
        <v>44263</v>
      </c>
      <c r="H110" s="74"/>
      <c r="I110" s="65" t="str">
        <f>IFERROR(H110/H111,"")</f>
        <v/>
      </c>
    </row>
    <row r="111" spans="1:9">
      <c r="A111" s="666" t="s">
        <v>52</v>
      </c>
      <c r="B111" s="666"/>
      <c r="C111" s="57">
        <f>SUM(C99:C110)</f>
        <v>0</v>
      </c>
      <c r="D111" s="71">
        <f>SUM(D99:D110)</f>
        <v>0</v>
      </c>
      <c r="F111" s="666" t="s">
        <v>52</v>
      </c>
      <c r="G111" s="666"/>
      <c r="H111" s="57">
        <f>SUM(H99:H110)</f>
        <v>0</v>
      </c>
      <c r="I111" s="71">
        <f>SUM(I99:I110)</f>
        <v>0</v>
      </c>
    </row>
  </sheetData>
  <sheetProtection algorithmName="SHA-512" hashValue="dYgzJHyPV7VIdKc0Dixv/i8TLzqBc5kIja/rd0JJ9DAbefrIW6ouddFozd7Cb9Z/xgJPMJgXrOvJqDqqUVym1A==" saltValue="GGpTK3K7jx6vEdD9jDErlw==" spinCount="100000" sheet="1" objects="1" scenarios="1"/>
  <mergeCells count="32">
    <mergeCell ref="Q1:R1"/>
    <mergeCell ref="K1:O1"/>
    <mergeCell ref="F95:G95"/>
    <mergeCell ref="F111:G111"/>
    <mergeCell ref="F15:G15"/>
    <mergeCell ref="F31:G31"/>
    <mergeCell ref="F47:G47"/>
    <mergeCell ref="F63:G63"/>
    <mergeCell ref="F79:G79"/>
    <mergeCell ref="F1:I1"/>
    <mergeCell ref="F17:I17"/>
    <mergeCell ref="F33:I33"/>
    <mergeCell ref="F49:I49"/>
    <mergeCell ref="F65:I65"/>
    <mergeCell ref="F81:I81"/>
    <mergeCell ref="N2:N14"/>
    <mergeCell ref="O2:O14"/>
    <mergeCell ref="A111:B111"/>
    <mergeCell ref="A1:D1"/>
    <mergeCell ref="A17:D17"/>
    <mergeCell ref="A33:D33"/>
    <mergeCell ref="A49:D49"/>
    <mergeCell ref="A15:B15"/>
    <mergeCell ref="A31:B31"/>
    <mergeCell ref="A47:B47"/>
    <mergeCell ref="A63:B63"/>
    <mergeCell ref="A79:B79"/>
    <mergeCell ref="F97:I97"/>
    <mergeCell ref="A65:D65"/>
    <mergeCell ref="A81:D81"/>
    <mergeCell ref="A97:D97"/>
    <mergeCell ref="A95:B95"/>
  </mergeCells>
  <conditionalFormatting sqref="L24">
    <cfRule type="cellIs" dxfId="254" priority="2" operator="lessThan">
      <formula>1%</formula>
    </cfRule>
    <cfRule type="cellIs" dxfId="253" priority="3" operator="greaterThanOrEqual">
      <formula>1%</formula>
    </cfRule>
  </conditionalFormatting>
  <conditionalFormatting sqref="N15:O15">
    <cfRule type="cellIs" dxfId="252" priority="1" operator="lessThan">
      <formula>0</formula>
    </cfRule>
  </conditionalFormatting>
  <pageMargins left="0.69930555555555596" right="0.69930555555555596" top="0.75" bottom="0.75" header="0.3" footer="0.3"/>
  <pageSetup scale="18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6D39-077E-4844-B7A6-15C5410E650B}">
  <sheetPr codeName="Sheet11"/>
  <dimension ref="A1:AD118"/>
  <sheetViews>
    <sheetView tabSelected="1" workbookViewId="0">
      <pane xSplit="8" ySplit="1" topLeftCell="V2" activePane="bottomRight" state="frozen"/>
      <selection pane="topRight" activeCell="I1" sqref="I1"/>
      <selection pane="bottomLeft" activeCell="A2" sqref="A2"/>
      <selection pane="bottomRight" activeCell="H20" sqref="H20"/>
    </sheetView>
  </sheetViews>
  <sheetFormatPr defaultColWidth="9" defaultRowHeight="15"/>
  <cols>
    <col min="1" max="1" width="5.42578125" bestFit="1" customWidth="1"/>
    <col min="2" max="2" width="17.28515625" customWidth="1"/>
    <col min="3" max="3" width="13.85546875" bestFit="1" customWidth="1"/>
    <col min="4" max="4" width="20.5703125" customWidth="1"/>
    <col min="5" max="5" width="13.140625" bestFit="1" customWidth="1"/>
    <col min="6" max="6" width="18.42578125" customWidth="1"/>
    <col min="7" max="8" width="15" customWidth="1"/>
    <col min="9" max="9" width="14" customWidth="1"/>
    <col min="10" max="10" width="11.7109375" customWidth="1"/>
    <col min="11" max="11" width="7.28515625" customWidth="1"/>
    <col min="12" max="12" width="4.85546875" bestFit="1" customWidth="1"/>
    <col min="13" max="13" width="11.140625" bestFit="1" customWidth="1"/>
    <col min="14" max="14" width="12" customWidth="1"/>
    <col min="15" max="15" width="10" bestFit="1" customWidth="1"/>
    <col min="16" max="16" width="10" customWidth="1"/>
    <col min="17" max="17" width="19" customWidth="1"/>
    <col min="18" max="18" width="7.5703125" bestFit="1" customWidth="1"/>
    <col min="19" max="29" width="8.5703125" bestFit="1" customWidth="1"/>
    <col min="30" max="30" width="40.5703125" customWidth="1"/>
  </cols>
  <sheetData>
    <row r="1" spans="1:30">
      <c r="A1" s="20" t="s">
        <v>67</v>
      </c>
      <c r="B1" s="20" t="s">
        <v>113</v>
      </c>
      <c r="C1" s="20" t="s">
        <v>73</v>
      </c>
      <c r="D1" s="20" t="s">
        <v>144</v>
      </c>
      <c r="E1" s="20" t="s">
        <v>145</v>
      </c>
      <c r="F1" s="20" t="s">
        <v>194</v>
      </c>
      <c r="G1" s="25" t="s">
        <v>202</v>
      </c>
      <c r="H1" s="20" t="s">
        <v>408</v>
      </c>
      <c r="I1" s="20" t="s">
        <v>110</v>
      </c>
      <c r="J1" s="20" t="s">
        <v>74</v>
      </c>
      <c r="K1" s="20" t="s">
        <v>75</v>
      </c>
      <c r="L1" s="20" t="s">
        <v>76</v>
      </c>
      <c r="M1" s="20" t="s">
        <v>111</v>
      </c>
      <c r="N1" s="673" t="s">
        <v>112</v>
      </c>
      <c r="O1" s="674"/>
      <c r="P1" s="577" t="s">
        <v>478</v>
      </c>
      <c r="Q1" s="577" t="s">
        <v>415</v>
      </c>
      <c r="R1" s="578">
        <v>44317</v>
      </c>
      <c r="S1" s="21">
        <f t="shared" ref="S1:AC1" si="0">EDATE(R1,-1)</f>
        <v>44287</v>
      </c>
      <c r="T1" s="21">
        <f t="shared" si="0"/>
        <v>44256</v>
      </c>
      <c r="U1" s="21">
        <f t="shared" si="0"/>
        <v>44228</v>
      </c>
      <c r="V1" s="21">
        <f t="shared" si="0"/>
        <v>44197</v>
      </c>
      <c r="W1" s="21">
        <f t="shared" si="0"/>
        <v>44166</v>
      </c>
      <c r="X1" s="21">
        <f t="shared" si="0"/>
        <v>44136</v>
      </c>
      <c r="Y1" s="21">
        <f t="shared" si="0"/>
        <v>44105</v>
      </c>
      <c r="Z1" s="21">
        <f t="shared" si="0"/>
        <v>44075</v>
      </c>
      <c r="AA1" s="21">
        <f t="shared" si="0"/>
        <v>44044</v>
      </c>
      <c r="AB1" s="21">
        <f t="shared" si="0"/>
        <v>44013</v>
      </c>
      <c r="AC1" s="21">
        <f t="shared" si="0"/>
        <v>43983</v>
      </c>
      <c r="AD1" s="20" t="s">
        <v>77</v>
      </c>
    </row>
    <row r="2" spans="1:30" ht="14.25" customHeight="1">
      <c r="A2" s="76">
        <v>1</v>
      </c>
      <c r="B2" s="579"/>
      <c r="C2" s="580"/>
      <c r="D2" s="26"/>
      <c r="E2" s="581"/>
      <c r="F2" s="581"/>
      <c r="G2" s="422"/>
      <c r="H2" s="582"/>
      <c r="I2" s="582"/>
      <c r="J2" s="583"/>
      <c r="K2" s="26"/>
      <c r="L2" s="26"/>
      <c r="M2" s="584">
        <f t="shared" ref="M2:M66" si="1">K2-L2</f>
        <v>0</v>
      </c>
      <c r="N2" s="585"/>
      <c r="O2" s="586" t="str">
        <f>IF(AND(N2="Yes",M2&gt;=12),J2,IF(AND(N2="Yes",M2&lt;12),J2*M2/12,""))</f>
        <v/>
      </c>
      <c r="P2" s="587" t="str">
        <f>IFERROR(RATE(K2,J2,-H2)*12,"")</f>
        <v/>
      </c>
      <c r="Q2" s="26"/>
      <c r="R2" s="26"/>
      <c r="S2" s="583"/>
      <c r="T2" s="583"/>
      <c r="U2" s="26"/>
      <c r="V2" s="26"/>
      <c r="W2" s="26"/>
      <c r="X2" s="26"/>
      <c r="Y2" s="583"/>
      <c r="Z2" s="583"/>
      <c r="AA2" s="26"/>
      <c r="AB2" s="26"/>
      <c r="AC2" s="26"/>
      <c r="AD2" s="585"/>
    </row>
    <row r="3" spans="1:30">
      <c r="A3" s="76">
        <v>2</v>
      </c>
      <c r="B3" s="77"/>
      <c r="C3" s="580"/>
      <c r="D3" s="26"/>
      <c r="E3" s="581"/>
      <c r="F3" s="581"/>
      <c r="G3" s="422"/>
      <c r="H3" s="582"/>
      <c r="I3" s="582"/>
      <c r="J3" s="583"/>
      <c r="K3" s="26"/>
      <c r="L3" s="26"/>
      <c r="M3" s="584">
        <f t="shared" si="1"/>
        <v>0</v>
      </c>
      <c r="N3" s="585"/>
      <c r="O3" s="586" t="str">
        <f t="shared" ref="O3:O66" si="2">IF(AND(N3="Yes",M3&gt;=12),J3,IF(AND(N3="Yes",M3&lt;12),J3*M3/12,""))</f>
        <v/>
      </c>
      <c r="P3" s="587" t="str">
        <f t="shared" ref="P3:P66" si="3">IFERROR(RATE(K3,J3,-H3)*12,"")</f>
        <v/>
      </c>
      <c r="Q3" s="26"/>
      <c r="R3" s="26"/>
      <c r="S3" s="583"/>
      <c r="T3" s="583"/>
      <c r="U3" s="26"/>
      <c r="V3" s="26"/>
      <c r="W3" s="26"/>
      <c r="X3" s="26"/>
      <c r="Y3" s="583"/>
      <c r="Z3" s="583"/>
      <c r="AA3" s="26"/>
      <c r="AB3" s="26"/>
      <c r="AC3" s="26"/>
      <c r="AD3" s="585"/>
    </row>
    <row r="4" spans="1:30">
      <c r="A4" s="76">
        <v>3</v>
      </c>
      <c r="B4" s="77"/>
      <c r="C4" s="580"/>
      <c r="D4" s="585"/>
      <c r="E4" s="581"/>
      <c r="F4" s="581"/>
      <c r="G4" s="422"/>
      <c r="H4" s="582"/>
      <c r="I4" s="582"/>
      <c r="J4" s="583"/>
      <c r="K4" s="26"/>
      <c r="L4" s="26"/>
      <c r="M4" s="584">
        <f t="shared" si="1"/>
        <v>0</v>
      </c>
      <c r="N4" s="585"/>
      <c r="O4" s="586" t="str">
        <f t="shared" si="2"/>
        <v/>
      </c>
      <c r="P4" s="587" t="str">
        <f t="shared" si="3"/>
        <v/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585"/>
    </row>
    <row r="5" spans="1:30">
      <c r="A5" s="76">
        <v>4</v>
      </c>
      <c r="B5" s="77"/>
      <c r="C5" s="580"/>
      <c r="D5" s="26"/>
      <c r="E5" s="581"/>
      <c r="F5" s="581"/>
      <c r="G5" s="422"/>
      <c r="H5" s="582"/>
      <c r="I5" s="582"/>
      <c r="J5" s="583"/>
      <c r="K5" s="26"/>
      <c r="L5" s="26"/>
      <c r="M5" s="584">
        <f t="shared" si="1"/>
        <v>0</v>
      </c>
      <c r="N5" s="585"/>
      <c r="O5" s="586" t="str">
        <f t="shared" si="2"/>
        <v/>
      </c>
      <c r="P5" s="587" t="str">
        <f t="shared" si="3"/>
        <v/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585"/>
    </row>
    <row r="6" spans="1:30">
      <c r="A6" s="76">
        <v>5</v>
      </c>
      <c r="B6" s="77"/>
      <c r="C6" s="580"/>
      <c r="D6" s="26"/>
      <c r="E6" s="581"/>
      <c r="F6" s="581"/>
      <c r="G6" s="422"/>
      <c r="H6" s="583"/>
      <c r="I6" s="583"/>
      <c r="J6" s="583"/>
      <c r="K6" s="26"/>
      <c r="L6" s="26"/>
      <c r="M6" s="584">
        <f t="shared" si="1"/>
        <v>0</v>
      </c>
      <c r="N6" s="585"/>
      <c r="O6" s="586" t="str">
        <f t="shared" si="2"/>
        <v/>
      </c>
      <c r="P6" s="587" t="str">
        <f t="shared" si="3"/>
        <v/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76">
        <v>6</v>
      </c>
      <c r="B7" s="77"/>
      <c r="C7" s="580"/>
      <c r="D7" s="26"/>
      <c r="E7" s="581"/>
      <c r="F7" s="581"/>
      <c r="G7" s="422"/>
      <c r="H7" s="583"/>
      <c r="I7" s="583"/>
      <c r="J7" s="583"/>
      <c r="K7" s="26"/>
      <c r="L7" s="26"/>
      <c r="M7" s="584">
        <f t="shared" si="1"/>
        <v>0</v>
      </c>
      <c r="N7" s="585"/>
      <c r="O7" s="586" t="str">
        <f t="shared" si="2"/>
        <v/>
      </c>
      <c r="P7" s="587" t="str">
        <f t="shared" si="3"/>
        <v/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585"/>
    </row>
    <row r="8" spans="1:30">
      <c r="A8" s="76">
        <v>7</v>
      </c>
      <c r="B8" s="77"/>
      <c r="C8" s="580"/>
      <c r="D8" s="26"/>
      <c r="E8" s="581"/>
      <c r="F8" s="581"/>
      <c r="G8" s="422"/>
      <c r="H8" s="583"/>
      <c r="I8" s="583"/>
      <c r="J8" s="583"/>
      <c r="K8" s="26"/>
      <c r="L8" s="26"/>
      <c r="M8" s="584">
        <f t="shared" si="1"/>
        <v>0</v>
      </c>
      <c r="N8" s="585"/>
      <c r="O8" s="586" t="str">
        <f t="shared" si="2"/>
        <v/>
      </c>
      <c r="P8" s="587" t="str">
        <f t="shared" si="3"/>
        <v/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76">
        <v>8</v>
      </c>
      <c r="B9" s="77"/>
      <c r="C9" s="580"/>
      <c r="D9" s="26"/>
      <c r="E9" s="581"/>
      <c r="F9" s="581"/>
      <c r="G9" s="422"/>
      <c r="H9" s="588"/>
      <c r="I9" s="588"/>
      <c r="J9" s="583"/>
      <c r="K9" s="26"/>
      <c r="L9" s="26"/>
      <c r="M9" s="584">
        <f t="shared" si="1"/>
        <v>0</v>
      </c>
      <c r="N9" s="585"/>
      <c r="O9" s="586" t="str">
        <f t="shared" si="2"/>
        <v/>
      </c>
      <c r="P9" s="587" t="str">
        <f t="shared" si="3"/>
        <v/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76">
        <v>9</v>
      </c>
      <c r="B10" s="77"/>
      <c r="C10" s="580"/>
      <c r="D10" s="26"/>
      <c r="E10" s="581"/>
      <c r="F10" s="581"/>
      <c r="G10" s="422"/>
      <c r="H10" s="583"/>
      <c r="I10" s="583"/>
      <c r="J10" s="583"/>
      <c r="K10" s="26"/>
      <c r="L10" s="26"/>
      <c r="M10" s="584">
        <f t="shared" si="1"/>
        <v>0</v>
      </c>
      <c r="N10" s="585"/>
      <c r="O10" s="586" t="str">
        <f t="shared" si="2"/>
        <v/>
      </c>
      <c r="P10" s="587" t="str">
        <f t="shared" si="3"/>
        <v/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585"/>
    </row>
    <row r="11" spans="1:30">
      <c r="A11" s="76">
        <v>10</v>
      </c>
      <c r="B11" s="77"/>
      <c r="C11" s="580"/>
      <c r="D11" s="26"/>
      <c r="E11" s="581"/>
      <c r="F11" s="581"/>
      <c r="G11" s="422"/>
      <c r="H11" s="583"/>
      <c r="I11" s="583"/>
      <c r="J11" s="583"/>
      <c r="K11" s="26"/>
      <c r="L11" s="26"/>
      <c r="M11" s="584">
        <f t="shared" si="1"/>
        <v>0</v>
      </c>
      <c r="N11" s="585"/>
      <c r="O11" s="586" t="str">
        <f t="shared" si="2"/>
        <v/>
      </c>
      <c r="P11" s="587" t="str">
        <f t="shared" si="3"/>
        <v/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76">
        <v>11</v>
      </c>
      <c r="B12" s="77"/>
      <c r="C12" s="580"/>
      <c r="D12" s="26"/>
      <c r="E12" s="581"/>
      <c r="F12" s="581"/>
      <c r="G12" s="422"/>
      <c r="H12" s="583"/>
      <c r="I12" s="583"/>
      <c r="J12" s="583"/>
      <c r="K12" s="26"/>
      <c r="L12" s="26"/>
      <c r="M12" s="584">
        <f t="shared" si="1"/>
        <v>0</v>
      </c>
      <c r="N12" s="585"/>
      <c r="O12" s="586" t="str">
        <f t="shared" si="2"/>
        <v/>
      </c>
      <c r="P12" s="587" t="str">
        <f t="shared" si="3"/>
        <v/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76">
        <v>12</v>
      </c>
      <c r="B13" s="77"/>
      <c r="C13" s="580"/>
      <c r="D13" s="26"/>
      <c r="E13" s="581"/>
      <c r="F13" s="581"/>
      <c r="G13" s="422"/>
      <c r="H13" s="583"/>
      <c r="I13" s="583"/>
      <c r="J13" s="583"/>
      <c r="K13" s="26"/>
      <c r="L13" s="26"/>
      <c r="M13" s="584">
        <f t="shared" si="1"/>
        <v>0</v>
      </c>
      <c r="N13" s="585"/>
      <c r="O13" s="586" t="str">
        <f t="shared" si="2"/>
        <v/>
      </c>
      <c r="P13" s="587" t="str">
        <f t="shared" si="3"/>
        <v/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76">
        <v>13</v>
      </c>
      <c r="B14" s="77"/>
      <c r="C14" s="580"/>
      <c r="D14" s="26"/>
      <c r="E14" s="581"/>
      <c r="F14" s="581"/>
      <c r="G14" s="422"/>
      <c r="H14" s="583"/>
      <c r="I14" s="583"/>
      <c r="J14" s="583"/>
      <c r="K14" s="26"/>
      <c r="L14" s="26"/>
      <c r="M14" s="584">
        <f t="shared" si="1"/>
        <v>0</v>
      </c>
      <c r="N14" s="585"/>
      <c r="O14" s="586" t="str">
        <f t="shared" si="2"/>
        <v/>
      </c>
      <c r="P14" s="587" t="str">
        <f t="shared" si="3"/>
        <v/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76">
        <v>14</v>
      </c>
      <c r="B15" s="77"/>
      <c r="C15" s="580"/>
      <c r="D15" s="26"/>
      <c r="E15" s="581"/>
      <c r="F15" s="581"/>
      <c r="G15" s="422"/>
      <c r="H15" s="583"/>
      <c r="I15" s="583"/>
      <c r="J15" s="583"/>
      <c r="K15" s="26"/>
      <c r="L15" s="26"/>
      <c r="M15" s="584">
        <f t="shared" si="1"/>
        <v>0</v>
      </c>
      <c r="N15" s="585"/>
      <c r="O15" s="586" t="str">
        <f t="shared" si="2"/>
        <v/>
      </c>
      <c r="P15" s="587" t="str">
        <f t="shared" si="3"/>
        <v/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76">
        <v>15</v>
      </c>
      <c r="B16" s="77"/>
      <c r="C16" s="580"/>
      <c r="D16" s="26"/>
      <c r="E16" s="581"/>
      <c r="F16" s="581"/>
      <c r="G16" s="422"/>
      <c r="H16" s="583"/>
      <c r="I16" s="583"/>
      <c r="J16" s="583"/>
      <c r="K16" s="26"/>
      <c r="L16" s="26"/>
      <c r="M16" s="584">
        <f t="shared" si="1"/>
        <v>0</v>
      </c>
      <c r="N16" s="585"/>
      <c r="O16" s="586" t="str">
        <f t="shared" si="2"/>
        <v/>
      </c>
      <c r="P16" s="587" t="str">
        <f t="shared" si="3"/>
        <v/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76">
        <v>16</v>
      </c>
      <c r="B17" s="77"/>
      <c r="C17" s="580"/>
      <c r="D17" s="26"/>
      <c r="E17" s="581"/>
      <c r="F17" s="581"/>
      <c r="G17" s="422"/>
      <c r="H17" s="583"/>
      <c r="I17" s="583"/>
      <c r="J17" s="583"/>
      <c r="K17" s="26"/>
      <c r="L17" s="26"/>
      <c r="M17" s="584">
        <f t="shared" si="1"/>
        <v>0</v>
      </c>
      <c r="N17" s="585"/>
      <c r="O17" s="586" t="str">
        <f t="shared" si="2"/>
        <v/>
      </c>
      <c r="P17" s="587" t="str">
        <f t="shared" si="3"/>
        <v/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76">
        <v>17</v>
      </c>
      <c r="B18" s="77"/>
      <c r="C18" s="580"/>
      <c r="D18" s="26"/>
      <c r="E18" s="581"/>
      <c r="F18" s="581"/>
      <c r="G18" s="422"/>
      <c r="H18" s="583"/>
      <c r="I18" s="583"/>
      <c r="J18" s="583"/>
      <c r="K18" s="26"/>
      <c r="L18" s="26"/>
      <c r="M18" s="584">
        <f t="shared" si="1"/>
        <v>0</v>
      </c>
      <c r="N18" s="585"/>
      <c r="O18" s="586" t="str">
        <f t="shared" si="2"/>
        <v/>
      </c>
      <c r="P18" s="587" t="str">
        <f t="shared" si="3"/>
        <v/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76">
        <v>18</v>
      </c>
      <c r="B19" s="77"/>
      <c r="C19" s="580"/>
      <c r="D19" s="26"/>
      <c r="E19" s="581"/>
      <c r="F19" s="581"/>
      <c r="G19" s="422"/>
      <c r="H19" s="583"/>
      <c r="I19" s="583"/>
      <c r="J19" s="583"/>
      <c r="K19" s="26"/>
      <c r="L19" s="26"/>
      <c r="M19" s="584">
        <f t="shared" si="1"/>
        <v>0</v>
      </c>
      <c r="N19" s="585"/>
      <c r="O19" s="586" t="str">
        <f t="shared" si="2"/>
        <v/>
      </c>
      <c r="P19" s="587" t="str">
        <f t="shared" si="3"/>
        <v/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76">
        <v>19</v>
      </c>
      <c r="B20" s="77"/>
      <c r="C20" s="580"/>
      <c r="D20" s="26"/>
      <c r="E20" s="581"/>
      <c r="F20" s="581"/>
      <c r="G20" s="422"/>
      <c r="H20" s="583"/>
      <c r="I20" s="583"/>
      <c r="J20" s="583"/>
      <c r="K20" s="26"/>
      <c r="L20" s="26"/>
      <c r="M20" s="584">
        <f t="shared" si="1"/>
        <v>0</v>
      </c>
      <c r="N20" s="585"/>
      <c r="O20" s="586" t="str">
        <f t="shared" si="2"/>
        <v/>
      </c>
      <c r="P20" s="587" t="str">
        <f t="shared" si="3"/>
        <v/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76">
        <v>20</v>
      </c>
      <c r="B21" s="77"/>
      <c r="C21" s="580"/>
      <c r="D21" s="26"/>
      <c r="E21" s="581"/>
      <c r="F21" s="581"/>
      <c r="G21" s="422"/>
      <c r="H21" s="583"/>
      <c r="I21" s="583"/>
      <c r="J21" s="583"/>
      <c r="K21" s="26"/>
      <c r="L21" s="26"/>
      <c r="M21" s="584">
        <f t="shared" si="1"/>
        <v>0</v>
      </c>
      <c r="N21" s="585"/>
      <c r="O21" s="586" t="str">
        <f t="shared" si="2"/>
        <v/>
      </c>
      <c r="P21" s="587" t="str">
        <f t="shared" si="3"/>
        <v/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76">
        <v>21</v>
      </c>
      <c r="B22" s="77"/>
      <c r="C22" s="580"/>
      <c r="D22" s="26"/>
      <c r="E22" s="581"/>
      <c r="F22" s="581"/>
      <c r="G22" s="422"/>
      <c r="H22" s="583"/>
      <c r="I22" s="583"/>
      <c r="J22" s="583"/>
      <c r="K22" s="26"/>
      <c r="L22" s="26"/>
      <c r="M22" s="584">
        <f t="shared" si="1"/>
        <v>0</v>
      </c>
      <c r="N22" s="585"/>
      <c r="O22" s="586" t="str">
        <f t="shared" si="2"/>
        <v/>
      </c>
      <c r="P22" s="587" t="str">
        <f t="shared" si="3"/>
        <v/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76">
        <v>22</v>
      </c>
      <c r="B23" s="77"/>
      <c r="C23" s="580"/>
      <c r="D23" s="26"/>
      <c r="E23" s="581"/>
      <c r="F23" s="581"/>
      <c r="G23" s="422"/>
      <c r="H23" s="583"/>
      <c r="I23" s="583"/>
      <c r="J23" s="583"/>
      <c r="K23" s="26"/>
      <c r="L23" s="26"/>
      <c r="M23" s="584">
        <f t="shared" si="1"/>
        <v>0</v>
      </c>
      <c r="N23" s="585"/>
      <c r="O23" s="586" t="str">
        <f t="shared" si="2"/>
        <v/>
      </c>
      <c r="P23" s="587" t="str">
        <f t="shared" si="3"/>
        <v/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76">
        <v>23</v>
      </c>
      <c r="B24" s="77"/>
      <c r="C24" s="580"/>
      <c r="D24" s="26"/>
      <c r="E24" s="581"/>
      <c r="F24" s="581"/>
      <c r="G24" s="422"/>
      <c r="H24" s="583"/>
      <c r="I24" s="583"/>
      <c r="J24" s="583"/>
      <c r="K24" s="26"/>
      <c r="L24" s="26"/>
      <c r="M24" s="584">
        <f t="shared" si="1"/>
        <v>0</v>
      </c>
      <c r="N24" s="585"/>
      <c r="O24" s="586" t="str">
        <f t="shared" si="2"/>
        <v/>
      </c>
      <c r="P24" s="587" t="str">
        <f t="shared" si="3"/>
        <v/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76">
        <v>24</v>
      </c>
      <c r="B25" s="77"/>
      <c r="C25" s="580"/>
      <c r="D25" s="26"/>
      <c r="E25" s="581"/>
      <c r="F25" s="581"/>
      <c r="G25" s="422"/>
      <c r="H25" s="583"/>
      <c r="I25" s="583"/>
      <c r="J25" s="583"/>
      <c r="K25" s="26"/>
      <c r="L25" s="26"/>
      <c r="M25" s="584">
        <f t="shared" si="1"/>
        <v>0</v>
      </c>
      <c r="N25" s="585"/>
      <c r="O25" s="586" t="str">
        <f t="shared" si="2"/>
        <v/>
      </c>
      <c r="P25" s="587" t="str">
        <f t="shared" si="3"/>
        <v/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76">
        <v>25</v>
      </c>
      <c r="B26" s="77"/>
      <c r="C26" s="580"/>
      <c r="D26" s="26"/>
      <c r="E26" s="581"/>
      <c r="F26" s="581"/>
      <c r="G26" s="422"/>
      <c r="H26" s="583"/>
      <c r="I26" s="583"/>
      <c r="J26" s="583"/>
      <c r="K26" s="26"/>
      <c r="L26" s="26"/>
      <c r="M26" s="584">
        <f t="shared" si="1"/>
        <v>0</v>
      </c>
      <c r="N26" s="585"/>
      <c r="O26" s="586" t="str">
        <f t="shared" si="2"/>
        <v/>
      </c>
      <c r="P26" s="587" t="str">
        <f t="shared" si="3"/>
        <v/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76">
        <v>26</v>
      </c>
      <c r="B27" s="77"/>
      <c r="C27" s="580"/>
      <c r="D27" s="26"/>
      <c r="E27" s="581"/>
      <c r="F27" s="581"/>
      <c r="G27" s="422"/>
      <c r="H27" s="583"/>
      <c r="I27" s="583"/>
      <c r="J27" s="583"/>
      <c r="K27" s="26"/>
      <c r="L27" s="26"/>
      <c r="M27" s="584">
        <f t="shared" si="1"/>
        <v>0</v>
      </c>
      <c r="N27" s="585"/>
      <c r="O27" s="586" t="str">
        <f t="shared" si="2"/>
        <v/>
      </c>
      <c r="P27" s="587" t="str">
        <f t="shared" si="3"/>
        <v/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>
      <c r="A28" s="76">
        <v>27</v>
      </c>
      <c r="B28" s="77"/>
      <c r="C28" s="580"/>
      <c r="D28" s="26"/>
      <c r="E28" s="581"/>
      <c r="F28" s="581"/>
      <c r="G28" s="422"/>
      <c r="H28" s="583"/>
      <c r="I28" s="583"/>
      <c r="J28" s="583"/>
      <c r="K28" s="26"/>
      <c r="L28" s="26"/>
      <c r="M28" s="584">
        <f t="shared" si="1"/>
        <v>0</v>
      </c>
      <c r="N28" s="585"/>
      <c r="O28" s="586" t="str">
        <f t="shared" si="2"/>
        <v/>
      </c>
      <c r="P28" s="587" t="str">
        <f t="shared" si="3"/>
        <v/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>
      <c r="A29" s="76">
        <v>28</v>
      </c>
      <c r="B29" s="77"/>
      <c r="C29" s="580"/>
      <c r="D29" s="26"/>
      <c r="E29" s="581"/>
      <c r="F29" s="581"/>
      <c r="G29" s="422"/>
      <c r="H29" s="583"/>
      <c r="I29" s="583"/>
      <c r="J29" s="583"/>
      <c r="K29" s="26"/>
      <c r="L29" s="26"/>
      <c r="M29" s="584">
        <f t="shared" si="1"/>
        <v>0</v>
      </c>
      <c r="N29" s="585"/>
      <c r="O29" s="586" t="str">
        <f t="shared" si="2"/>
        <v/>
      </c>
      <c r="P29" s="587" t="str">
        <f t="shared" si="3"/>
        <v/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76">
        <v>29</v>
      </c>
      <c r="B30" s="77"/>
      <c r="C30" s="580"/>
      <c r="D30" s="26"/>
      <c r="E30" s="581"/>
      <c r="F30" s="581"/>
      <c r="G30" s="422"/>
      <c r="H30" s="583"/>
      <c r="I30" s="583"/>
      <c r="J30" s="583"/>
      <c r="K30" s="26"/>
      <c r="L30" s="26"/>
      <c r="M30" s="584">
        <f t="shared" si="1"/>
        <v>0</v>
      </c>
      <c r="N30" s="585"/>
      <c r="O30" s="586" t="str">
        <f t="shared" si="2"/>
        <v/>
      </c>
      <c r="P30" s="587" t="str">
        <f t="shared" si="3"/>
        <v/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76">
        <v>30</v>
      </c>
      <c r="B31" s="77"/>
      <c r="C31" s="580"/>
      <c r="D31" s="26"/>
      <c r="E31" s="581"/>
      <c r="F31" s="581"/>
      <c r="G31" s="422"/>
      <c r="H31" s="583"/>
      <c r="I31" s="583"/>
      <c r="J31" s="583"/>
      <c r="K31" s="26"/>
      <c r="L31" s="26"/>
      <c r="M31" s="584">
        <f t="shared" si="1"/>
        <v>0</v>
      </c>
      <c r="N31" s="585"/>
      <c r="O31" s="586" t="str">
        <f t="shared" si="2"/>
        <v/>
      </c>
      <c r="P31" s="587" t="str">
        <f t="shared" si="3"/>
        <v/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76">
        <v>31</v>
      </c>
      <c r="B32" s="77"/>
      <c r="C32" s="580"/>
      <c r="D32" s="26"/>
      <c r="E32" s="581"/>
      <c r="F32" s="581"/>
      <c r="G32" s="422"/>
      <c r="H32" s="583"/>
      <c r="I32" s="583"/>
      <c r="J32" s="583"/>
      <c r="K32" s="26"/>
      <c r="L32" s="26"/>
      <c r="M32" s="584">
        <f t="shared" si="1"/>
        <v>0</v>
      </c>
      <c r="N32" s="585"/>
      <c r="O32" s="586" t="str">
        <f t="shared" si="2"/>
        <v/>
      </c>
      <c r="P32" s="587" t="str">
        <f t="shared" si="3"/>
        <v/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>
      <c r="A33" s="76">
        <v>32</v>
      </c>
      <c r="B33" s="77"/>
      <c r="C33" s="580"/>
      <c r="D33" s="26"/>
      <c r="E33" s="581"/>
      <c r="F33" s="581"/>
      <c r="G33" s="422"/>
      <c r="H33" s="583"/>
      <c r="I33" s="583"/>
      <c r="J33" s="583"/>
      <c r="K33" s="26"/>
      <c r="L33" s="26"/>
      <c r="M33" s="584">
        <f t="shared" si="1"/>
        <v>0</v>
      </c>
      <c r="N33" s="585"/>
      <c r="O33" s="586" t="str">
        <f t="shared" si="2"/>
        <v/>
      </c>
      <c r="P33" s="587" t="str">
        <f t="shared" si="3"/>
        <v/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>
      <c r="A34" s="76">
        <v>33</v>
      </c>
      <c r="B34" s="77"/>
      <c r="C34" s="580"/>
      <c r="D34" s="26"/>
      <c r="E34" s="581"/>
      <c r="F34" s="581"/>
      <c r="G34" s="422"/>
      <c r="H34" s="583"/>
      <c r="I34" s="583"/>
      <c r="J34" s="583"/>
      <c r="K34" s="26"/>
      <c r="L34" s="26"/>
      <c r="M34" s="584">
        <f t="shared" si="1"/>
        <v>0</v>
      </c>
      <c r="N34" s="585"/>
      <c r="O34" s="586" t="str">
        <f t="shared" si="2"/>
        <v/>
      </c>
      <c r="P34" s="587" t="str">
        <f t="shared" si="3"/>
        <v/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>
      <c r="A35" s="76">
        <v>34</v>
      </c>
      <c r="B35" s="77"/>
      <c r="C35" s="580"/>
      <c r="D35" s="26"/>
      <c r="E35" s="581"/>
      <c r="F35" s="581"/>
      <c r="G35" s="422"/>
      <c r="H35" s="583"/>
      <c r="I35" s="583"/>
      <c r="J35" s="583"/>
      <c r="K35" s="26"/>
      <c r="L35" s="26"/>
      <c r="M35" s="584">
        <f t="shared" si="1"/>
        <v>0</v>
      </c>
      <c r="N35" s="585"/>
      <c r="O35" s="586" t="str">
        <f t="shared" si="2"/>
        <v/>
      </c>
      <c r="P35" s="587" t="str">
        <f t="shared" si="3"/>
        <v/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76">
        <v>35</v>
      </c>
      <c r="B36" s="77"/>
      <c r="C36" s="580"/>
      <c r="D36" s="26"/>
      <c r="E36" s="581"/>
      <c r="F36" s="581"/>
      <c r="G36" s="422"/>
      <c r="H36" s="583"/>
      <c r="I36" s="583"/>
      <c r="J36" s="583"/>
      <c r="K36" s="26"/>
      <c r="L36" s="26"/>
      <c r="M36" s="584">
        <f t="shared" si="1"/>
        <v>0</v>
      </c>
      <c r="N36" s="585"/>
      <c r="O36" s="586" t="str">
        <f t="shared" si="2"/>
        <v/>
      </c>
      <c r="P36" s="587" t="str">
        <f t="shared" si="3"/>
        <v/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76">
        <v>36</v>
      </c>
      <c r="B37" s="77"/>
      <c r="C37" s="580"/>
      <c r="D37" s="26"/>
      <c r="E37" s="581"/>
      <c r="F37" s="581"/>
      <c r="G37" s="422"/>
      <c r="H37" s="583"/>
      <c r="I37" s="583"/>
      <c r="J37" s="583"/>
      <c r="K37" s="26"/>
      <c r="L37" s="26"/>
      <c r="M37" s="584">
        <f t="shared" si="1"/>
        <v>0</v>
      </c>
      <c r="N37" s="585"/>
      <c r="O37" s="586" t="str">
        <f t="shared" si="2"/>
        <v/>
      </c>
      <c r="P37" s="587" t="str">
        <f t="shared" si="3"/>
        <v/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76">
        <v>37</v>
      </c>
      <c r="B38" s="77"/>
      <c r="C38" s="580"/>
      <c r="D38" s="26"/>
      <c r="E38" s="581"/>
      <c r="F38" s="581"/>
      <c r="G38" s="422"/>
      <c r="H38" s="583"/>
      <c r="I38" s="583"/>
      <c r="J38" s="583"/>
      <c r="K38" s="26"/>
      <c r="L38" s="26"/>
      <c r="M38" s="584">
        <f t="shared" si="1"/>
        <v>0</v>
      </c>
      <c r="N38" s="585"/>
      <c r="O38" s="586" t="str">
        <f t="shared" si="2"/>
        <v/>
      </c>
      <c r="P38" s="587" t="str">
        <f t="shared" si="3"/>
        <v/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76">
        <v>38</v>
      </c>
      <c r="B39" s="77"/>
      <c r="C39" s="580"/>
      <c r="D39" s="26"/>
      <c r="E39" s="581"/>
      <c r="F39" s="581"/>
      <c r="G39" s="422"/>
      <c r="H39" s="583"/>
      <c r="I39" s="583"/>
      <c r="J39" s="583"/>
      <c r="K39" s="26"/>
      <c r="L39" s="26"/>
      <c r="M39" s="584">
        <f t="shared" si="1"/>
        <v>0</v>
      </c>
      <c r="N39" s="585"/>
      <c r="O39" s="586" t="str">
        <f t="shared" si="2"/>
        <v/>
      </c>
      <c r="P39" s="587" t="str">
        <f t="shared" si="3"/>
        <v/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76">
        <v>39</v>
      </c>
      <c r="B40" s="77"/>
      <c r="C40" s="580"/>
      <c r="D40" s="26"/>
      <c r="E40" s="581"/>
      <c r="F40" s="581"/>
      <c r="G40" s="422"/>
      <c r="H40" s="583"/>
      <c r="I40" s="583"/>
      <c r="J40" s="583"/>
      <c r="K40" s="26"/>
      <c r="L40" s="26"/>
      <c r="M40" s="584">
        <f t="shared" si="1"/>
        <v>0</v>
      </c>
      <c r="N40" s="585"/>
      <c r="O40" s="586" t="str">
        <f t="shared" si="2"/>
        <v/>
      </c>
      <c r="P40" s="587" t="str">
        <f t="shared" si="3"/>
        <v/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76">
        <v>40</v>
      </c>
      <c r="B41" s="77"/>
      <c r="C41" s="580"/>
      <c r="D41" s="26"/>
      <c r="E41" s="581"/>
      <c r="F41" s="581"/>
      <c r="G41" s="422"/>
      <c r="H41" s="583"/>
      <c r="I41" s="583"/>
      <c r="J41" s="583"/>
      <c r="K41" s="26"/>
      <c r="L41" s="26"/>
      <c r="M41" s="584">
        <f t="shared" si="1"/>
        <v>0</v>
      </c>
      <c r="N41" s="585"/>
      <c r="O41" s="586" t="str">
        <f t="shared" si="2"/>
        <v/>
      </c>
      <c r="P41" s="587" t="str">
        <f t="shared" si="3"/>
        <v/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76">
        <v>41</v>
      </c>
      <c r="B42" s="77"/>
      <c r="C42" s="580"/>
      <c r="D42" s="26"/>
      <c r="E42" s="581"/>
      <c r="F42" s="581"/>
      <c r="G42" s="422"/>
      <c r="H42" s="583"/>
      <c r="I42" s="583"/>
      <c r="J42" s="583"/>
      <c r="K42" s="26"/>
      <c r="L42" s="26"/>
      <c r="M42" s="584">
        <f t="shared" si="1"/>
        <v>0</v>
      </c>
      <c r="N42" s="585"/>
      <c r="O42" s="586" t="str">
        <f t="shared" si="2"/>
        <v/>
      </c>
      <c r="P42" s="587" t="str">
        <f t="shared" si="3"/>
        <v/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76">
        <v>42</v>
      </c>
      <c r="B43" s="77"/>
      <c r="C43" s="580"/>
      <c r="D43" s="26"/>
      <c r="E43" s="581"/>
      <c r="F43" s="581"/>
      <c r="G43" s="422"/>
      <c r="H43" s="583"/>
      <c r="I43" s="583"/>
      <c r="J43" s="583"/>
      <c r="K43" s="26"/>
      <c r="L43" s="26"/>
      <c r="M43" s="584">
        <f t="shared" si="1"/>
        <v>0</v>
      </c>
      <c r="N43" s="585"/>
      <c r="O43" s="586" t="str">
        <f t="shared" si="2"/>
        <v/>
      </c>
      <c r="P43" s="587" t="str">
        <f t="shared" si="3"/>
        <v/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76">
        <v>43</v>
      </c>
      <c r="B44" s="77"/>
      <c r="C44" s="580"/>
      <c r="D44" s="26"/>
      <c r="E44" s="581"/>
      <c r="F44" s="581"/>
      <c r="G44" s="422"/>
      <c r="H44" s="583"/>
      <c r="I44" s="583"/>
      <c r="J44" s="583"/>
      <c r="K44" s="26"/>
      <c r="L44" s="26"/>
      <c r="M44" s="584">
        <f t="shared" si="1"/>
        <v>0</v>
      </c>
      <c r="N44" s="585"/>
      <c r="O44" s="586" t="str">
        <f t="shared" si="2"/>
        <v/>
      </c>
      <c r="P44" s="587" t="str">
        <f t="shared" si="3"/>
        <v/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76">
        <v>44</v>
      </c>
      <c r="B45" s="77"/>
      <c r="C45" s="580"/>
      <c r="D45" s="26"/>
      <c r="E45" s="581"/>
      <c r="F45" s="581"/>
      <c r="G45" s="422"/>
      <c r="H45" s="583"/>
      <c r="I45" s="583"/>
      <c r="J45" s="583"/>
      <c r="K45" s="26"/>
      <c r="L45" s="26"/>
      <c r="M45" s="584">
        <f t="shared" si="1"/>
        <v>0</v>
      </c>
      <c r="N45" s="585"/>
      <c r="O45" s="586" t="str">
        <f t="shared" si="2"/>
        <v/>
      </c>
      <c r="P45" s="587" t="str">
        <f t="shared" si="3"/>
        <v/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76">
        <v>45</v>
      </c>
      <c r="B46" s="77"/>
      <c r="C46" s="580"/>
      <c r="D46" s="26"/>
      <c r="E46" s="581"/>
      <c r="F46" s="581"/>
      <c r="G46" s="422"/>
      <c r="H46" s="583"/>
      <c r="I46" s="583"/>
      <c r="J46" s="583"/>
      <c r="K46" s="26"/>
      <c r="L46" s="26"/>
      <c r="M46" s="584">
        <f t="shared" si="1"/>
        <v>0</v>
      </c>
      <c r="N46" s="585"/>
      <c r="O46" s="586" t="str">
        <f t="shared" si="2"/>
        <v/>
      </c>
      <c r="P46" s="587" t="str">
        <f t="shared" si="3"/>
        <v/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76">
        <v>46</v>
      </c>
      <c r="B47" s="77"/>
      <c r="C47" s="580"/>
      <c r="D47" s="26"/>
      <c r="E47" s="581"/>
      <c r="F47" s="581"/>
      <c r="G47" s="422"/>
      <c r="H47" s="583"/>
      <c r="I47" s="583"/>
      <c r="J47" s="583"/>
      <c r="K47" s="26"/>
      <c r="L47" s="26"/>
      <c r="M47" s="584">
        <f t="shared" si="1"/>
        <v>0</v>
      </c>
      <c r="N47" s="585"/>
      <c r="O47" s="586" t="str">
        <f t="shared" si="2"/>
        <v/>
      </c>
      <c r="P47" s="587" t="str">
        <f t="shared" si="3"/>
        <v/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76">
        <v>47</v>
      </c>
      <c r="B48" s="77"/>
      <c r="C48" s="580"/>
      <c r="D48" s="26"/>
      <c r="E48" s="581"/>
      <c r="F48" s="581"/>
      <c r="G48" s="422"/>
      <c r="H48" s="583"/>
      <c r="I48" s="583"/>
      <c r="J48" s="583"/>
      <c r="K48" s="26"/>
      <c r="L48" s="26"/>
      <c r="M48" s="584">
        <f t="shared" si="1"/>
        <v>0</v>
      </c>
      <c r="N48" s="585"/>
      <c r="O48" s="586" t="str">
        <f t="shared" si="2"/>
        <v/>
      </c>
      <c r="P48" s="587" t="str">
        <f t="shared" si="3"/>
        <v/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76">
        <v>48</v>
      </c>
      <c r="B49" s="77"/>
      <c r="C49" s="580"/>
      <c r="D49" s="26"/>
      <c r="E49" s="581"/>
      <c r="F49" s="581"/>
      <c r="G49" s="422"/>
      <c r="H49" s="583"/>
      <c r="I49" s="583"/>
      <c r="J49" s="583"/>
      <c r="K49" s="26"/>
      <c r="L49" s="26"/>
      <c r="M49" s="584">
        <f t="shared" si="1"/>
        <v>0</v>
      </c>
      <c r="N49" s="585"/>
      <c r="O49" s="586" t="str">
        <f t="shared" si="2"/>
        <v/>
      </c>
      <c r="P49" s="587" t="str">
        <f t="shared" si="3"/>
        <v/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76">
        <v>49</v>
      </c>
      <c r="B50" s="77"/>
      <c r="C50" s="580"/>
      <c r="D50" s="26"/>
      <c r="E50" s="581"/>
      <c r="F50" s="581"/>
      <c r="G50" s="422"/>
      <c r="H50" s="583"/>
      <c r="I50" s="583"/>
      <c r="J50" s="583"/>
      <c r="K50" s="26"/>
      <c r="L50" s="26"/>
      <c r="M50" s="584">
        <f t="shared" si="1"/>
        <v>0</v>
      </c>
      <c r="N50" s="585"/>
      <c r="O50" s="586" t="str">
        <f t="shared" si="2"/>
        <v/>
      </c>
      <c r="P50" s="587" t="str">
        <f t="shared" si="3"/>
        <v/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76">
        <v>50</v>
      </c>
      <c r="B51" s="77"/>
      <c r="C51" s="580"/>
      <c r="D51" s="26"/>
      <c r="E51" s="581"/>
      <c r="F51" s="581"/>
      <c r="G51" s="422"/>
      <c r="H51" s="583"/>
      <c r="I51" s="583"/>
      <c r="J51" s="583"/>
      <c r="K51" s="26"/>
      <c r="L51" s="26"/>
      <c r="M51" s="584">
        <f t="shared" si="1"/>
        <v>0</v>
      </c>
      <c r="N51" s="585"/>
      <c r="O51" s="586" t="str">
        <f t="shared" si="2"/>
        <v/>
      </c>
      <c r="P51" s="587" t="str">
        <f t="shared" si="3"/>
        <v/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76">
        <v>51</v>
      </c>
      <c r="B52" s="77"/>
      <c r="C52" s="580"/>
      <c r="D52" s="26"/>
      <c r="E52" s="581"/>
      <c r="F52" s="581"/>
      <c r="G52" s="422"/>
      <c r="H52" s="583"/>
      <c r="I52" s="583"/>
      <c r="J52" s="583"/>
      <c r="K52" s="26"/>
      <c r="L52" s="26"/>
      <c r="M52" s="584">
        <f t="shared" si="1"/>
        <v>0</v>
      </c>
      <c r="N52" s="585"/>
      <c r="O52" s="586" t="str">
        <f t="shared" si="2"/>
        <v/>
      </c>
      <c r="P52" s="587" t="str">
        <f t="shared" si="3"/>
        <v/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76">
        <v>52</v>
      </c>
      <c r="B53" s="77"/>
      <c r="C53" s="580"/>
      <c r="D53" s="26"/>
      <c r="E53" s="581"/>
      <c r="F53" s="581"/>
      <c r="G53" s="422"/>
      <c r="H53" s="583"/>
      <c r="I53" s="583"/>
      <c r="J53" s="583"/>
      <c r="K53" s="26"/>
      <c r="L53" s="26"/>
      <c r="M53" s="584">
        <f t="shared" si="1"/>
        <v>0</v>
      </c>
      <c r="N53" s="585"/>
      <c r="O53" s="586" t="str">
        <f t="shared" si="2"/>
        <v/>
      </c>
      <c r="P53" s="587" t="str">
        <f t="shared" si="3"/>
        <v/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76">
        <v>53</v>
      </c>
      <c r="B54" s="77"/>
      <c r="C54" s="580"/>
      <c r="D54" s="26"/>
      <c r="E54" s="581"/>
      <c r="F54" s="581"/>
      <c r="G54" s="422"/>
      <c r="H54" s="583"/>
      <c r="I54" s="583"/>
      <c r="J54" s="583"/>
      <c r="K54" s="26"/>
      <c r="L54" s="26"/>
      <c r="M54" s="584">
        <f t="shared" si="1"/>
        <v>0</v>
      </c>
      <c r="N54" s="585"/>
      <c r="O54" s="586" t="str">
        <f t="shared" si="2"/>
        <v/>
      </c>
      <c r="P54" s="587" t="str">
        <f t="shared" si="3"/>
        <v/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>
      <c r="A55" s="76">
        <v>54</v>
      </c>
      <c r="B55" s="77"/>
      <c r="C55" s="580"/>
      <c r="D55" s="26"/>
      <c r="E55" s="581"/>
      <c r="F55" s="581"/>
      <c r="G55" s="422"/>
      <c r="H55" s="583"/>
      <c r="I55" s="583"/>
      <c r="J55" s="583"/>
      <c r="K55" s="26"/>
      <c r="L55" s="26"/>
      <c r="M55" s="584">
        <f t="shared" si="1"/>
        <v>0</v>
      </c>
      <c r="N55" s="585"/>
      <c r="O55" s="586" t="str">
        <f t="shared" si="2"/>
        <v/>
      </c>
      <c r="P55" s="587" t="str">
        <f t="shared" si="3"/>
        <v/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>
      <c r="A56" s="76">
        <v>55</v>
      </c>
      <c r="B56" s="77"/>
      <c r="C56" s="580"/>
      <c r="D56" s="26"/>
      <c r="E56" s="581"/>
      <c r="F56" s="581"/>
      <c r="G56" s="422"/>
      <c r="H56" s="583"/>
      <c r="I56" s="583"/>
      <c r="J56" s="583"/>
      <c r="K56" s="26"/>
      <c r="L56" s="26"/>
      <c r="M56" s="584">
        <f t="shared" si="1"/>
        <v>0</v>
      </c>
      <c r="N56" s="585"/>
      <c r="O56" s="586" t="str">
        <f t="shared" si="2"/>
        <v/>
      </c>
      <c r="P56" s="587" t="str">
        <f t="shared" si="3"/>
        <v/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>
      <c r="A57" s="76">
        <v>56</v>
      </c>
      <c r="B57" s="77"/>
      <c r="C57" s="580"/>
      <c r="D57" s="26"/>
      <c r="E57" s="581"/>
      <c r="F57" s="581"/>
      <c r="G57" s="422"/>
      <c r="H57" s="583"/>
      <c r="I57" s="583"/>
      <c r="J57" s="583"/>
      <c r="K57" s="26"/>
      <c r="L57" s="26"/>
      <c r="M57" s="584">
        <f t="shared" si="1"/>
        <v>0</v>
      </c>
      <c r="N57" s="585"/>
      <c r="O57" s="586" t="str">
        <f t="shared" si="2"/>
        <v/>
      </c>
      <c r="P57" s="587" t="str">
        <f t="shared" si="3"/>
        <v/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>
      <c r="A58" s="76">
        <v>57</v>
      </c>
      <c r="B58" s="77"/>
      <c r="C58" s="580"/>
      <c r="D58" s="26"/>
      <c r="E58" s="581"/>
      <c r="F58" s="581"/>
      <c r="G58" s="422"/>
      <c r="H58" s="583"/>
      <c r="I58" s="583"/>
      <c r="J58" s="583"/>
      <c r="K58" s="26"/>
      <c r="L58" s="26"/>
      <c r="M58" s="584">
        <f t="shared" si="1"/>
        <v>0</v>
      </c>
      <c r="N58" s="585"/>
      <c r="O58" s="586" t="str">
        <f t="shared" si="2"/>
        <v/>
      </c>
      <c r="P58" s="587" t="str">
        <f t="shared" si="3"/>
        <v/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>
      <c r="A59" s="76">
        <v>58</v>
      </c>
      <c r="B59" s="77"/>
      <c r="C59" s="580"/>
      <c r="D59" s="26"/>
      <c r="E59" s="581"/>
      <c r="F59" s="581"/>
      <c r="G59" s="422"/>
      <c r="H59" s="583"/>
      <c r="I59" s="583"/>
      <c r="J59" s="583"/>
      <c r="K59" s="26"/>
      <c r="L59" s="26"/>
      <c r="M59" s="584">
        <f t="shared" si="1"/>
        <v>0</v>
      </c>
      <c r="N59" s="585"/>
      <c r="O59" s="586" t="str">
        <f t="shared" si="2"/>
        <v/>
      </c>
      <c r="P59" s="587" t="str">
        <f t="shared" si="3"/>
        <v/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>
      <c r="A60" s="76">
        <v>59</v>
      </c>
      <c r="B60" s="77"/>
      <c r="C60" s="580"/>
      <c r="D60" s="26"/>
      <c r="E60" s="581"/>
      <c r="F60" s="581"/>
      <c r="G60" s="422"/>
      <c r="H60" s="583"/>
      <c r="I60" s="583"/>
      <c r="J60" s="583"/>
      <c r="K60" s="26"/>
      <c r="L60" s="26"/>
      <c r="M60" s="584">
        <f t="shared" si="1"/>
        <v>0</v>
      </c>
      <c r="N60" s="585"/>
      <c r="O60" s="586" t="str">
        <f t="shared" si="2"/>
        <v/>
      </c>
      <c r="P60" s="587" t="str">
        <f t="shared" si="3"/>
        <v/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76">
        <v>60</v>
      </c>
      <c r="B61" s="77"/>
      <c r="C61" s="580"/>
      <c r="D61" s="26"/>
      <c r="E61" s="581"/>
      <c r="F61" s="581"/>
      <c r="G61" s="422"/>
      <c r="H61" s="583"/>
      <c r="I61" s="583"/>
      <c r="J61" s="583"/>
      <c r="K61" s="26"/>
      <c r="L61" s="26"/>
      <c r="M61" s="584">
        <f t="shared" si="1"/>
        <v>0</v>
      </c>
      <c r="N61" s="585"/>
      <c r="O61" s="586" t="str">
        <f t="shared" si="2"/>
        <v/>
      </c>
      <c r="P61" s="587" t="str">
        <f t="shared" si="3"/>
        <v/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>
      <c r="A62" s="76">
        <v>61</v>
      </c>
      <c r="B62" s="77"/>
      <c r="C62" s="580"/>
      <c r="D62" s="26"/>
      <c r="E62" s="581"/>
      <c r="F62" s="581"/>
      <c r="G62" s="422"/>
      <c r="H62" s="583"/>
      <c r="I62" s="583"/>
      <c r="J62" s="583"/>
      <c r="K62" s="26"/>
      <c r="L62" s="26"/>
      <c r="M62" s="584">
        <f t="shared" si="1"/>
        <v>0</v>
      </c>
      <c r="N62" s="585"/>
      <c r="O62" s="586" t="str">
        <f t="shared" si="2"/>
        <v/>
      </c>
      <c r="P62" s="587" t="str">
        <f t="shared" si="3"/>
        <v/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76">
        <v>62</v>
      </c>
      <c r="B63" s="77"/>
      <c r="C63" s="580"/>
      <c r="D63" s="26"/>
      <c r="E63" s="581"/>
      <c r="F63" s="581"/>
      <c r="G63" s="422"/>
      <c r="H63" s="583"/>
      <c r="I63" s="583"/>
      <c r="J63" s="583"/>
      <c r="K63" s="26"/>
      <c r="L63" s="26"/>
      <c r="M63" s="584">
        <f t="shared" si="1"/>
        <v>0</v>
      </c>
      <c r="N63" s="585"/>
      <c r="O63" s="586" t="str">
        <f t="shared" si="2"/>
        <v/>
      </c>
      <c r="P63" s="587" t="str">
        <f t="shared" si="3"/>
        <v/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76">
        <v>63</v>
      </c>
      <c r="B64" s="77"/>
      <c r="C64" s="580"/>
      <c r="D64" s="26"/>
      <c r="E64" s="581"/>
      <c r="F64" s="581"/>
      <c r="G64" s="422"/>
      <c r="H64" s="583"/>
      <c r="I64" s="583"/>
      <c r="J64" s="583"/>
      <c r="K64" s="26"/>
      <c r="L64" s="26"/>
      <c r="M64" s="584">
        <f t="shared" si="1"/>
        <v>0</v>
      </c>
      <c r="N64" s="585"/>
      <c r="O64" s="586" t="str">
        <f t="shared" si="2"/>
        <v/>
      </c>
      <c r="P64" s="587" t="str">
        <f t="shared" si="3"/>
        <v/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76">
        <v>64</v>
      </c>
      <c r="B65" s="77"/>
      <c r="C65" s="580"/>
      <c r="D65" s="26"/>
      <c r="E65" s="581"/>
      <c r="F65" s="581"/>
      <c r="G65" s="422"/>
      <c r="H65" s="583"/>
      <c r="I65" s="583"/>
      <c r="J65" s="583"/>
      <c r="K65" s="26"/>
      <c r="L65" s="26"/>
      <c r="M65" s="584">
        <f t="shared" si="1"/>
        <v>0</v>
      </c>
      <c r="N65" s="585"/>
      <c r="O65" s="586" t="str">
        <f t="shared" si="2"/>
        <v/>
      </c>
      <c r="P65" s="587" t="str">
        <f t="shared" si="3"/>
        <v/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76">
        <v>65</v>
      </c>
      <c r="B66" s="77"/>
      <c r="C66" s="580"/>
      <c r="D66" s="26"/>
      <c r="E66" s="581"/>
      <c r="F66" s="581"/>
      <c r="G66" s="422"/>
      <c r="H66" s="583"/>
      <c r="I66" s="583"/>
      <c r="J66" s="583"/>
      <c r="K66" s="26"/>
      <c r="L66" s="26"/>
      <c r="M66" s="584">
        <f t="shared" si="1"/>
        <v>0</v>
      </c>
      <c r="N66" s="585"/>
      <c r="O66" s="586" t="str">
        <f t="shared" si="2"/>
        <v/>
      </c>
      <c r="P66" s="587" t="str">
        <f t="shared" si="3"/>
        <v/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76">
        <v>66</v>
      </c>
      <c r="B67" s="77"/>
      <c r="C67" s="580"/>
      <c r="D67" s="26"/>
      <c r="E67" s="581"/>
      <c r="F67" s="581"/>
      <c r="G67" s="422"/>
      <c r="H67" s="583"/>
      <c r="I67" s="583"/>
      <c r="J67" s="583"/>
      <c r="K67" s="26"/>
      <c r="L67" s="26"/>
      <c r="M67" s="584">
        <f t="shared" ref="M67:M101" si="4">K67-L67</f>
        <v>0</v>
      </c>
      <c r="N67" s="585"/>
      <c r="O67" s="586" t="str">
        <f t="shared" ref="O67:O101" si="5">IF(AND(N67="Yes",M67&gt;=12),J67,IF(AND(N67="Yes",M67&lt;12),J67*M67/12,""))</f>
        <v/>
      </c>
      <c r="P67" s="587" t="str">
        <f t="shared" ref="P67:P101" si="6">IFERROR(RATE(K67,J67,-H67)*12,"")</f>
        <v/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>
      <c r="A68" s="76">
        <v>67</v>
      </c>
      <c r="B68" s="77"/>
      <c r="C68" s="580"/>
      <c r="D68" s="26"/>
      <c r="E68" s="581"/>
      <c r="F68" s="581"/>
      <c r="G68" s="422"/>
      <c r="H68" s="583"/>
      <c r="I68" s="583"/>
      <c r="J68" s="583"/>
      <c r="K68" s="26"/>
      <c r="L68" s="26"/>
      <c r="M68" s="584">
        <f t="shared" si="4"/>
        <v>0</v>
      </c>
      <c r="N68" s="585"/>
      <c r="O68" s="586" t="str">
        <f t="shared" si="5"/>
        <v/>
      </c>
      <c r="P68" s="587" t="str">
        <f t="shared" si="6"/>
        <v/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>
      <c r="A69" s="76">
        <v>68</v>
      </c>
      <c r="B69" s="77"/>
      <c r="C69" s="580"/>
      <c r="D69" s="26"/>
      <c r="E69" s="581"/>
      <c r="F69" s="581"/>
      <c r="G69" s="422"/>
      <c r="H69" s="583"/>
      <c r="I69" s="583"/>
      <c r="J69" s="583"/>
      <c r="K69" s="26"/>
      <c r="L69" s="26"/>
      <c r="M69" s="584">
        <f t="shared" si="4"/>
        <v>0</v>
      </c>
      <c r="N69" s="585"/>
      <c r="O69" s="586" t="str">
        <f t="shared" si="5"/>
        <v/>
      </c>
      <c r="P69" s="587" t="str">
        <f t="shared" si="6"/>
        <v/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>
      <c r="A70" s="76">
        <v>69</v>
      </c>
      <c r="B70" s="77"/>
      <c r="C70" s="580"/>
      <c r="D70" s="26"/>
      <c r="E70" s="581"/>
      <c r="F70" s="581"/>
      <c r="G70" s="422"/>
      <c r="H70" s="583"/>
      <c r="I70" s="583"/>
      <c r="J70" s="583"/>
      <c r="K70" s="26"/>
      <c r="L70" s="26"/>
      <c r="M70" s="584">
        <f t="shared" si="4"/>
        <v>0</v>
      </c>
      <c r="N70" s="585"/>
      <c r="O70" s="586" t="str">
        <f t="shared" si="5"/>
        <v/>
      </c>
      <c r="P70" s="587" t="str">
        <f t="shared" si="6"/>
        <v/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>
      <c r="A71" s="76">
        <v>70</v>
      </c>
      <c r="B71" s="77"/>
      <c r="C71" s="580"/>
      <c r="D71" s="26"/>
      <c r="E71" s="581"/>
      <c r="F71" s="581"/>
      <c r="G71" s="422"/>
      <c r="H71" s="583"/>
      <c r="I71" s="583"/>
      <c r="J71" s="583"/>
      <c r="K71" s="26"/>
      <c r="L71" s="26"/>
      <c r="M71" s="584">
        <f t="shared" si="4"/>
        <v>0</v>
      </c>
      <c r="N71" s="585"/>
      <c r="O71" s="586" t="str">
        <f t="shared" si="5"/>
        <v/>
      </c>
      <c r="P71" s="587" t="str">
        <f t="shared" si="6"/>
        <v/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>
      <c r="A72" s="76">
        <v>71</v>
      </c>
      <c r="B72" s="77"/>
      <c r="C72" s="580"/>
      <c r="D72" s="26"/>
      <c r="E72" s="581"/>
      <c r="F72" s="581"/>
      <c r="G72" s="422"/>
      <c r="H72" s="583"/>
      <c r="I72" s="583"/>
      <c r="J72" s="583"/>
      <c r="K72" s="26"/>
      <c r="L72" s="26"/>
      <c r="M72" s="584">
        <f t="shared" si="4"/>
        <v>0</v>
      </c>
      <c r="N72" s="585"/>
      <c r="O72" s="586" t="str">
        <f t="shared" si="5"/>
        <v/>
      </c>
      <c r="P72" s="587" t="str">
        <f t="shared" si="6"/>
        <v/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>
      <c r="A73" s="76">
        <v>72</v>
      </c>
      <c r="B73" s="77"/>
      <c r="C73" s="580"/>
      <c r="D73" s="26"/>
      <c r="E73" s="581"/>
      <c r="F73" s="581"/>
      <c r="G73" s="422"/>
      <c r="H73" s="583"/>
      <c r="I73" s="583"/>
      <c r="J73" s="583"/>
      <c r="K73" s="26"/>
      <c r="L73" s="26"/>
      <c r="M73" s="584">
        <f t="shared" si="4"/>
        <v>0</v>
      </c>
      <c r="N73" s="585"/>
      <c r="O73" s="586" t="str">
        <f t="shared" si="5"/>
        <v/>
      </c>
      <c r="P73" s="587" t="str">
        <f t="shared" si="6"/>
        <v/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>
      <c r="A74" s="76">
        <v>73</v>
      </c>
      <c r="B74" s="77"/>
      <c r="C74" s="580"/>
      <c r="D74" s="26"/>
      <c r="E74" s="581"/>
      <c r="F74" s="581"/>
      <c r="G74" s="422"/>
      <c r="H74" s="583"/>
      <c r="I74" s="583"/>
      <c r="J74" s="583"/>
      <c r="K74" s="26"/>
      <c r="L74" s="26"/>
      <c r="M74" s="584">
        <f t="shared" si="4"/>
        <v>0</v>
      </c>
      <c r="N74" s="585"/>
      <c r="O74" s="586" t="str">
        <f t="shared" si="5"/>
        <v/>
      </c>
      <c r="P74" s="587" t="str">
        <f t="shared" si="6"/>
        <v/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>
      <c r="A75" s="76">
        <v>74</v>
      </c>
      <c r="B75" s="77"/>
      <c r="C75" s="580"/>
      <c r="D75" s="26"/>
      <c r="E75" s="581"/>
      <c r="F75" s="581"/>
      <c r="G75" s="422"/>
      <c r="H75" s="583"/>
      <c r="I75" s="583"/>
      <c r="J75" s="583"/>
      <c r="K75" s="26"/>
      <c r="L75" s="26"/>
      <c r="M75" s="584">
        <f t="shared" si="4"/>
        <v>0</v>
      </c>
      <c r="N75" s="585"/>
      <c r="O75" s="586" t="str">
        <f t="shared" si="5"/>
        <v/>
      </c>
      <c r="P75" s="587" t="str">
        <f t="shared" si="6"/>
        <v/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>
      <c r="A76" s="76">
        <v>75</v>
      </c>
      <c r="B76" s="77"/>
      <c r="C76" s="580"/>
      <c r="D76" s="26"/>
      <c r="E76" s="581"/>
      <c r="F76" s="581"/>
      <c r="G76" s="422"/>
      <c r="H76" s="583"/>
      <c r="I76" s="583"/>
      <c r="J76" s="583"/>
      <c r="K76" s="26"/>
      <c r="L76" s="26"/>
      <c r="M76" s="584">
        <f t="shared" si="4"/>
        <v>0</v>
      </c>
      <c r="N76" s="585"/>
      <c r="O76" s="586" t="str">
        <f t="shared" si="5"/>
        <v/>
      </c>
      <c r="P76" s="587" t="str">
        <f t="shared" si="6"/>
        <v/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>
      <c r="A77" s="76">
        <v>76</v>
      </c>
      <c r="B77" s="77"/>
      <c r="C77" s="580"/>
      <c r="D77" s="26"/>
      <c r="E77" s="581"/>
      <c r="F77" s="581"/>
      <c r="G77" s="422"/>
      <c r="H77" s="583"/>
      <c r="I77" s="583"/>
      <c r="J77" s="583"/>
      <c r="K77" s="26"/>
      <c r="L77" s="26"/>
      <c r="M77" s="584">
        <f t="shared" si="4"/>
        <v>0</v>
      </c>
      <c r="N77" s="585"/>
      <c r="O77" s="586" t="str">
        <f t="shared" si="5"/>
        <v/>
      </c>
      <c r="P77" s="587" t="str">
        <f t="shared" si="6"/>
        <v/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>
      <c r="A78" s="76">
        <v>77</v>
      </c>
      <c r="B78" s="77"/>
      <c r="C78" s="580"/>
      <c r="D78" s="26"/>
      <c r="E78" s="581"/>
      <c r="F78" s="581"/>
      <c r="G78" s="422"/>
      <c r="H78" s="583"/>
      <c r="I78" s="583"/>
      <c r="J78" s="583"/>
      <c r="K78" s="26"/>
      <c r="L78" s="26"/>
      <c r="M78" s="584">
        <f t="shared" si="4"/>
        <v>0</v>
      </c>
      <c r="N78" s="585"/>
      <c r="O78" s="586" t="str">
        <f t="shared" si="5"/>
        <v/>
      </c>
      <c r="P78" s="587" t="str">
        <f t="shared" si="6"/>
        <v/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>
      <c r="A79" s="76">
        <v>78</v>
      </c>
      <c r="B79" s="77"/>
      <c r="C79" s="580"/>
      <c r="D79" s="26"/>
      <c r="E79" s="581"/>
      <c r="F79" s="581"/>
      <c r="G79" s="422"/>
      <c r="H79" s="583"/>
      <c r="I79" s="583"/>
      <c r="J79" s="583"/>
      <c r="K79" s="26"/>
      <c r="L79" s="26"/>
      <c r="M79" s="584">
        <f t="shared" si="4"/>
        <v>0</v>
      </c>
      <c r="N79" s="585"/>
      <c r="O79" s="586" t="str">
        <f t="shared" si="5"/>
        <v/>
      </c>
      <c r="P79" s="587" t="str">
        <f t="shared" si="6"/>
        <v/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>
      <c r="A80" s="76">
        <v>79</v>
      </c>
      <c r="B80" s="77"/>
      <c r="C80" s="580"/>
      <c r="D80" s="26"/>
      <c r="E80" s="581"/>
      <c r="F80" s="581"/>
      <c r="G80" s="422"/>
      <c r="H80" s="583"/>
      <c r="I80" s="583"/>
      <c r="J80" s="583"/>
      <c r="K80" s="26"/>
      <c r="L80" s="26"/>
      <c r="M80" s="584">
        <f t="shared" si="4"/>
        <v>0</v>
      </c>
      <c r="N80" s="585"/>
      <c r="O80" s="586" t="str">
        <f t="shared" si="5"/>
        <v/>
      </c>
      <c r="P80" s="587" t="str">
        <f t="shared" si="6"/>
        <v/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>
      <c r="A81" s="76">
        <v>80</v>
      </c>
      <c r="B81" s="77"/>
      <c r="C81" s="580"/>
      <c r="D81" s="26"/>
      <c r="E81" s="581"/>
      <c r="F81" s="581"/>
      <c r="G81" s="422"/>
      <c r="H81" s="583"/>
      <c r="I81" s="583"/>
      <c r="J81" s="583"/>
      <c r="K81" s="26"/>
      <c r="L81" s="26"/>
      <c r="M81" s="584">
        <f t="shared" si="4"/>
        <v>0</v>
      </c>
      <c r="N81" s="585"/>
      <c r="O81" s="586" t="str">
        <f t="shared" si="5"/>
        <v/>
      </c>
      <c r="P81" s="587" t="str">
        <f t="shared" si="6"/>
        <v/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>
      <c r="A82" s="76">
        <v>81</v>
      </c>
      <c r="B82" s="77"/>
      <c r="C82" s="580"/>
      <c r="D82" s="26"/>
      <c r="E82" s="581"/>
      <c r="F82" s="581"/>
      <c r="G82" s="422"/>
      <c r="H82" s="583"/>
      <c r="I82" s="583"/>
      <c r="J82" s="583"/>
      <c r="K82" s="26"/>
      <c r="L82" s="26"/>
      <c r="M82" s="584">
        <f t="shared" si="4"/>
        <v>0</v>
      </c>
      <c r="N82" s="585"/>
      <c r="O82" s="586" t="str">
        <f t="shared" si="5"/>
        <v/>
      </c>
      <c r="P82" s="587" t="str">
        <f t="shared" si="6"/>
        <v/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>
      <c r="A83" s="76">
        <v>82</v>
      </c>
      <c r="B83" s="77"/>
      <c r="C83" s="580"/>
      <c r="D83" s="26"/>
      <c r="E83" s="581"/>
      <c r="F83" s="581"/>
      <c r="G83" s="422"/>
      <c r="H83" s="583"/>
      <c r="I83" s="583"/>
      <c r="J83" s="583"/>
      <c r="K83" s="26"/>
      <c r="L83" s="26"/>
      <c r="M83" s="584">
        <f t="shared" si="4"/>
        <v>0</v>
      </c>
      <c r="N83" s="585"/>
      <c r="O83" s="586" t="str">
        <f t="shared" si="5"/>
        <v/>
      </c>
      <c r="P83" s="587" t="str">
        <f t="shared" si="6"/>
        <v/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>
      <c r="A84" s="76">
        <v>83</v>
      </c>
      <c r="B84" s="77"/>
      <c r="C84" s="580"/>
      <c r="D84" s="26"/>
      <c r="E84" s="581"/>
      <c r="F84" s="581"/>
      <c r="G84" s="422"/>
      <c r="H84" s="583"/>
      <c r="I84" s="583"/>
      <c r="J84" s="583"/>
      <c r="K84" s="26"/>
      <c r="L84" s="26"/>
      <c r="M84" s="584">
        <f t="shared" si="4"/>
        <v>0</v>
      </c>
      <c r="N84" s="585"/>
      <c r="O84" s="586" t="str">
        <f t="shared" si="5"/>
        <v/>
      </c>
      <c r="P84" s="587" t="str">
        <f t="shared" si="6"/>
        <v/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>
      <c r="A85" s="76">
        <v>84</v>
      </c>
      <c r="B85" s="77"/>
      <c r="C85" s="580"/>
      <c r="D85" s="26"/>
      <c r="E85" s="581"/>
      <c r="F85" s="581"/>
      <c r="G85" s="422"/>
      <c r="H85" s="583"/>
      <c r="I85" s="583"/>
      <c r="J85" s="583"/>
      <c r="K85" s="26"/>
      <c r="L85" s="26"/>
      <c r="M85" s="584">
        <f t="shared" si="4"/>
        <v>0</v>
      </c>
      <c r="N85" s="585"/>
      <c r="O85" s="586" t="str">
        <f t="shared" si="5"/>
        <v/>
      </c>
      <c r="P85" s="587" t="str">
        <f t="shared" si="6"/>
        <v/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>
      <c r="A86" s="76">
        <v>85</v>
      </c>
      <c r="B86" s="77"/>
      <c r="C86" s="580"/>
      <c r="D86" s="26"/>
      <c r="E86" s="581"/>
      <c r="F86" s="581"/>
      <c r="G86" s="422"/>
      <c r="H86" s="583"/>
      <c r="I86" s="583"/>
      <c r="J86" s="583"/>
      <c r="K86" s="26"/>
      <c r="L86" s="26"/>
      <c r="M86" s="584">
        <f t="shared" si="4"/>
        <v>0</v>
      </c>
      <c r="N86" s="585"/>
      <c r="O86" s="586" t="str">
        <f t="shared" si="5"/>
        <v/>
      </c>
      <c r="P86" s="587" t="str">
        <f t="shared" si="6"/>
        <v/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>
      <c r="A87" s="76">
        <v>86</v>
      </c>
      <c r="B87" s="77"/>
      <c r="C87" s="580"/>
      <c r="D87" s="26"/>
      <c r="E87" s="581"/>
      <c r="F87" s="581"/>
      <c r="G87" s="422"/>
      <c r="H87" s="583"/>
      <c r="I87" s="583"/>
      <c r="J87" s="583"/>
      <c r="K87" s="26"/>
      <c r="L87" s="26"/>
      <c r="M87" s="584">
        <f t="shared" si="4"/>
        <v>0</v>
      </c>
      <c r="N87" s="585"/>
      <c r="O87" s="586" t="str">
        <f t="shared" si="5"/>
        <v/>
      </c>
      <c r="P87" s="587" t="str">
        <f t="shared" si="6"/>
        <v/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>
      <c r="A88" s="76">
        <v>87</v>
      </c>
      <c r="B88" s="77"/>
      <c r="C88" s="580"/>
      <c r="D88" s="26"/>
      <c r="E88" s="581"/>
      <c r="F88" s="581"/>
      <c r="G88" s="422"/>
      <c r="H88" s="583"/>
      <c r="I88" s="583"/>
      <c r="J88" s="583"/>
      <c r="K88" s="26"/>
      <c r="L88" s="26"/>
      <c r="M88" s="584">
        <f t="shared" si="4"/>
        <v>0</v>
      </c>
      <c r="N88" s="585"/>
      <c r="O88" s="586" t="str">
        <f t="shared" si="5"/>
        <v/>
      </c>
      <c r="P88" s="587" t="str">
        <f t="shared" si="6"/>
        <v/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>
      <c r="A89" s="76">
        <v>88</v>
      </c>
      <c r="B89" s="77"/>
      <c r="C89" s="580"/>
      <c r="D89" s="26"/>
      <c r="E89" s="581"/>
      <c r="F89" s="581"/>
      <c r="G89" s="422"/>
      <c r="H89" s="583"/>
      <c r="I89" s="583"/>
      <c r="J89" s="583"/>
      <c r="K89" s="26"/>
      <c r="L89" s="26"/>
      <c r="M89" s="584">
        <f t="shared" si="4"/>
        <v>0</v>
      </c>
      <c r="N89" s="585"/>
      <c r="O89" s="586" t="str">
        <f t="shared" si="5"/>
        <v/>
      </c>
      <c r="P89" s="587" t="str">
        <f t="shared" si="6"/>
        <v/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>
      <c r="A90" s="76">
        <v>89</v>
      </c>
      <c r="B90" s="77"/>
      <c r="C90" s="580"/>
      <c r="D90" s="26"/>
      <c r="E90" s="581"/>
      <c r="F90" s="581"/>
      <c r="G90" s="422"/>
      <c r="H90" s="583"/>
      <c r="I90" s="583"/>
      <c r="J90" s="583"/>
      <c r="K90" s="26"/>
      <c r="L90" s="26"/>
      <c r="M90" s="584">
        <f t="shared" si="4"/>
        <v>0</v>
      </c>
      <c r="N90" s="585"/>
      <c r="O90" s="586" t="str">
        <f t="shared" si="5"/>
        <v/>
      </c>
      <c r="P90" s="587" t="str">
        <f t="shared" si="6"/>
        <v/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>
      <c r="A91" s="76">
        <v>90</v>
      </c>
      <c r="B91" s="77"/>
      <c r="C91" s="580"/>
      <c r="D91" s="26"/>
      <c r="E91" s="581"/>
      <c r="F91" s="581"/>
      <c r="G91" s="422"/>
      <c r="H91" s="583"/>
      <c r="I91" s="583"/>
      <c r="J91" s="583"/>
      <c r="K91" s="26"/>
      <c r="L91" s="26"/>
      <c r="M91" s="584">
        <f t="shared" si="4"/>
        <v>0</v>
      </c>
      <c r="N91" s="585"/>
      <c r="O91" s="586" t="str">
        <f t="shared" si="5"/>
        <v/>
      </c>
      <c r="P91" s="587" t="str">
        <f t="shared" si="6"/>
        <v/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>
      <c r="A92" s="76">
        <v>91</v>
      </c>
      <c r="B92" s="77"/>
      <c r="C92" s="580"/>
      <c r="D92" s="26"/>
      <c r="E92" s="581"/>
      <c r="F92" s="581"/>
      <c r="G92" s="422"/>
      <c r="H92" s="583"/>
      <c r="I92" s="583"/>
      <c r="J92" s="583"/>
      <c r="K92" s="26"/>
      <c r="L92" s="26"/>
      <c r="M92" s="584">
        <f t="shared" si="4"/>
        <v>0</v>
      </c>
      <c r="N92" s="585"/>
      <c r="O92" s="586" t="str">
        <f t="shared" si="5"/>
        <v/>
      </c>
      <c r="P92" s="587" t="str">
        <f t="shared" si="6"/>
        <v/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>
      <c r="A93" s="76">
        <v>92</v>
      </c>
      <c r="B93" s="77"/>
      <c r="C93" s="580"/>
      <c r="D93" s="26"/>
      <c r="E93" s="581"/>
      <c r="F93" s="581"/>
      <c r="G93" s="422"/>
      <c r="H93" s="583"/>
      <c r="I93" s="583"/>
      <c r="J93" s="583"/>
      <c r="K93" s="26"/>
      <c r="L93" s="26"/>
      <c r="M93" s="584">
        <f t="shared" si="4"/>
        <v>0</v>
      </c>
      <c r="N93" s="585"/>
      <c r="O93" s="586" t="str">
        <f t="shared" si="5"/>
        <v/>
      </c>
      <c r="P93" s="587" t="str">
        <f t="shared" si="6"/>
        <v/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>
      <c r="A94" s="76">
        <v>93</v>
      </c>
      <c r="B94" s="77"/>
      <c r="C94" s="580"/>
      <c r="D94" s="26"/>
      <c r="E94" s="581"/>
      <c r="F94" s="581"/>
      <c r="G94" s="422"/>
      <c r="H94" s="583"/>
      <c r="I94" s="583"/>
      <c r="J94" s="583"/>
      <c r="K94" s="26"/>
      <c r="L94" s="26"/>
      <c r="M94" s="584">
        <f t="shared" si="4"/>
        <v>0</v>
      </c>
      <c r="N94" s="585"/>
      <c r="O94" s="586" t="str">
        <f t="shared" si="5"/>
        <v/>
      </c>
      <c r="P94" s="587" t="str">
        <f t="shared" si="6"/>
        <v/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>
      <c r="A95" s="76">
        <v>94</v>
      </c>
      <c r="B95" s="77"/>
      <c r="C95" s="580"/>
      <c r="D95" s="26"/>
      <c r="E95" s="581"/>
      <c r="F95" s="581"/>
      <c r="G95" s="422"/>
      <c r="H95" s="583"/>
      <c r="I95" s="583"/>
      <c r="J95" s="583"/>
      <c r="K95" s="26"/>
      <c r="L95" s="26"/>
      <c r="M95" s="584">
        <f t="shared" si="4"/>
        <v>0</v>
      </c>
      <c r="N95" s="585"/>
      <c r="O95" s="586" t="str">
        <f t="shared" si="5"/>
        <v/>
      </c>
      <c r="P95" s="587" t="str">
        <f t="shared" si="6"/>
        <v/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>
      <c r="A96" s="76">
        <v>95</v>
      </c>
      <c r="B96" s="77"/>
      <c r="C96" s="580"/>
      <c r="D96" s="26"/>
      <c r="E96" s="581"/>
      <c r="F96" s="581"/>
      <c r="G96" s="422"/>
      <c r="H96" s="583"/>
      <c r="I96" s="583"/>
      <c r="J96" s="583"/>
      <c r="K96" s="26"/>
      <c r="L96" s="26"/>
      <c r="M96" s="584">
        <f t="shared" si="4"/>
        <v>0</v>
      </c>
      <c r="N96" s="585"/>
      <c r="O96" s="586" t="str">
        <f t="shared" si="5"/>
        <v/>
      </c>
      <c r="P96" s="587" t="str">
        <f t="shared" si="6"/>
        <v/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>
      <c r="A97" s="76">
        <v>96</v>
      </c>
      <c r="B97" s="77"/>
      <c r="C97" s="580"/>
      <c r="D97" s="26"/>
      <c r="E97" s="581"/>
      <c r="F97" s="581"/>
      <c r="G97" s="422"/>
      <c r="H97" s="583"/>
      <c r="I97" s="583"/>
      <c r="J97" s="583"/>
      <c r="K97" s="26"/>
      <c r="L97" s="26"/>
      <c r="M97" s="584">
        <f t="shared" si="4"/>
        <v>0</v>
      </c>
      <c r="N97" s="585"/>
      <c r="O97" s="586" t="str">
        <f t="shared" si="5"/>
        <v/>
      </c>
      <c r="P97" s="587" t="str">
        <f t="shared" si="6"/>
        <v/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>
      <c r="A98" s="76">
        <v>97</v>
      </c>
      <c r="B98" s="77"/>
      <c r="C98" s="580"/>
      <c r="D98" s="26"/>
      <c r="E98" s="581"/>
      <c r="F98" s="581"/>
      <c r="G98" s="422"/>
      <c r="H98" s="583"/>
      <c r="I98" s="583"/>
      <c r="J98" s="583"/>
      <c r="K98" s="26"/>
      <c r="L98" s="26"/>
      <c r="M98" s="584">
        <f t="shared" si="4"/>
        <v>0</v>
      </c>
      <c r="N98" s="585"/>
      <c r="O98" s="586" t="str">
        <f t="shared" si="5"/>
        <v/>
      </c>
      <c r="P98" s="587" t="str">
        <f t="shared" si="6"/>
        <v/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>
      <c r="A99" s="76">
        <v>98</v>
      </c>
      <c r="B99" s="77"/>
      <c r="C99" s="580"/>
      <c r="D99" s="26"/>
      <c r="E99" s="581"/>
      <c r="F99" s="581"/>
      <c r="G99" s="422"/>
      <c r="H99" s="583"/>
      <c r="I99" s="583"/>
      <c r="J99" s="583"/>
      <c r="K99" s="26"/>
      <c r="L99" s="26"/>
      <c r="M99" s="584">
        <f t="shared" si="4"/>
        <v>0</v>
      </c>
      <c r="N99" s="585"/>
      <c r="O99" s="586" t="str">
        <f t="shared" si="5"/>
        <v/>
      </c>
      <c r="P99" s="587" t="str">
        <f t="shared" si="6"/>
        <v/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>
      <c r="A100" s="76">
        <v>99</v>
      </c>
      <c r="B100" s="77"/>
      <c r="C100" s="580"/>
      <c r="D100" s="26"/>
      <c r="E100" s="581"/>
      <c r="F100" s="581"/>
      <c r="G100" s="422"/>
      <c r="H100" s="583"/>
      <c r="I100" s="583"/>
      <c r="J100" s="583"/>
      <c r="K100" s="26"/>
      <c r="L100" s="26"/>
      <c r="M100" s="584">
        <f t="shared" si="4"/>
        <v>0</v>
      </c>
      <c r="N100" s="585"/>
      <c r="O100" s="586" t="str">
        <f t="shared" si="5"/>
        <v/>
      </c>
      <c r="P100" s="587" t="str">
        <f t="shared" si="6"/>
        <v/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>
      <c r="A101" s="76">
        <v>100</v>
      </c>
      <c r="B101" s="77"/>
      <c r="C101" s="580"/>
      <c r="D101" s="26"/>
      <c r="E101" s="581"/>
      <c r="F101" s="581"/>
      <c r="G101" s="422"/>
      <c r="H101" s="583"/>
      <c r="I101" s="583"/>
      <c r="J101" s="583"/>
      <c r="K101" s="26"/>
      <c r="L101" s="26"/>
      <c r="M101" s="584">
        <f t="shared" si="4"/>
        <v>0</v>
      </c>
      <c r="N101" s="585"/>
      <c r="O101" s="586" t="str">
        <f t="shared" si="5"/>
        <v/>
      </c>
      <c r="P101" s="587" t="str">
        <f t="shared" si="6"/>
        <v/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>
      <c r="A102" s="2"/>
      <c r="B102" s="2"/>
      <c r="C102" s="2"/>
      <c r="D102" s="2"/>
      <c r="E102" s="2"/>
      <c r="F102" s="2"/>
      <c r="G102" s="1" t="s">
        <v>52</v>
      </c>
      <c r="H102" s="589">
        <f>SUM(H2:H101)</f>
        <v>0</v>
      </c>
      <c r="I102" s="589"/>
      <c r="J102" s="589">
        <f>SUM(J2:J101)</f>
        <v>0</v>
      </c>
      <c r="K102" s="2"/>
      <c r="L102" s="2"/>
      <c r="M102" s="2"/>
      <c r="N102" s="590"/>
      <c r="O102" s="7">
        <f>SUM(O2:O101)</f>
        <v>0</v>
      </c>
      <c r="P102" s="7"/>
      <c r="Q102" s="7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8" spans="1:30">
      <c r="AD108" s="3"/>
    </row>
    <row r="109" spans="1:30">
      <c r="T109" s="6"/>
    </row>
    <row r="110" spans="1:30">
      <c r="K110" s="3"/>
      <c r="AD110" s="3"/>
    </row>
    <row r="118" spans="22:22">
      <c r="V118">
        <f>0.18</f>
        <v>0.18</v>
      </c>
    </row>
  </sheetData>
  <sheetProtection algorithmName="SHA-512" hashValue="NAJ9jt/E1pNObgMUYsdOdGCAXyJQKSeI7DABynoumDESfSRfVB+CELpknlJv437ySt1iA9tIH0vWaIUvNf1aFA==" saltValue="++UoWFEVwzs2snRpBvnn7Q==" spinCount="100000" sheet="1" objects="1" scenarios="1" formatColumns="0" formatRows="0" insertRows="0" autoFilter="0"/>
  <protectedRanges>
    <protectedRange sqref="G2" name="Range5_1" securityDescriptor=""/>
  </protectedRanges>
  <autoFilter ref="A1:AE1" xr:uid="{00000000-0009-0000-0000-000008000000}">
    <filterColumn colId="13" showButton="0"/>
  </autoFilter>
  <dataConsolidate/>
  <mergeCells count="1">
    <mergeCell ref="N1:O1"/>
  </mergeCells>
  <conditionalFormatting sqref="O2:P2 P3:P101">
    <cfRule type="containsText" dxfId="251" priority="14" operator="containsText" text="Yes,No">
      <formula>NOT(ISERROR(SEARCH("Yes,No",O2)))</formula>
    </cfRule>
  </conditionalFormatting>
  <conditionalFormatting sqref="N2:N69">
    <cfRule type="containsText" dxfId="250" priority="13" operator="containsText" text="Yes,No">
      <formula>NOT(ISERROR(SEARCH("Yes,No",N2)))</formula>
    </cfRule>
  </conditionalFormatting>
  <conditionalFormatting sqref="N102">
    <cfRule type="containsText" dxfId="249" priority="12" operator="containsText" text="No">
      <formula>NOT(ISERROR(SEARCH("No",N102)))</formula>
    </cfRule>
  </conditionalFormatting>
  <conditionalFormatting sqref="N2:N69">
    <cfRule type="cellIs" dxfId="248" priority="10" operator="equal">
      <formula>"No"</formula>
    </cfRule>
    <cfRule type="cellIs" dxfId="247" priority="11" operator="equal">
      <formula>"Yes"</formula>
    </cfRule>
  </conditionalFormatting>
  <conditionalFormatting sqref="O3:P69">
    <cfRule type="containsText" dxfId="246" priority="9" operator="containsText" text="Yes,No">
      <formula>NOT(ISERROR(SEARCH("Yes,No",O3)))</formula>
    </cfRule>
  </conditionalFormatting>
  <conditionalFormatting sqref="N70">
    <cfRule type="containsText" dxfId="245" priority="8" operator="containsText" text="Yes,No">
      <formula>NOT(ISERROR(SEARCH("Yes,No",N70)))</formula>
    </cfRule>
  </conditionalFormatting>
  <conditionalFormatting sqref="N70">
    <cfRule type="cellIs" dxfId="244" priority="6" operator="equal">
      <formula>"No"</formula>
    </cfRule>
    <cfRule type="cellIs" dxfId="243" priority="7" operator="equal">
      <formula>"Yes"</formula>
    </cfRule>
  </conditionalFormatting>
  <conditionalFormatting sqref="O70:P70">
    <cfRule type="containsText" dxfId="242" priority="5" operator="containsText" text="Yes,No">
      <formula>NOT(ISERROR(SEARCH("Yes,No",O70)))</formula>
    </cfRule>
  </conditionalFormatting>
  <conditionalFormatting sqref="N71:N101">
    <cfRule type="containsText" dxfId="241" priority="4" operator="containsText" text="Yes,No">
      <formula>NOT(ISERROR(SEARCH("Yes,No",N71)))</formula>
    </cfRule>
  </conditionalFormatting>
  <conditionalFormatting sqref="N71:N101">
    <cfRule type="cellIs" dxfId="240" priority="2" operator="equal">
      <formula>"No"</formula>
    </cfRule>
    <cfRule type="cellIs" dxfId="239" priority="3" operator="equal">
      <formula>"Yes"</formula>
    </cfRule>
  </conditionalFormatting>
  <conditionalFormatting sqref="O71:P101">
    <cfRule type="containsText" dxfId="238" priority="1" operator="containsText" text="Yes,No">
      <formula>NOT(ISERROR(SEARCH("Yes,No",O71)))</formula>
    </cfRule>
  </conditionalFormatting>
  <dataValidations count="4">
    <dataValidation type="list" allowBlank="1" showInputMessage="1" showErrorMessage="1" sqref="B2:B101" xr:uid="{683BC7AD-F84D-49EA-9D92-70C9828B6DEA}">
      <formula1>"Consumer CIBIL,Internal dedupe, Commercial CIBIL, SOA, Banking, Customer declaration"</formula1>
    </dataValidation>
    <dataValidation type="list" allowBlank="1" showInputMessage="1" showErrorMessage="1" sqref="C2:C101" xr:uid="{382E88C2-FC8A-4050-87F8-A4BD07B6B42A}">
      <formula1>"AL,CV/CE,HL,LAP,Consumer loan, Agri loan,Two wheeler loan,Gold loan,Professional Loan,OD/CC,TL,Flexy Loan,Machinery Loan,Educational loan,Business loan,Personal Loan,Card Swipes loan,Medical Equipment loan,Other loan"</formula1>
    </dataValidation>
    <dataValidation type="list" allowBlank="1" showInputMessage="1" showErrorMessage="1" sqref="N2:N101" xr:uid="{021B4CCB-567C-47A0-B151-ED38F276C181}">
      <formula1>"Yes, No"</formula1>
    </dataValidation>
    <dataValidation type="list" allowBlank="1" showInputMessage="1" showErrorMessage="1" sqref="D8" xr:uid="{356F18EB-B010-47C0-8117-E1B3928A12D8}">
      <formula1>"Home Loan, LAP,OTHERS,Vehicle Loan,PROPERTY LOAN,DEMAND LOAN,CVL,AUTO LOAN, Personal Loan,Business Loan, CC/OD,Term Loan,Machinery Loan,Education Loan,Consumer Loan"</formula1>
    </dataValidation>
  </dataValidations>
  <pageMargins left="0.69930555555555596" right="0.69930555555555596" top="0.75" bottom="0.75" header="0.3" footer="0.3"/>
  <pageSetup scale="3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Policy Parameters</vt:lpstr>
      <vt:lpstr>MSME</vt:lpstr>
      <vt:lpstr>Financial Spread- 1</vt:lpstr>
      <vt:lpstr>Financial Spread -2</vt:lpstr>
      <vt:lpstr>Consolidated Financial Spread</vt:lpstr>
      <vt:lpstr>SENP Eligibility </vt:lpstr>
      <vt:lpstr>SEP Eligibility </vt:lpstr>
      <vt:lpstr>GST </vt:lpstr>
      <vt:lpstr>Loan details</vt:lpstr>
      <vt:lpstr>Loandetails1</vt:lpstr>
      <vt:lpstr>Banking Analysis</vt:lpstr>
      <vt:lpstr>NC-RTR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Gupta OV</dc:creator>
  <cp:lastModifiedBy>NAMASTECREDIT-TECH</cp:lastModifiedBy>
  <dcterms:created xsi:type="dcterms:W3CDTF">2015-06-05T18:17:00Z</dcterms:created>
  <dcterms:modified xsi:type="dcterms:W3CDTF">2021-07-28T05:26:11Z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