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W:\My Documents\Macros\Formats\Financials\FedFina\"/>
    </mc:Choice>
  </mc:AlternateContent>
  <xr:revisionPtr revIDLastSave="0" documentId="13_ncr:1_{19DD540F-9803-41CD-8039-FB87A9BD74F9}" xr6:coauthVersionLast="47" xr6:coauthVersionMax="47" xr10:uidLastSave="{00000000-0000-0000-0000-000000000000}"/>
  <bookViews>
    <workbookView xWindow="-120" yWindow="-120" windowWidth="20730" windowHeight="11160" tabRatio="917" activeTab="10" xr2:uid="{00000000-000D-0000-FFFF-FFFF00000000}"/>
  </bookViews>
  <sheets>
    <sheet name="Policy Parameters" sheetId="1" r:id="rId1"/>
    <sheet name="MSME" sheetId="2" r:id="rId2"/>
    <sheet name="Financial Spread- 1" sheetId="3" r:id="rId3"/>
    <sheet name="Financial Spread -2" sheetId="4" state="hidden" r:id="rId4"/>
    <sheet name="Consolidated Financial Spread" sheetId="5" state="hidden" r:id="rId5"/>
    <sheet name="SENP Eligibility " sheetId="6" r:id="rId6"/>
    <sheet name="SEP Eligibility " sheetId="7" r:id="rId7"/>
    <sheet name="GST " sheetId="8" r:id="rId8"/>
    <sheet name="Loandetailspreexisting" sheetId="9" state="hidden" r:id="rId9"/>
    <sheet name="NC-RTR" sheetId="12" state="hidden" r:id="rId10"/>
    <sheet name="Loan details" sheetId="13" r:id="rId11"/>
    <sheet name="Banking Analysis" sheetId="10" r:id="rId12"/>
    <sheet name="RTR (AV)" sheetId="11" state="hidden" r:id="rId13"/>
  </sheets>
  <externalReferences>
    <externalReference r:id="rId14"/>
  </externalReferences>
  <definedNames>
    <definedName name="_xlnm._FilterDatabase" localSheetId="10" hidden="1">'Loan details'!$A$1:$AE$1</definedName>
    <definedName name="_xlnm._FilterDatabase" localSheetId="8" hidden="1">Loandetailspreexisting!$A$1:$AE$102</definedName>
    <definedName name="Amount">'[1]ROC-Check'!$I$32:$I$33</definedName>
    <definedName name="AuthCap">'[1]ROC-Check'!$E$10</definedName>
    <definedName name="CIN">'[1]ROC-Check'!$E$3</definedName>
    <definedName name="CINStatus">'[1]ROC-Check'!$E$22</definedName>
    <definedName name="_xlnm.Criteria">'[1]ROC-Check'!$H$32:$H$33</definedName>
    <definedName name="GSTIN">'[1]GST-Check'!$E$3</definedName>
    <definedName name="GSTINStatus">'[1]GST-Check'!$E$10</definedName>
    <definedName name="PaidUp">'[1]ROC-Check'!$E$11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8" i="13" l="1"/>
  <c r="J102" i="13"/>
  <c r="H102" i="13"/>
  <c r="P101" i="13"/>
  <c r="M101" i="13"/>
  <c r="O101" i="13" s="1"/>
  <c r="P100" i="13"/>
  <c r="M100" i="13"/>
  <c r="O100" i="13" s="1"/>
  <c r="P99" i="13"/>
  <c r="O99" i="13"/>
  <c r="M99" i="13"/>
  <c r="P98" i="13"/>
  <c r="M98" i="13"/>
  <c r="O98" i="13" s="1"/>
  <c r="P97" i="13"/>
  <c r="M97" i="13"/>
  <c r="O97" i="13" s="1"/>
  <c r="P96" i="13"/>
  <c r="M96" i="13"/>
  <c r="O96" i="13" s="1"/>
  <c r="P95" i="13"/>
  <c r="O95" i="13"/>
  <c r="M95" i="13"/>
  <c r="P94" i="13"/>
  <c r="M94" i="13"/>
  <c r="O94" i="13" s="1"/>
  <c r="P93" i="13"/>
  <c r="M93" i="13"/>
  <c r="O93" i="13" s="1"/>
  <c r="P92" i="13"/>
  <c r="M92" i="13"/>
  <c r="O92" i="13" s="1"/>
  <c r="P91" i="13"/>
  <c r="O91" i="13"/>
  <c r="M91" i="13"/>
  <c r="P90" i="13"/>
  <c r="M90" i="13"/>
  <c r="O90" i="13" s="1"/>
  <c r="P89" i="13"/>
  <c r="M89" i="13"/>
  <c r="O89" i="13" s="1"/>
  <c r="P88" i="13"/>
  <c r="M88" i="13"/>
  <c r="O88" i="13" s="1"/>
  <c r="P87" i="13"/>
  <c r="O87" i="13"/>
  <c r="M87" i="13"/>
  <c r="P86" i="13"/>
  <c r="M86" i="13"/>
  <c r="O86" i="13" s="1"/>
  <c r="P85" i="13"/>
  <c r="M85" i="13"/>
  <c r="O85" i="13" s="1"/>
  <c r="P84" i="13"/>
  <c r="M84" i="13"/>
  <c r="O84" i="13" s="1"/>
  <c r="P83" i="13"/>
  <c r="O83" i="13"/>
  <c r="M83" i="13"/>
  <c r="P82" i="13"/>
  <c r="M82" i="13"/>
  <c r="O82" i="13" s="1"/>
  <c r="P81" i="13"/>
  <c r="M81" i="13"/>
  <c r="O81" i="13" s="1"/>
  <c r="P80" i="13"/>
  <c r="M80" i="13"/>
  <c r="O80" i="13" s="1"/>
  <c r="P79" i="13"/>
  <c r="O79" i="13"/>
  <c r="M79" i="13"/>
  <c r="P78" i="13"/>
  <c r="M78" i="13"/>
  <c r="O78" i="13" s="1"/>
  <c r="P77" i="13"/>
  <c r="M77" i="13"/>
  <c r="O77" i="13" s="1"/>
  <c r="P76" i="13"/>
  <c r="M76" i="13"/>
  <c r="O76" i="13" s="1"/>
  <c r="P75" i="13"/>
  <c r="O75" i="13"/>
  <c r="M75" i="13"/>
  <c r="P74" i="13"/>
  <c r="M74" i="13"/>
  <c r="O74" i="13" s="1"/>
  <c r="P73" i="13"/>
  <c r="M73" i="13"/>
  <c r="O73" i="13" s="1"/>
  <c r="P72" i="13"/>
  <c r="M72" i="13"/>
  <c r="O72" i="13" s="1"/>
  <c r="P71" i="13"/>
  <c r="O71" i="13"/>
  <c r="M71" i="13"/>
  <c r="P70" i="13"/>
  <c r="M70" i="13"/>
  <c r="O70" i="13" s="1"/>
  <c r="P69" i="13"/>
  <c r="M69" i="13"/>
  <c r="O69" i="13" s="1"/>
  <c r="P68" i="13"/>
  <c r="M68" i="13"/>
  <c r="O68" i="13" s="1"/>
  <c r="P67" i="13"/>
  <c r="O67" i="13"/>
  <c r="M67" i="13"/>
  <c r="P66" i="13"/>
  <c r="M66" i="13"/>
  <c r="O66" i="13" s="1"/>
  <c r="P65" i="13"/>
  <c r="M65" i="13"/>
  <c r="O65" i="13" s="1"/>
  <c r="P64" i="13"/>
  <c r="M64" i="13"/>
  <c r="O64" i="13" s="1"/>
  <c r="P63" i="13"/>
  <c r="O63" i="13"/>
  <c r="M63" i="13"/>
  <c r="P62" i="13"/>
  <c r="M62" i="13"/>
  <c r="O62" i="13" s="1"/>
  <c r="P61" i="13"/>
  <c r="M61" i="13"/>
  <c r="O61" i="13" s="1"/>
  <c r="P60" i="13"/>
  <c r="M60" i="13"/>
  <c r="O60" i="13" s="1"/>
  <c r="P59" i="13"/>
  <c r="O59" i="13"/>
  <c r="M59" i="13"/>
  <c r="P58" i="13"/>
  <c r="M58" i="13"/>
  <c r="O58" i="13" s="1"/>
  <c r="P57" i="13"/>
  <c r="M57" i="13"/>
  <c r="O57" i="13" s="1"/>
  <c r="P56" i="13"/>
  <c r="M56" i="13"/>
  <c r="O56" i="13" s="1"/>
  <c r="P55" i="13"/>
  <c r="O55" i="13"/>
  <c r="M55" i="13"/>
  <c r="P54" i="13"/>
  <c r="M54" i="13"/>
  <c r="O54" i="13" s="1"/>
  <c r="P53" i="13"/>
  <c r="M53" i="13"/>
  <c r="O53" i="13" s="1"/>
  <c r="P52" i="13"/>
  <c r="M52" i="13"/>
  <c r="O52" i="13" s="1"/>
  <c r="P51" i="13"/>
  <c r="O51" i="13"/>
  <c r="M51" i="13"/>
  <c r="P50" i="13"/>
  <c r="M50" i="13"/>
  <c r="O50" i="13" s="1"/>
  <c r="P49" i="13"/>
  <c r="M49" i="13"/>
  <c r="O49" i="13" s="1"/>
  <c r="P48" i="13"/>
  <c r="M48" i="13"/>
  <c r="O48" i="13" s="1"/>
  <c r="P47" i="13"/>
  <c r="O47" i="13"/>
  <c r="M47" i="13"/>
  <c r="P46" i="13"/>
  <c r="M46" i="13"/>
  <c r="O46" i="13" s="1"/>
  <c r="P45" i="13"/>
  <c r="M45" i="13"/>
  <c r="O45" i="13" s="1"/>
  <c r="P44" i="13"/>
  <c r="M44" i="13"/>
  <c r="O44" i="13" s="1"/>
  <c r="P43" i="13"/>
  <c r="O43" i="13"/>
  <c r="M43" i="13"/>
  <c r="P42" i="13"/>
  <c r="M42" i="13"/>
  <c r="O42" i="13" s="1"/>
  <c r="P41" i="13"/>
  <c r="M41" i="13"/>
  <c r="O41" i="13" s="1"/>
  <c r="P40" i="13"/>
  <c r="M40" i="13"/>
  <c r="O40" i="13" s="1"/>
  <c r="P39" i="13"/>
  <c r="O39" i="13"/>
  <c r="M39" i="13"/>
  <c r="P38" i="13"/>
  <c r="M38" i="13"/>
  <c r="O38" i="13" s="1"/>
  <c r="P37" i="13"/>
  <c r="M37" i="13"/>
  <c r="O37" i="13" s="1"/>
  <c r="P36" i="13"/>
  <c r="M36" i="13"/>
  <c r="O36" i="13" s="1"/>
  <c r="P35" i="13"/>
  <c r="O35" i="13"/>
  <c r="M35" i="13"/>
  <c r="P34" i="13"/>
  <c r="M34" i="13"/>
  <c r="O34" i="13" s="1"/>
  <c r="P33" i="13"/>
  <c r="M33" i="13"/>
  <c r="O33" i="13" s="1"/>
  <c r="P32" i="13"/>
  <c r="M32" i="13"/>
  <c r="O32" i="13" s="1"/>
  <c r="P31" i="13"/>
  <c r="O31" i="13"/>
  <c r="M31" i="13"/>
  <c r="P30" i="13"/>
  <c r="M30" i="13"/>
  <c r="O30" i="13" s="1"/>
  <c r="P29" i="13"/>
  <c r="M29" i="13"/>
  <c r="O29" i="13" s="1"/>
  <c r="P28" i="13"/>
  <c r="M28" i="13"/>
  <c r="O28" i="13" s="1"/>
  <c r="P27" i="13"/>
  <c r="O27" i="13"/>
  <c r="M27" i="13"/>
  <c r="P26" i="13"/>
  <c r="M26" i="13"/>
  <c r="O26" i="13" s="1"/>
  <c r="P25" i="13"/>
  <c r="M25" i="13"/>
  <c r="O25" i="13" s="1"/>
  <c r="P24" i="13"/>
  <c r="O24" i="13"/>
  <c r="M24" i="13"/>
  <c r="P23" i="13"/>
  <c r="O23" i="13"/>
  <c r="M23" i="13"/>
  <c r="P22" i="13"/>
  <c r="M22" i="13"/>
  <c r="O22" i="13" s="1"/>
  <c r="P21" i="13"/>
  <c r="M21" i="13"/>
  <c r="O21" i="13" s="1"/>
  <c r="P20" i="13"/>
  <c r="O20" i="13"/>
  <c r="M20" i="13"/>
  <c r="P19" i="13"/>
  <c r="O19" i="13"/>
  <c r="M19" i="13"/>
  <c r="P18" i="13"/>
  <c r="M18" i="13"/>
  <c r="O18" i="13" s="1"/>
  <c r="P17" i="13"/>
  <c r="M17" i="13"/>
  <c r="O17" i="13" s="1"/>
  <c r="P16" i="13"/>
  <c r="O16" i="13"/>
  <c r="M16" i="13"/>
  <c r="P15" i="13"/>
  <c r="O15" i="13"/>
  <c r="M15" i="13"/>
  <c r="P14" i="13"/>
  <c r="M14" i="13"/>
  <c r="O14" i="13" s="1"/>
  <c r="P13" i="13"/>
  <c r="M13" i="13"/>
  <c r="O13" i="13" s="1"/>
  <c r="P12" i="13"/>
  <c r="O12" i="13"/>
  <c r="M12" i="13"/>
  <c r="P11" i="13"/>
  <c r="O11" i="13"/>
  <c r="M11" i="13"/>
  <c r="P10" i="13"/>
  <c r="M10" i="13"/>
  <c r="O10" i="13" s="1"/>
  <c r="P9" i="13"/>
  <c r="M9" i="13"/>
  <c r="O9" i="13" s="1"/>
  <c r="P8" i="13"/>
  <c r="O8" i="13"/>
  <c r="M8" i="13"/>
  <c r="P7" i="13"/>
  <c r="O7" i="13"/>
  <c r="M7" i="13"/>
  <c r="P6" i="13"/>
  <c r="M6" i="13"/>
  <c r="O6" i="13" s="1"/>
  <c r="P5" i="13"/>
  <c r="M5" i="13"/>
  <c r="O5" i="13" s="1"/>
  <c r="P4" i="13"/>
  <c r="O4" i="13"/>
  <c r="M4" i="13"/>
  <c r="P3" i="13"/>
  <c r="O3" i="13"/>
  <c r="M3" i="13"/>
  <c r="P2" i="13"/>
  <c r="M2" i="13"/>
  <c r="O2" i="13" s="1"/>
  <c r="S1" i="13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N30" i="12"/>
  <c r="L30" i="12"/>
  <c r="I30" i="12"/>
  <c r="G30" i="12"/>
  <c r="F30" i="12"/>
  <c r="E30" i="12"/>
  <c r="D30" i="12"/>
  <c r="R29" i="12"/>
  <c r="Q29" i="12"/>
  <c r="O29" i="12"/>
  <c r="K29" i="12"/>
  <c r="M29" i="12" s="1"/>
  <c r="R28" i="12"/>
  <c r="Q28" i="12"/>
  <c r="O28" i="12"/>
  <c r="O30" i="12" s="1"/>
  <c r="K28" i="12"/>
  <c r="M28" i="12" s="1"/>
  <c r="R27" i="12"/>
  <c r="Q27" i="12"/>
  <c r="O27" i="12"/>
  <c r="K27" i="12"/>
  <c r="M27" i="12" s="1"/>
  <c r="R26" i="12"/>
  <c r="R30" i="12" s="1"/>
  <c r="Q26" i="12"/>
  <c r="Q30" i="12" s="1"/>
  <c r="O26" i="12"/>
  <c r="K26" i="12"/>
  <c r="M26" i="12" s="1"/>
  <c r="V24" i="12"/>
  <c r="Y24" i="12" s="1"/>
  <c r="AB24" i="12" s="1"/>
  <c r="AE24" i="12" s="1"/>
  <c r="AH24" i="12" s="1"/>
  <c r="AK24" i="12" s="1"/>
  <c r="AN24" i="12" s="1"/>
  <c r="AQ24" i="12" s="1"/>
  <c r="AT24" i="12" s="1"/>
  <c r="AW24" i="12" s="1"/>
  <c r="AZ24" i="12" s="1"/>
  <c r="W13" i="12"/>
  <c r="S13" i="12"/>
  <c r="O13" i="12"/>
  <c r="K13" i="12"/>
  <c r="H13" i="12"/>
  <c r="G13" i="12"/>
  <c r="F13" i="12"/>
  <c r="E13" i="12"/>
  <c r="G1" i="1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P250" i="10"/>
  <c r="H250" i="10"/>
  <c r="G250" i="10"/>
  <c r="F250" i="10"/>
  <c r="C250" i="10"/>
  <c r="B250" i="10"/>
  <c r="Q249" i="10"/>
  <c r="O249" i="10"/>
  <c r="N249" i="10"/>
  <c r="M249" i="10"/>
  <c r="L249" i="10"/>
  <c r="K249" i="10"/>
  <c r="J249" i="10"/>
  <c r="H249" i="10"/>
  <c r="G249" i="10"/>
  <c r="F249" i="10"/>
  <c r="C249" i="10"/>
  <c r="B249" i="10"/>
  <c r="Q248" i="10"/>
  <c r="P248" i="10"/>
  <c r="Q247" i="10"/>
  <c r="P247" i="10"/>
  <c r="Q246" i="10"/>
  <c r="P246" i="10"/>
  <c r="Q245" i="10"/>
  <c r="P245" i="10"/>
  <c r="Q244" i="10"/>
  <c r="P244" i="10"/>
  <c r="S243" i="10"/>
  <c r="Q243" i="10"/>
  <c r="P243" i="10"/>
  <c r="Q242" i="10"/>
  <c r="P242" i="10"/>
  <c r="Q241" i="10"/>
  <c r="P241" i="10"/>
  <c r="Q240" i="10"/>
  <c r="P240" i="10"/>
  <c r="A240" i="10"/>
  <c r="A241" i="10" s="1"/>
  <c r="A242" i="10" s="1"/>
  <c r="A243" i="10" s="1"/>
  <c r="A244" i="10" s="1"/>
  <c r="A245" i="10" s="1"/>
  <c r="A246" i="10" s="1"/>
  <c r="A247" i="10" s="1"/>
  <c r="A248" i="10" s="1"/>
  <c r="Q239" i="10"/>
  <c r="P239" i="10"/>
  <c r="Q238" i="10"/>
  <c r="P238" i="10"/>
  <c r="S237" i="10"/>
  <c r="Q237" i="10"/>
  <c r="P237" i="10"/>
  <c r="A237" i="10"/>
  <c r="A238" i="10" s="1"/>
  <c r="A239" i="10" s="1"/>
  <c r="Q235" i="10"/>
  <c r="H233" i="10"/>
  <c r="P227" i="10"/>
  <c r="H227" i="10"/>
  <c r="G227" i="10"/>
  <c r="F227" i="10"/>
  <c r="C227" i="10"/>
  <c r="B227" i="10"/>
  <c r="Q226" i="10"/>
  <c r="O226" i="10"/>
  <c r="N226" i="10"/>
  <c r="M226" i="10"/>
  <c r="L226" i="10"/>
  <c r="K226" i="10"/>
  <c r="J226" i="10"/>
  <c r="H226" i="10"/>
  <c r="G226" i="10"/>
  <c r="F226" i="10"/>
  <c r="C226" i="10"/>
  <c r="B226" i="10"/>
  <c r="Q225" i="10"/>
  <c r="P225" i="10"/>
  <c r="Q224" i="10"/>
  <c r="P224" i="10"/>
  <c r="Q223" i="10"/>
  <c r="P223" i="10"/>
  <c r="Q222" i="10"/>
  <c r="P222" i="10"/>
  <c r="Q221" i="10"/>
  <c r="P221" i="10"/>
  <c r="S220" i="10"/>
  <c r="Q220" i="10"/>
  <c r="P220" i="10"/>
  <c r="Q219" i="10"/>
  <c r="P219" i="10"/>
  <c r="Q218" i="10"/>
  <c r="P218" i="10"/>
  <c r="Q217" i="10"/>
  <c r="P217" i="10"/>
  <c r="Q216" i="10"/>
  <c r="P216" i="10"/>
  <c r="Q215" i="10"/>
  <c r="P215" i="10"/>
  <c r="S214" i="10"/>
  <c r="Q214" i="10"/>
  <c r="P214" i="10"/>
  <c r="P226" i="10" s="1"/>
  <c r="A214" i="10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Q212" i="10"/>
  <c r="H210" i="10"/>
  <c r="P204" i="10"/>
  <c r="H204" i="10"/>
  <c r="G204" i="10"/>
  <c r="F204" i="10"/>
  <c r="C204" i="10"/>
  <c r="B204" i="10"/>
  <c r="Q203" i="10"/>
  <c r="O203" i="10"/>
  <c r="N203" i="10"/>
  <c r="M203" i="10"/>
  <c r="L203" i="10"/>
  <c r="K203" i="10"/>
  <c r="J203" i="10"/>
  <c r="H203" i="10"/>
  <c r="G203" i="10"/>
  <c r="F203" i="10"/>
  <c r="C203" i="10"/>
  <c r="B203" i="10"/>
  <c r="Q202" i="10"/>
  <c r="P202" i="10"/>
  <c r="Q201" i="10"/>
  <c r="P201" i="10"/>
  <c r="Q200" i="10"/>
  <c r="P200" i="10"/>
  <c r="Q199" i="10"/>
  <c r="P199" i="10"/>
  <c r="Q198" i="10"/>
  <c r="P198" i="10"/>
  <c r="S197" i="10"/>
  <c r="Q197" i="10"/>
  <c r="P197" i="10"/>
  <c r="Q196" i="10"/>
  <c r="P196" i="10"/>
  <c r="A196" i="10"/>
  <c r="A197" i="10" s="1"/>
  <c r="A198" i="10" s="1"/>
  <c r="A199" i="10" s="1"/>
  <c r="A200" i="10" s="1"/>
  <c r="A201" i="10" s="1"/>
  <c r="A202" i="10" s="1"/>
  <c r="Q195" i="10"/>
  <c r="P195" i="10"/>
  <c r="Q194" i="10"/>
  <c r="P194" i="10"/>
  <c r="Q193" i="10"/>
  <c r="P193" i="10"/>
  <c r="Q192" i="10"/>
  <c r="P192" i="10"/>
  <c r="A192" i="10"/>
  <c r="A193" i="10" s="1"/>
  <c r="A194" i="10" s="1"/>
  <c r="A195" i="10" s="1"/>
  <c r="S191" i="10"/>
  <c r="Q191" i="10"/>
  <c r="P191" i="10"/>
  <c r="A191" i="10"/>
  <c r="Q189" i="10"/>
  <c r="H187" i="10"/>
  <c r="P181" i="10"/>
  <c r="H181" i="10"/>
  <c r="G181" i="10"/>
  <c r="F181" i="10"/>
  <c r="C181" i="10"/>
  <c r="B181" i="10"/>
  <c r="Q180" i="10"/>
  <c r="O180" i="10"/>
  <c r="N180" i="10"/>
  <c r="M180" i="10"/>
  <c r="L180" i="10"/>
  <c r="K180" i="10"/>
  <c r="J180" i="10"/>
  <c r="H180" i="10"/>
  <c r="G180" i="10"/>
  <c r="F180" i="10"/>
  <c r="C180" i="10"/>
  <c r="B180" i="10"/>
  <c r="Q179" i="10"/>
  <c r="P179" i="10"/>
  <c r="Q178" i="10"/>
  <c r="P178" i="10"/>
  <c r="Q177" i="10"/>
  <c r="P177" i="10"/>
  <c r="Q176" i="10"/>
  <c r="P176" i="10"/>
  <c r="Q175" i="10"/>
  <c r="P175" i="10"/>
  <c r="S174" i="10"/>
  <c r="Q174" i="10"/>
  <c r="P174" i="10"/>
  <c r="Q173" i="10"/>
  <c r="P173" i="10"/>
  <c r="Q172" i="10"/>
  <c r="P172" i="10"/>
  <c r="A172" i="10"/>
  <c r="A173" i="10" s="1"/>
  <c r="A174" i="10" s="1"/>
  <c r="A175" i="10" s="1"/>
  <c r="A176" i="10" s="1"/>
  <c r="A177" i="10" s="1"/>
  <c r="A178" i="10" s="1"/>
  <c r="A179" i="10" s="1"/>
  <c r="Q171" i="10"/>
  <c r="P171" i="10"/>
  <c r="Q170" i="10"/>
  <c r="P170" i="10"/>
  <c r="Q169" i="10"/>
  <c r="P169" i="10"/>
  <c r="A169" i="10"/>
  <c r="A170" i="10" s="1"/>
  <c r="A171" i="10" s="1"/>
  <c r="S168" i="10"/>
  <c r="Q168" i="10"/>
  <c r="P168" i="10"/>
  <c r="P180" i="10" s="1"/>
  <c r="A168" i="10"/>
  <c r="Q166" i="10"/>
  <c r="H164" i="10"/>
  <c r="P158" i="10"/>
  <c r="H158" i="10"/>
  <c r="G158" i="10"/>
  <c r="F158" i="10"/>
  <c r="C158" i="10"/>
  <c r="B158" i="10"/>
  <c r="Q157" i="10"/>
  <c r="O157" i="10"/>
  <c r="N157" i="10"/>
  <c r="M157" i="10"/>
  <c r="L157" i="10"/>
  <c r="K157" i="10"/>
  <c r="J157" i="10"/>
  <c r="H157" i="10"/>
  <c r="G157" i="10"/>
  <c r="F157" i="10"/>
  <c r="C157" i="10"/>
  <c r="B157" i="10"/>
  <c r="Q156" i="10"/>
  <c r="P156" i="10"/>
  <c r="Q155" i="10"/>
  <c r="P155" i="10"/>
  <c r="Q154" i="10"/>
  <c r="P154" i="10"/>
  <c r="Q153" i="10"/>
  <c r="P153" i="10"/>
  <c r="Q152" i="10"/>
  <c r="P152" i="10"/>
  <c r="S151" i="10"/>
  <c r="Q151" i="10"/>
  <c r="P151" i="10"/>
  <c r="Q150" i="10"/>
  <c r="P150" i="10"/>
  <c r="Q149" i="10"/>
  <c r="P149" i="10"/>
  <c r="Q148" i="10"/>
  <c r="P148" i="10"/>
  <c r="A148" i="10"/>
  <c r="A149" i="10" s="1"/>
  <c r="A150" i="10" s="1"/>
  <c r="A151" i="10" s="1"/>
  <c r="A152" i="10" s="1"/>
  <c r="A153" i="10" s="1"/>
  <c r="A154" i="10" s="1"/>
  <c r="A155" i="10" s="1"/>
  <c r="A156" i="10" s="1"/>
  <c r="Q147" i="10"/>
  <c r="P147" i="10"/>
  <c r="Q146" i="10"/>
  <c r="P146" i="10"/>
  <c r="S145" i="10"/>
  <c r="Q145" i="10"/>
  <c r="P145" i="10"/>
  <c r="A145" i="10"/>
  <c r="A146" i="10" s="1"/>
  <c r="A147" i="10" s="1"/>
  <c r="Q143" i="10"/>
  <c r="H141" i="10"/>
  <c r="P135" i="10"/>
  <c r="H135" i="10"/>
  <c r="G135" i="10"/>
  <c r="F135" i="10"/>
  <c r="C135" i="10"/>
  <c r="B135" i="10"/>
  <c r="Q134" i="10"/>
  <c r="O134" i="10"/>
  <c r="N134" i="10"/>
  <c r="M134" i="10"/>
  <c r="L134" i="10"/>
  <c r="K134" i="10"/>
  <c r="J134" i="10"/>
  <c r="H134" i="10"/>
  <c r="G134" i="10"/>
  <c r="F134" i="10"/>
  <c r="C134" i="10"/>
  <c r="B134" i="10"/>
  <c r="Q133" i="10"/>
  <c r="P133" i="10"/>
  <c r="Q132" i="10"/>
  <c r="P132" i="10"/>
  <c r="Q131" i="10"/>
  <c r="P131" i="10"/>
  <c r="Q130" i="10"/>
  <c r="P130" i="10"/>
  <c r="Q129" i="10"/>
  <c r="P129" i="10"/>
  <c r="S128" i="10"/>
  <c r="Q128" i="10"/>
  <c r="P128" i="10"/>
  <c r="Q127" i="10"/>
  <c r="P127" i="10"/>
  <c r="Q126" i="10"/>
  <c r="P126" i="10"/>
  <c r="Q125" i="10"/>
  <c r="P125" i="10"/>
  <c r="Q124" i="10"/>
  <c r="P124" i="10"/>
  <c r="Q123" i="10"/>
  <c r="P123" i="10"/>
  <c r="S122" i="10"/>
  <c r="Q122" i="10"/>
  <c r="P122" i="10"/>
  <c r="P134" i="10" s="1"/>
  <c r="A122" i="10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Q120" i="10"/>
  <c r="H118" i="10"/>
  <c r="P112" i="10"/>
  <c r="H112" i="10"/>
  <c r="G112" i="10"/>
  <c r="F112" i="10"/>
  <c r="C112" i="10"/>
  <c r="B112" i="10"/>
  <c r="Q111" i="10"/>
  <c r="O111" i="10"/>
  <c r="N111" i="10"/>
  <c r="M111" i="10"/>
  <c r="L111" i="10"/>
  <c r="K111" i="10"/>
  <c r="J111" i="10"/>
  <c r="H111" i="10"/>
  <c r="G111" i="10"/>
  <c r="F111" i="10"/>
  <c r="C111" i="10"/>
  <c r="B111" i="10"/>
  <c r="Q110" i="10"/>
  <c r="P110" i="10"/>
  <c r="Q109" i="10"/>
  <c r="P109" i="10"/>
  <c r="Q108" i="10"/>
  <c r="P108" i="10"/>
  <c r="Q107" i="10"/>
  <c r="P107" i="10"/>
  <c r="Q106" i="10"/>
  <c r="P106" i="10"/>
  <c r="S105" i="10"/>
  <c r="Q105" i="10"/>
  <c r="P105" i="10"/>
  <c r="Q104" i="10"/>
  <c r="P104" i="10"/>
  <c r="Q103" i="10"/>
  <c r="P103" i="10"/>
  <c r="Q102" i="10"/>
  <c r="P102" i="10"/>
  <c r="Q101" i="10"/>
  <c r="P101" i="10"/>
  <c r="Q100" i="10"/>
  <c r="P100" i="10"/>
  <c r="A100" i="10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S99" i="10"/>
  <c r="Q99" i="10"/>
  <c r="P99" i="10"/>
  <c r="A99" i="10"/>
  <c r="Q97" i="10"/>
  <c r="H95" i="10"/>
  <c r="P89" i="10"/>
  <c r="H89" i="10"/>
  <c r="G89" i="10"/>
  <c r="F89" i="10"/>
  <c r="C89" i="10"/>
  <c r="B89" i="10"/>
  <c r="Q88" i="10"/>
  <c r="O88" i="10"/>
  <c r="N88" i="10"/>
  <c r="M88" i="10"/>
  <c r="L88" i="10"/>
  <c r="K88" i="10"/>
  <c r="J88" i="10"/>
  <c r="H88" i="10"/>
  <c r="G88" i="10"/>
  <c r="F88" i="10"/>
  <c r="C88" i="10"/>
  <c r="B88" i="10"/>
  <c r="Q87" i="10"/>
  <c r="P87" i="10"/>
  <c r="Q86" i="10"/>
  <c r="P86" i="10"/>
  <c r="Q85" i="10"/>
  <c r="P85" i="10"/>
  <c r="Q84" i="10"/>
  <c r="P84" i="10"/>
  <c r="Q83" i="10"/>
  <c r="P83" i="10"/>
  <c r="A83" i="10"/>
  <c r="A84" i="10" s="1"/>
  <c r="A85" i="10" s="1"/>
  <c r="A86" i="10" s="1"/>
  <c r="A87" i="10" s="1"/>
  <c r="S82" i="10"/>
  <c r="Q82" i="10"/>
  <c r="P82" i="10"/>
  <c r="Q81" i="10"/>
  <c r="P81" i="10"/>
  <c r="Q80" i="10"/>
  <c r="P80" i="10"/>
  <c r="A80" i="10"/>
  <c r="A81" i="10" s="1"/>
  <c r="A82" i="10" s="1"/>
  <c r="Q79" i="10"/>
  <c r="P79" i="10"/>
  <c r="Q78" i="10"/>
  <c r="P78" i="10"/>
  <c r="Q77" i="10"/>
  <c r="P77" i="10"/>
  <c r="A77" i="10"/>
  <c r="A78" i="10" s="1"/>
  <c r="A79" i="10" s="1"/>
  <c r="S76" i="10"/>
  <c r="R76" i="10"/>
  <c r="Q76" i="10"/>
  <c r="P76" i="10"/>
  <c r="A76" i="10"/>
  <c r="Q74" i="10"/>
  <c r="H73" i="10"/>
  <c r="H72" i="10"/>
  <c r="P66" i="10"/>
  <c r="H66" i="10"/>
  <c r="G66" i="10"/>
  <c r="F66" i="10"/>
  <c r="C66" i="10"/>
  <c r="B66" i="10"/>
  <c r="O65" i="10"/>
  <c r="N65" i="10"/>
  <c r="M65" i="10"/>
  <c r="L65" i="10"/>
  <c r="K65" i="10"/>
  <c r="J65" i="10"/>
  <c r="H65" i="10"/>
  <c r="G65" i="10"/>
  <c r="F65" i="10"/>
  <c r="C65" i="10"/>
  <c r="B65" i="10"/>
  <c r="P64" i="10"/>
  <c r="P63" i="10"/>
  <c r="P62" i="10"/>
  <c r="P61" i="10"/>
  <c r="P60" i="10"/>
  <c r="S59" i="10"/>
  <c r="P59" i="10"/>
  <c r="P58" i="10"/>
  <c r="P57" i="10"/>
  <c r="P56" i="10"/>
  <c r="P55" i="10"/>
  <c r="A55" i="10"/>
  <c r="A56" i="10" s="1"/>
  <c r="A57" i="10" s="1"/>
  <c r="A58" i="10" s="1"/>
  <c r="A59" i="10" s="1"/>
  <c r="A60" i="10" s="1"/>
  <c r="A61" i="10" s="1"/>
  <c r="A62" i="10" s="1"/>
  <c r="A63" i="10" s="1"/>
  <c r="A64" i="10" s="1"/>
  <c r="P54" i="10"/>
  <c r="A54" i="10"/>
  <c r="S53" i="10"/>
  <c r="R53" i="10"/>
  <c r="P53" i="10"/>
  <c r="A53" i="10"/>
  <c r="H50" i="10"/>
  <c r="H49" i="10"/>
  <c r="P43" i="10"/>
  <c r="H43" i="10"/>
  <c r="G43" i="10"/>
  <c r="F43" i="10"/>
  <c r="C43" i="10"/>
  <c r="B43" i="10"/>
  <c r="O42" i="10"/>
  <c r="N42" i="10"/>
  <c r="M42" i="10"/>
  <c r="L42" i="10"/>
  <c r="K42" i="10"/>
  <c r="J42" i="10"/>
  <c r="H42" i="10"/>
  <c r="G42" i="10"/>
  <c r="F42" i="10"/>
  <c r="C42" i="10"/>
  <c r="B42" i="10"/>
  <c r="P41" i="10"/>
  <c r="P40" i="10"/>
  <c r="P39" i="10"/>
  <c r="P38" i="10"/>
  <c r="P37" i="10"/>
  <c r="S36" i="10"/>
  <c r="P36" i="10"/>
  <c r="P35" i="10"/>
  <c r="P34" i="10"/>
  <c r="P33" i="10"/>
  <c r="P32" i="10"/>
  <c r="P31" i="10"/>
  <c r="A31" i="10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S30" i="10"/>
  <c r="R30" i="10"/>
  <c r="P30" i="10"/>
  <c r="P42" i="10" s="1"/>
  <c r="H27" i="10"/>
  <c r="H26" i="10"/>
  <c r="O15" i="10"/>
  <c r="N15" i="10"/>
  <c r="M15" i="10"/>
  <c r="L15" i="10"/>
  <c r="K15" i="10"/>
  <c r="J15" i="10"/>
  <c r="P15" i="10" s="1"/>
  <c r="H15" i="10"/>
  <c r="G15" i="10"/>
  <c r="F15" i="10"/>
  <c r="C15" i="10"/>
  <c r="B15" i="10"/>
  <c r="O14" i="10"/>
  <c r="N14" i="10"/>
  <c r="M14" i="10"/>
  <c r="L14" i="10"/>
  <c r="P14" i="10" s="1"/>
  <c r="K14" i="10"/>
  <c r="J14" i="10"/>
  <c r="H14" i="10"/>
  <c r="G14" i="10"/>
  <c r="F14" i="10"/>
  <c r="C14" i="10"/>
  <c r="B14" i="10"/>
  <c r="O13" i="10"/>
  <c r="N13" i="10"/>
  <c r="M13" i="10"/>
  <c r="L13" i="10"/>
  <c r="P13" i="10" s="1"/>
  <c r="K13" i="10"/>
  <c r="J13" i="10"/>
  <c r="H13" i="10"/>
  <c r="G13" i="10"/>
  <c r="F13" i="10"/>
  <c r="C13" i="10"/>
  <c r="B13" i="10"/>
  <c r="O12" i="10"/>
  <c r="N12" i="10"/>
  <c r="M12" i="10"/>
  <c r="L12" i="10"/>
  <c r="K12" i="10"/>
  <c r="J12" i="10"/>
  <c r="P12" i="10" s="1"/>
  <c r="H12" i="10"/>
  <c r="G12" i="10"/>
  <c r="F12" i="10"/>
  <c r="C12" i="10"/>
  <c r="B12" i="10"/>
  <c r="O11" i="10"/>
  <c r="N11" i="10"/>
  <c r="M11" i="10"/>
  <c r="L11" i="10"/>
  <c r="K11" i="10"/>
  <c r="J11" i="10"/>
  <c r="P11" i="10" s="1"/>
  <c r="H11" i="10"/>
  <c r="G11" i="10"/>
  <c r="F11" i="10"/>
  <c r="C11" i="10"/>
  <c r="B11" i="10"/>
  <c r="S10" i="10"/>
  <c r="O10" i="10"/>
  <c r="N10" i="10"/>
  <c r="M10" i="10"/>
  <c r="L10" i="10"/>
  <c r="K10" i="10"/>
  <c r="J10" i="10"/>
  <c r="P10" i="10" s="1"/>
  <c r="H10" i="10"/>
  <c r="G10" i="10"/>
  <c r="F10" i="10"/>
  <c r="C10" i="10"/>
  <c r="B10" i="10"/>
  <c r="O9" i="10"/>
  <c r="N9" i="10"/>
  <c r="M9" i="10"/>
  <c r="L9" i="10"/>
  <c r="P9" i="10" s="1"/>
  <c r="K9" i="10"/>
  <c r="J9" i="10"/>
  <c r="H9" i="10"/>
  <c r="G9" i="10"/>
  <c r="F9" i="10"/>
  <c r="C9" i="10"/>
  <c r="B9" i="10"/>
  <c r="O8" i="10"/>
  <c r="N8" i="10"/>
  <c r="M8" i="10"/>
  <c r="L8" i="10"/>
  <c r="L16" i="10" s="1"/>
  <c r="K8" i="10"/>
  <c r="J8" i="10"/>
  <c r="H8" i="10"/>
  <c r="G8" i="10"/>
  <c r="G16" i="10" s="1"/>
  <c r="F8" i="10"/>
  <c r="C8" i="10"/>
  <c r="C16" i="10" s="1"/>
  <c r="B8" i="10"/>
  <c r="O7" i="10"/>
  <c r="N7" i="10"/>
  <c r="M7" i="10"/>
  <c r="L7" i="10"/>
  <c r="K7" i="10"/>
  <c r="J7" i="10"/>
  <c r="P7" i="10" s="1"/>
  <c r="H7" i="10"/>
  <c r="G7" i="10"/>
  <c r="F7" i="10"/>
  <c r="C7" i="10"/>
  <c r="B7" i="10"/>
  <c r="O6" i="10"/>
  <c r="N6" i="10"/>
  <c r="M6" i="10"/>
  <c r="L6" i="10"/>
  <c r="K6" i="10"/>
  <c r="J6" i="10"/>
  <c r="P6" i="10" s="1"/>
  <c r="H6" i="10"/>
  <c r="G6" i="10"/>
  <c r="F6" i="10"/>
  <c r="C6" i="10"/>
  <c r="B6" i="10"/>
  <c r="O5" i="10"/>
  <c r="N5" i="10"/>
  <c r="M5" i="10"/>
  <c r="L5" i="10"/>
  <c r="P5" i="10" s="1"/>
  <c r="K5" i="10"/>
  <c r="J5" i="10"/>
  <c r="H5" i="10"/>
  <c r="G5" i="10"/>
  <c r="F5" i="10"/>
  <c r="C5" i="10"/>
  <c r="B5" i="10"/>
  <c r="S4" i="10"/>
  <c r="O4" i="10"/>
  <c r="O16" i="10" s="1"/>
  <c r="N4" i="10"/>
  <c r="N16" i="10" s="1"/>
  <c r="M4" i="10"/>
  <c r="M16" i="10" s="1"/>
  <c r="L4" i="10"/>
  <c r="P4" i="10" s="1"/>
  <c r="K4" i="10"/>
  <c r="K16" i="10" s="1"/>
  <c r="J4" i="10"/>
  <c r="K20" i="10" s="1"/>
  <c r="H4" i="10"/>
  <c r="H17" i="10" s="1"/>
  <c r="G4" i="10"/>
  <c r="G17" i="10" s="1"/>
  <c r="F4" i="10"/>
  <c r="F16" i="10" s="1"/>
  <c r="C4" i="10"/>
  <c r="C18" i="10" s="1"/>
  <c r="B4" i="10"/>
  <c r="B16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V118" i="9"/>
  <c r="J102" i="9"/>
  <c r="H102" i="9"/>
  <c r="P101" i="9"/>
  <c r="O101" i="9"/>
  <c r="M101" i="9"/>
  <c r="P100" i="9"/>
  <c r="O100" i="9"/>
  <c r="M100" i="9"/>
  <c r="P99" i="9"/>
  <c r="O99" i="9"/>
  <c r="M99" i="9"/>
  <c r="P98" i="9"/>
  <c r="M98" i="9"/>
  <c r="O98" i="9" s="1"/>
  <c r="P97" i="9"/>
  <c r="O97" i="9"/>
  <c r="M97" i="9"/>
  <c r="P96" i="9"/>
  <c r="O96" i="9"/>
  <c r="M96" i="9"/>
  <c r="P95" i="9"/>
  <c r="O95" i="9"/>
  <c r="M95" i="9"/>
  <c r="P94" i="9"/>
  <c r="M94" i="9"/>
  <c r="O94" i="9" s="1"/>
  <c r="P93" i="9"/>
  <c r="O93" i="9"/>
  <c r="M93" i="9"/>
  <c r="P92" i="9"/>
  <c r="O92" i="9"/>
  <c r="M92" i="9"/>
  <c r="P91" i="9"/>
  <c r="O91" i="9"/>
  <c r="M91" i="9"/>
  <c r="P90" i="9"/>
  <c r="M90" i="9"/>
  <c r="O90" i="9" s="1"/>
  <c r="P89" i="9"/>
  <c r="O89" i="9"/>
  <c r="M89" i="9"/>
  <c r="P88" i="9"/>
  <c r="O88" i="9"/>
  <c r="M88" i="9"/>
  <c r="P87" i="9"/>
  <c r="O87" i="9"/>
  <c r="M87" i="9"/>
  <c r="P86" i="9"/>
  <c r="M86" i="9"/>
  <c r="O86" i="9" s="1"/>
  <c r="P85" i="9"/>
  <c r="O85" i="9"/>
  <c r="M85" i="9"/>
  <c r="P84" i="9"/>
  <c r="O84" i="9"/>
  <c r="M84" i="9"/>
  <c r="P83" i="9"/>
  <c r="O83" i="9"/>
  <c r="M83" i="9"/>
  <c r="P82" i="9"/>
  <c r="M82" i="9"/>
  <c r="O82" i="9" s="1"/>
  <c r="P81" i="9"/>
  <c r="O81" i="9"/>
  <c r="M81" i="9"/>
  <c r="P80" i="9"/>
  <c r="O80" i="9"/>
  <c r="M80" i="9"/>
  <c r="P79" i="9"/>
  <c r="O79" i="9"/>
  <c r="M79" i="9"/>
  <c r="P78" i="9"/>
  <c r="M78" i="9"/>
  <c r="O78" i="9" s="1"/>
  <c r="P77" i="9"/>
  <c r="O77" i="9"/>
  <c r="M77" i="9"/>
  <c r="P76" i="9"/>
  <c r="O76" i="9"/>
  <c r="M76" i="9"/>
  <c r="P75" i="9"/>
  <c r="O75" i="9"/>
  <c r="M75" i="9"/>
  <c r="P74" i="9"/>
  <c r="M74" i="9"/>
  <c r="O74" i="9" s="1"/>
  <c r="P73" i="9"/>
  <c r="O73" i="9"/>
  <c r="M73" i="9"/>
  <c r="P72" i="9"/>
  <c r="O72" i="9"/>
  <c r="M72" i="9"/>
  <c r="P71" i="9"/>
  <c r="O71" i="9"/>
  <c r="M71" i="9"/>
  <c r="P70" i="9"/>
  <c r="M70" i="9"/>
  <c r="O70" i="9" s="1"/>
  <c r="P69" i="9"/>
  <c r="O69" i="9"/>
  <c r="M69" i="9"/>
  <c r="P68" i="9"/>
  <c r="O68" i="9"/>
  <c r="M68" i="9"/>
  <c r="P67" i="9"/>
  <c r="O67" i="9"/>
  <c r="M67" i="9"/>
  <c r="P66" i="9"/>
  <c r="M66" i="9"/>
  <c r="O66" i="9" s="1"/>
  <c r="P65" i="9"/>
  <c r="O65" i="9"/>
  <c r="M65" i="9"/>
  <c r="P64" i="9"/>
  <c r="O64" i="9"/>
  <c r="M64" i="9"/>
  <c r="P63" i="9"/>
  <c r="O63" i="9"/>
  <c r="M63" i="9"/>
  <c r="P62" i="9"/>
  <c r="M62" i="9"/>
  <c r="O62" i="9" s="1"/>
  <c r="P61" i="9"/>
  <c r="O61" i="9"/>
  <c r="M61" i="9"/>
  <c r="P60" i="9"/>
  <c r="O60" i="9"/>
  <c r="M60" i="9"/>
  <c r="P59" i="9"/>
  <c r="O59" i="9"/>
  <c r="M59" i="9"/>
  <c r="P58" i="9"/>
  <c r="M58" i="9"/>
  <c r="O58" i="9" s="1"/>
  <c r="P57" i="9"/>
  <c r="O57" i="9"/>
  <c r="M57" i="9"/>
  <c r="P56" i="9"/>
  <c r="O56" i="9"/>
  <c r="M56" i="9"/>
  <c r="P55" i="9"/>
  <c r="O55" i="9"/>
  <c r="M55" i="9"/>
  <c r="P54" i="9"/>
  <c r="M54" i="9"/>
  <c r="O54" i="9" s="1"/>
  <c r="P53" i="9"/>
  <c r="O53" i="9"/>
  <c r="M53" i="9"/>
  <c r="P52" i="9"/>
  <c r="O52" i="9"/>
  <c r="M52" i="9"/>
  <c r="P51" i="9"/>
  <c r="O51" i="9"/>
  <c r="M51" i="9"/>
  <c r="P50" i="9"/>
  <c r="M50" i="9"/>
  <c r="O50" i="9" s="1"/>
  <c r="P49" i="9"/>
  <c r="O49" i="9"/>
  <c r="M49" i="9"/>
  <c r="P48" i="9"/>
  <c r="O48" i="9"/>
  <c r="M48" i="9"/>
  <c r="P47" i="9"/>
  <c r="O47" i="9"/>
  <c r="M47" i="9"/>
  <c r="P46" i="9"/>
  <c r="M46" i="9"/>
  <c r="O46" i="9" s="1"/>
  <c r="P45" i="9"/>
  <c r="O45" i="9"/>
  <c r="M45" i="9"/>
  <c r="P44" i="9"/>
  <c r="O44" i="9"/>
  <c r="M44" i="9"/>
  <c r="P43" i="9"/>
  <c r="O43" i="9"/>
  <c r="M43" i="9"/>
  <c r="P42" i="9"/>
  <c r="M42" i="9"/>
  <c r="O42" i="9" s="1"/>
  <c r="P41" i="9"/>
  <c r="O41" i="9"/>
  <c r="M41" i="9"/>
  <c r="P40" i="9"/>
  <c r="O40" i="9"/>
  <c r="M40" i="9"/>
  <c r="P39" i="9"/>
  <c r="O39" i="9"/>
  <c r="M39" i="9"/>
  <c r="P38" i="9"/>
  <c r="M38" i="9"/>
  <c r="O38" i="9" s="1"/>
  <c r="P37" i="9"/>
  <c r="O37" i="9"/>
  <c r="M37" i="9"/>
  <c r="P36" i="9"/>
  <c r="O36" i="9"/>
  <c r="M36" i="9"/>
  <c r="P35" i="9"/>
  <c r="O35" i="9"/>
  <c r="M35" i="9"/>
  <c r="P34" i="9"/>
  <c r="M34" i="9"/>
  <c r="O34" i="9" s="1"/>
  <c r="P33" i="9"/>
  <c r="O33" i="9"/>
  <c r="M33" i="9"/>
  <c r="P32" i="9"/>
  <c r="O32" i="9"/>
  <c r="M32" i="9"/>
  <c r="P31" i="9"/>
  <c r="O31" i="9"/>
  <c r="M31" i="9"/>
  <c r="P30" i="9"/>
  <c r="M30" i="9"/>
  <c r="O30" i="9" s="1"/>
  <c r="P29" i="9"/>
  <c r="O29" i="9"/>
  <c r="M29" i="9"/>
  <c r="P28" i="9"/>
  <c r="O28" i="9"/>
  <c r="M28" i="9"/>
  <c r="P27" i="9"/>
  <c r="O27" i="9"/>
  <c r="M27" i="9"/>
  <c r="P26" i="9"/>
  <c r="M26" i="9"/>
  <c r="O26" i="9" s="1"/>
  <c r="P25" i="9"/>
  <c r="O25" i="9"/>
  <c r="M25" i="9"/>
  <c r="P24" i="9"/>
  <c r="O24" i="9"/>
  <c r="M24" i="9"/>
  <c r="P23" i="9"/>
  <c r="O23" i="9"/>
  <c r="M23" i="9"/>
  <c r="P22" i="9"/>
  <c r="M22" i="9"/>
  <c r="O22" i="9" s="1"/>
  <c r="P21" i="9"/>
  <c r="O21" i="9"/>
  <c r="M21" i="9"/>
  <c r="P20" i="9"/>
  <c r="O20" i="9"/>
  <c r="M20" i="9"/>
  <c r="P19" i="9"/>
  <c r="O19" i="9"/>
  <c r="M19" i="9"/>
  <c r="P18" i="9"/>
  <c r="M18" i="9"/>
  <c r="O18" i="9" s="1"/>
  <c r="P17" i="9"/>
  <c r="O17" i="9"/>
  <c r="M17" i="9"/>
  <c r="P16" i="9"/>
  <c r="O16" i="9"/>
  <c r="M16" i="9"/>
  <c r="P15" i="9"/>
  <c r="O15" i="9"/>
  <c r="M15" i="9"/>
  <c r="P14" i="9"/>
  <c r="M14" i="9"/>
  <c r="O14" i="9" s="1"/>
  <c r="P13" i="9"/>
  <c r="O13" i="9"/>
  <c r="M13" i="9"/>
  <c r="P12" i="9"/>
  <c r="O12" i="9"/>
  <c r="M12" i="9"/>
  <c r="P11" i="9"/>
  <c r="M11" i="9"/>
  <c r="O11" i="9" s="1"/>
  <c r="P10" i="9"/>
  <c r="M10" i="9"/>
  <c r="O10" i="9" s="1"/>
  <c r="P9" i="9"/>
  <c r="O9" i="9"/>
  <c r="M9" i="9"/>
  <c r="P8" i="9"/>
  <c r="O8" i="9"/>
  <c r="M8" i="9"/>
  <c r="P7" i="9"/>
  <c r="O7" i="9"/>
  <c r="M7" i="9"/>
  <c r="P6" i="9"/>
  <c r="M6" i="9"/>
  <c r="O6" i="9" s="1"/>
  <c r="P5" i="9"/>
  <c r="O5" i="9"/>
  <c r="M5" i="9"/>
  <c r="P4" i="9"/>
  <c r="O4" i="9"/>
  <c r="M4" i="9"/>
  <c r="P3" i="9"/>
  <c r="M3" i="9"/>
  <c r="O3" i="9" s="1"/>
  <c r="P2" i="9"/>
  <c r="M2" i="9"/>
  <c r="O2" i="9" s="1"/>
  <c r="U1" i="9"/>
  <c r="V1" i="9" s="1"/>
  <c r="W1" i="9" s="1"/>
  <c r="X1" i="9" s="1"/>
  <c r="Y1" i="9" s="1"/>
  <c r="Z1" i="9" s="1"/>
  <c r="AA1" i="9" s="1"/>
  <c r="AB1" i="9" s="1"/>
  <c r="AC1" i="9" s="1"/>
  <c r="T1" i="9"/>
  <c r="S1" i="9"/>
  <c r="H111" i="8"/>
  <c r="I110" i="8" s="1"/>
  <c r="C111" i="8"/>
  <c r="D110" i="8"/>
  <c r="I109" i="8"/>
  <c r="D109" i="8"/>
  <c r="I108" i="8"/>
  <c r="D108" i="8"/>
  <c r="D107" i="8"/>
  <c r="D106" i="8"/>
  <c r="I105" i="8"/>
  <c r="D105" i="8"/>
  <c r="I104" i="8"/>
  <c r="D104" i="8"/>
  <c r="D103" i="8"/>
  <c r="D102" i="8"/>
  <c r="I101" i="8"/>
  <c r="D101" i="8"/>
  <c r="I100" i="8"/>
  <c r="D100" i="8"/>
  <c r="D99" i="8"/>
  <c r="D111" i="8" s="1"/>
  <c r="H95" i="8"/>
  <c r="I91" i="8" s="1"/>
  <c r="C95" i="8"/>
  <c r="I94" i="8"/>
  <c r="D94" i="8"/>
  <c r="I93" i="8"/>
  <c r="D93" i="8"/>
  <c r="I92" i="8"/>
  <c r="D92" i="8"/>
  <c r="D91" i="8"/>
  <c r="I90" i="8"/>
  <c r="D90" i="8"/>
  <c r="I89" i="8"/>
  <c r="D89" i="8"/>
  <c r="I88" i="8"/>
  <c r="D88" i="8"/>
  <c r="D87" i="8"/>
  <c r="I86" i="8"/>
  <c r="D86" i="8"/>
  <c r="I85" i="8"/>
  <c r="D85" i="8"/>
  <c r="I84" i="8"/>
  <c r="D84" i="8"/>
  <c r="D83" i="8"/>
  <c r="D95" i="8" s="1"/>
  <c r="H79" i="8"/>
  <c r="C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I79" i="8" s="1"/>
  <c r="D67" i="8"/>
  <c r="D79" i="8" s="1"/>
  <c r="H63" i="8"/>
  <c r="I56" i="8" s="1"/>
  <c r="C63" i="8"/>
  <c r="D62" i="8"/>
  <c r="D61" i="8"/>
  <c r="D60" i="8"/>
  <c r="D59" i="8"/>
  <c r="D58" i="8"/>
  <c r="D57" i="8"/>
  <c r="D56" i="8"/>
  <c r="D55" i="8"/>
  <c r="D54" i="8"/>
  <c r="D53" i="8"/>
  <c r="D52" i="8"/>
  <c r="G51" i="8"/>
  <c r="D51" i="8"/>
  <c r="D63" i="8" s="1"/>
  <c r="H47" i="8"/>
  <c r="I46" i="8" s="1"/>
  <c r="C47" i="8"/>
  <c r="D46" i="8"/>
  <c r="I45" i="8"/>
  <c r="D45" i="8"/>
  <c r="I44" i="8"/>
  <c r="D44" i="8"/>
  <c r="D43" i="8"/>
  <c r="D42" i="8"/>
  <c r="I41" i="8"/>
  <c r="D41" i="8"/>
  <c r="I40" i="8"/>
  <c r="D40" i="8"/>
  <c r="D39" i="8"/>
  <c r="D38" i="8"/>
  <c r="I37" i="8"/>
  <c r="D37" i="8"/>
  <c r="I36" i="8"/>
  <c r="G36" i="8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D36" i="8"/>
  <c r="G35" i="8"/>
  <c r="D35" i="8"/>
  <c r="D47" i="8" s="1"/>
  <c r="B35" i="8"/>
  <c r="B51" i="8" s="1"/>
  <c r="L31" i="8"/>
  <c r="H31" i="8"/>
  <c r="I29" i="8" s="1"/>
  <c r="C31" i="8"/>
  <c r="I30" i="8"/>
  <c r="D30" i="8"/>
  <c r="D29" i="8"/>
  <c r="I28" i="8"/>
  <c r="I27" i="8"/>
  <c r="I26" i="8"/>
  <c r="D26" i="8"/>
  <c r="D25" i="8"/>
  <c r="I24" i="8"/>
  <c r="I23" i="8"/>
  <c r="K22" i="8"/>
  <c r="K23" i="8" s="1"/>
  <c r="K24" i="8" s="1"/>
  <c r="K25" i="8" s="1"/>
  <c r="K26" i="8" s="1"/>
  <c r="K27" i="8" s="1"/>
  <c r="K28" i="8" s="1"/>
  <c r="K29" i="8" s="1"/>
  <c r="K30" i="8" s="1"/>
  <c r="I22" i="8"/>
  <c r="D22" i="8"/>
  <c r="B22" i="8"/>
  <c r="B23" i="8" s="1"/>
  <c r="B24" i="8" s="1"/>
  <c r="B25" i="8" s="1"/>
  <c r="B26" i="8" s="1"/>
  <c r="B27" i="8" s="1"/>
  <c r="B28" i="8" s="1"/>
  <c r="B29" i="8" s="1"/>
  <c r="B30" i="8" s="1"/>
  <c r="K21" i="8"/>
  <c r="D21" i="8"/>
  <c r="B21" i="8"/>
  <c r="K20" i="8"/>
  <c r="I20" i="8"/>
  <c r="G20" i="8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B20" i="8"/>
  <c r="I19" i="8"/>
  <c r="D19" i="8"/>
  <c r="L15" i="8"/>
  <c r="H14" i="8"/>
  <c r="I14" i="8" s="1"/>
  <c r="C14" i="8"/>
  <c r="H13" i="8"/>
  <c r="C13" i="8"/>
  <c r="H12" i="8"/>
  <c r="C12" i="8"/>
  <c r="H11" i="8"/>
  <c r="I11" i="8" s="1"/>
  <c r="C11" i="8"/>
  <c r="H10" i="8"/>
  <c r="I10" i="8" s="1"/>
  <c r="C10" i="8"/>
  <c r="H9" i="8"/>
  <c r="C9" i="8"/>
  <c r="H8" i="8"/>
  <c r="C8" i="8"/>
  <c r="H7" i="8"/>
  <c r="C7" i="8"/>
  <c r="H6" i="8"/>
  <c r="C6" i="8"/>
  <c r="H5" i="8"/>
  <c r="G5" i="8"/>
  <c r="G6" i="8" s="1"/>
  <c r="G7" i="8" s="1"/>
  <c r="G8" i="8" s="1"/>
  <c r="G9" i="8" s="1"/>
  <c r="G10" i="8" s="1"/>
  <c r="G11" i="8" s="1"/>
  <c r="G12" i="8" s="1"/>
  <c r="G13" i="8" s="1"/>
  <c r="G14" i="8" s="1"/>
  <c r="C5" i="8"/>
  <c r="B5" i="8"/>
  <c r="B6" i="8" s="1"/>
  <c r="B7" i="8" s="1"/>
  <c r="B8" i="8" s="1"/>
  <c r="B9" i="8" s="1"/>
  <c r="B10" i="8" s="1"/>
  <c r="B11" i="8" s="1"/>
  <c r="B12" i="8" s="1"/>
  <c r="B13" i="8" s="1"/>
  <c r="B14" i="8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H4" i="8"/>
  <c r="C4" i="8"/>
  <c r="P3" i="8"/>
  <c r="H3" i="8"/>
  <c r="H15" i="8" s="1"/>
  <c r="G3" i="8"/>
  <c r="G4" i="8" s="1"/>
  <c r="C3" i="8"/>
  <c r="C15" i="8" s="1"/>
  <c r="B3" i="8"/>
  <c r="B4" i="8" s="1"/>
  <c r="B22" i="7"/>
  <c r="B21" i="7"/>
  <c r="B13" i="7"/>
  <c r="B10" i="7"/>
  <c r="D4" i="7"/>
  <c r="J3" i="7"/>
  <c r="I3" i="7"/>
  <c r="B1" i="7"/>
  <c r="G19" i="6"/>
  <c r="I18" i="6"/>
  <c r="I17" i="6"/>
  <c r="R14" i="6"/>
  <c r="R15" i="6" s="1"/>
  <c r="B13" i="6"/>
  <c r="O11" i="6"/>
  <c r="J11" i="6"/>
  <c r="M10" i="6"/>
  <c r="C10" i="6"/>
  <c r="D3" i="6"/>
  <c r="M19" i="6" s="1"/>
  <c r="B1" i="6"/>
  <c r="A10" i="6" s="1"/>
  <c r="C68" i="5"/>
  <c r="B68" i="5"/>
  <c r="C67" i="5"/>
  <c r="D67" i="5" s="1"/>
  <c r="B67" i="5"/>
  <c r="D66" i="5"/>
  <c r="C66" i="5"/>
  <c r="B66" i="5"/>
  <c r="C65" i="5"/>
  <c r="D65" i="5" s="1"/>
  <c r="B65" i="5"/>
  <c r="C64" i="5"/>
  <c r="D64" i="5" s="1"/>
  <c r="B64" i="5"/>
  <c r="C63" i="5"/>
  <c r="B63" i="5"/>
  <c r="C62" i="5"/>
  <c r="D62" i="5" s="1"/>
  <c r="B62" i="5"/>
  <c r="C61" i="5"/>
  <c r="I22" i="5" s="1"/>
  <c r="I25" i="5" s="1"/>
  <c r="B61" i="5"/>
  <c r="C60" i="5"/>
  <c r="D60" i="5" s="1"/>
  <c r="B60" i="5"/>
  <c r="H22" i="5" s="1"/>
  <c r="D59" i="5"/>
  <c r="C58" i="5"/>
  <c r="D58" i="5" s="1"/>
  <c r="B58" i="5"/>
  <c r="C57" i="5"/>
  <c r="B57" i="5"/>
  <c r="C56" i="5"/>
  <c r="B56" i="5"/>
  <c r="D55" i="5"/>
  <c r="C53" i="5"/>
  <c r="D53" i="5" s="1"/>
  <c r="B53" i="5"/>
  <c r="D52" i="5"/>
  <c r="C52" i="5"/>
  <c r="B52" i="5"/>
  <c r="C51" i="5"/>
  <c r="D51" i="5" s="1"/>
  <c r="B51" i="5"/>
  <c r="C50" i="5"/>
  <c r="B50" i="5"/>
  <c r="C49" i="5"/>
  <c r="D49" i="5" s="1"/>
  <c r="B49" i="5"/>
  <c r="H23" i="5" s="1"/>
  <c r="H26" i="5" s="1"/>
  <c r="C47" i="5"/>
  <c r="D47" i="5" s="1"/>
  <c r="B47" i="5"/>
  <c r="C46" i="5"/>
  <c r="D46" i="5" s="1"/>
  <c r="B46" i="5"/>
  <c r="C45" i="5"/>
  <c r="D45" i="5" s="1"/>
  <c r="B45" i="5"/>
  <c r="D44" i="5"/>
  <c r="C44" i="5"/>
  <c r="C48" i="5" s="1"/>
  <c r="I18" i="5" s="1"/>
  <c r="B44" i="5"/>
  <c r="C42" i="5"/>
  <c r="D42" i="5" s="1"/>
  <c r="B42" i="5"/>
  <c r="D41" i="5"/>
  <c r="C41" i="5"/>
  <c r="B41" i="5"/>
  <c r="C40" i="5"/>
  <c r="D40" i="5" s="1"/>
  <c r="B40" i="5"/>
  <c r="B39" i="5"/>
  <c r="B43" i="5" s="1"/>
  <c r="H19" i="5" s="1"/>
  <c r="C38" i="5"/>
  <c r="D38" i="5" s="1"/>
  <c r="B38" i="5"/>
  <c r="D37" i="5"/>
  <c r="C37" i="5"/>
  <c r="B37" i="5"/>
  <c r="C36" i="5"/>
  <c r="B36" i="5"/>
  <c r="C30" i="5"/>
  <c r="B30" i="5"/>
  <c r="C26" i="5"/>
  <c r="B26" i="5"/>
  <c r="I24" i="5"/>
  <c r="H24" i="5"/>
  <c r="C24" i="5"/>
  <c r="B12" i="7" s="1"/>
  <c r="B24" i="5"/>
  <c r="B12" i="6" s="1"/>
  <c r="I23" i="5"/>
  <c r="C22" i="5"/>
  <c r="D22" i="5" s="1"/>
  <c r="B22" i="5"/>
  <c r="H21" i="5"/>
  <c r="I21" i="5" s="1"/>
  <c r="D21" i="5"/>
  <c r="C21" i="5"/>
  <c r="B21" i="5"/>
  <c r="C20" i="5"/>
  <c r="B20" i="5"/>
  <c r="C18" i="5"/>
  <c r="D18" i="5" s="1"/>
  <c r="B18" i="5"/>
  <c r="C17" i="5"/>
  <c r="D17" i="5" s="1"/>
  <c r="B17" i="5"/>
  <c r="C16" i="5"/>
  <c r="D16" i="5" s="1"/>
  <c r="B16" i="5"/>
  <c r="D15" i="5"/>
  <c r="C15" i="5"/>
  <c r="B15" i="5"/>
  <c r="C13" i="5"/>
  <c r="B13" i="5"/>
  <c r="C12" i="5"/>
  <c r="D12" i="5" s="1"/>
  <c r="B12" i="5"/>
  <c r="D11" i="5"/>
  <c r="C11" i="5"/>
  <c r="B11" i="5"/>
  <c r="C10" i="5"/>
  <c r="D10" i="5" s="1"/>
  <c r="B10" i="5"/>
  <c r="H28" i="5" s="1"/>
  <c r="C9" i="5"/>
  <c r="B9" i="5"/>
  <c r="D7" i="5"/>
  <c r="C7" i="5"/>
  <c r="B7" i="5"/>
  <c r="H6" i="5"/>
  <c r="I6" i="5" s="1"/>
  <c r="C6" i="5"/>
  <c r="F7" i="7" s="1"/>
  <c r="B6" i="5"/>
  <c r="E7" i="7" s="1"/>
  <c r="C4" i="5"/>
  <c r="B4" i="5"/>
  <c r="B2" i="5"/>
  <c r="B34" i="5" s="1"/>
  <c r="C34" i="5" s="1"/>
  <c r="C69" i="4"/>
  <c r="B69" i="4"/>
  <c r="D68" i="4"/>
  <c r="D67" i="4"/>
  <c r="D66" i="4"/>
  <c r="D65" i="4"/>
  <c r="D64" i="4"/>
  <c r="D62" i="4"/>
  <c r="D61" i="4"/>
  <c r="D60" i="4"/>
  <c r="D59" i="4"/>
  <c r="D58" i="4"/>
  <c r="D56" i="4"/>
  <c r="D55" i="4"/>
  <c r="D53" i="4"/>
  <c r="D52" i="4"/>
  <c r="D51" i="4"/>
  <c r="D50" i="4"/>
  <c r="D49" i="4"/>
  <c r="D48" i="4"/>
  <c r="C48" i="4"/>
  <c r="B48" i="4"/>
  <c r="D47" i="4"/>
  <c r="D46" i="4"/>
  <c r="D45" i="4"/>
  <c r="D44" i="4"/>
  <c r="C43" i="4"/>
  <c r="B43" i="4"/>
  <c r="H19" i="4" s="1"/>
  <c r="D42" i="4"/>
  <c r="D41" i="4"/>
  <c r="D40" i="4"/>
  <c r="D39" i="4"/>
  <c r="C39" i="4"/>
  <c r="C54" i="4" s="1"/>
  <c r="C70" i="4" s="1"/>
  <c r="B39" i="4"/>
  <c r="B54" i="4" s="1"/>
  <c r="B70" i="4" s="1"/>
  <c r="D38" i="4"/>
  <c r="D37" i="4"/>
  <c r="D36" i="4"/>
  <c r="H34" i="4"/>
  <c r="H33" i="4"/>
  <c r="H31" i="4"/>
  <c r="C31" i="4"/>
  <c r="B31" i="4"/>
  <c r="H30" i="4"/>
  <c r="I29" i="4"/>
  <c r="I28" i="4"/>
  <c r="H28" i="4"/>
  <c r="I27" i="4"/>
  <c r="H27" i="4"/>
  <c r="D26" i="4"/>
  <c r="I25" i="4"/>
  <c r="I24" i="4"/>
  <c r="H24" i="4"/>
  <c r="D24" i="4"/>
  <c r="I23" i="4"/>
  <c r="I26" i="4" s="1"/>
  <c r="H23" i="4"/>
  <c r="H26" i="4" s="1"/>
  <c r="I22" i="4"/>
  <c r="H22" i="4"/>
  <c r="H25" i="4" s="1"/>
  <c r="D22" i="4"/>
  <c r="D21" i="4"/>
  <c r="D20" i="4"/>
  <c r="I19" i="4"/>
  <c r="B19" i="4"/>
  <c r="H32" i="4" s="1"/>
  <c r="I18" i="4"/>
  <c r="I34" i="4" s="1"/>
  <c r="H18" i="4"/>
  <c r="D18" i="4"/>
  <c r="I17" i="4"/>
  <c r="H17" i="4"/>
  <c r="H29" i="4" s="1"/>
  <c r="D17" i="4"/>
  <c r="I16" i="4"/>
  <c r="H16" i="4"/>
  <c r="D16" i="4"/>
  <c r="D15" i="4"/>
  <c r="C14" i="4"/>
  <c r="I14" i="4" s="1"/>
  <c r="B14" i="4"/>
  <c r="H14" i="4" s="1"/>
  <c r="D13" i="4"/>
  <c r="D12" i="4"/>
  <c r="D11" i="4"/>
  <c r="D10" i="4"/>
  <c r="H9" i="4"/>
  <c r="D9" i="4"/>
  <c r="I7" i="4"/>
  <c r="H7" i="4"/>
  <c r="I8" i="4" s="1"/>
  <c r="D7" i="4"/>
  <c r="D6" i="4"/>
  <c r="B2" i="4"/>
  <c r="D69" i="3"/>
  <c r="C69" i="3"/>
  <c r="B69" i="3"/>
  <c r="D68" i="3"/>
  <c r="D67" i="3"/>
  <c r="D66" i="3"/>
  <c r="D65" i="3"/>
  <c r="D64" i="3"/>
  <c r="D62" i="3"/>
  <c r="D61" i="3"/>
  <c r="D60" i="3"/>
  <c r="D59" i="3"/>
  <c r="D58" i="3"/>
  <c r="D56" i="3"/>
  <c r="D55" i="3"/>
  <c r="D53" i="3"/>
  <c r="D52" i="3"/>
  <c r="D51" i="3"/>
  <c r="D50" i="3"/>
  <c r="D49" i="3"/>
  <c r="D48" i="3"/>
  <c r="C48" i="3"/>
  <c r="I18" i="3" s="1"/>
  <c r="B48" i="3"/>
  <c r="D47" i="3"/>
  <c r="D46" i="3"/>
  <c r="D45" i="3"/>
  <c r="D44" i="3"/>
  <c r="B43" i="3"/>
  <c r="H19" i="3" s="1"/>
  <c r="D42" i="3"/>
  <c r="D41" i="3"/>
  <c r="D40" i="3"/>
  <c r="D39" i="3"/>
  <c r="C39" i="3"/>
  <c r="C54" i="3" s="1"/>
  <c r="B39" i="3"/>
  <c r="B54" i="3" s="1"/>
  <c r="B70" i="3" s="1"/>
  <c r="D38" i="3"/>
  <c r="D37" i="3"/>
  <c r="D36" i="3"/>
  <c r="C34" i="3"/>
  <c r="B34" i="3"/>
  <c r="I32" i="3"/>
  <c r="C31" i="3"/>
  <c r="B31" i="3"/>
  <c r="I29" i="3"/>
  <c r="H29" i="3"/>
  <c r="C29" i="3"/>
  <c r="C29" i="5" s="1"/>
  <c r="C31" i="5" s="1"/>
  <c r="B29" i="3"/>
  <c r="B29" i="5" s="1"/>
  <c r="B31" i="5" s="1"/>
  <c r="B14" i="6" s="1"/>
  <c r="I28" i="3"/>
  <c r="H28" i="3"/>
  <c r="I27" i="3"/>
  <c r="H27" i="3"/>
  <c r="I26" i="3"/>
  <c r="H26" i="3"/>
  <c r="D26" i="3"/>
  <c r="I24" i="3"/>
  <c r="H24" i="3"/>
  <c r="D24" i="3"/>
  <c r="I23" i="3"/>
  <c r="H23" i="3"/>
  <c r="I22" i="3"/>
  <c r="I25" i="3" s="1"/>
  <c r="H22" i="3"/>
  <c r="H25" i="3" s="1"/>
  <c r="D22" i="3"/>
  <c r="D21" i="3"/>
  <c r="D20" i="3"/>
  <c r="C19" i="3"/>
  <c r="C23" i="3" s="1"/>
  <c r="H18" i="3"/>
  <c r="H34" i="3" s="1"/>
  <c r="D18" i="3"/>
  <c r="I17" i="3"/>
  <c r="I31" i="3" s="1"/>
  <c r="H17" i="3"/>
  <c r="H31" i="3" s="1"/>
  <c r="D17" i="3"/>
  <c r="I16" i="3"/>
  <c r="H16" i="3"/>
  <c r="D16" i="3"/>
  <c r="D15" i="3"/>
  <c r="I14" i="3"/>
  <c r="H14" i="3"/>
  <c r="D14" i="3"/>
  <c r="C14" i="3"/>
  <c r="B14" i="3"/>
  <c r="B19" i="3" s="1"/>
  <c r="D13" i="3"/>
  <c r="D12" i="3"/>
  <c r="D11" i="3"/>
  <c r="D10" i="3"/>
  <c r="I9" i="3"/>
  <c r="D9" i="3"/>
  <c r="I7" i="3"/>
  <c r="I8" i="3" s="1"/>
  <c r="H7" i="3"/>
  <c r="D7" i="3"/>
  <c r="H6" i="3"/>
  <c r="I6" i="3" s="1"/>
  <c r="D6" i="3"/>
  <c r="D3" i="3"/>
  <c r="B2" i="3"/>
  <c r="B10" i="6" s="1"/>
  <c r="J12" i="2"/>
  <c r="C10" i="2" s="1"/>
  <c r="C11" i="2" s="1"/>
  <c r="J11" i="2"/>
  <c r="J10" i="2"/>
  <c r="C9" i="2"/>
  <c r="C8" i="2"/>
  <c r="C19" i="1"/>
  <c r="C18" i="1"/>
  <c r="C17" i="1"/>
  <c r="A17" i="1"/>
  <c r="A16" i="1"/>
  <c r="C16" i="1" s="1"/>
  <c r="C15" i="1"/>
  <c r="C14" i="1"/>
  <c r="A13" i="1"/>
  <c r="C13" i="1" s="1"/>
  <c r="C12" i="1"/>
  <c r="C11" i="1"/>
  <c r="C10" i="1"/>
  <c r="C9" i="1"/>
  <c r="C8" i="1"/>
  <c r="A7" i="1"/>
  <c r="C7" i="1" s="1"/>
  <c r="C6" i="1"/>
  <c r="C5" i="1"/>
  <c r="C4" i="1"/>
  <c r="C3" i="1"/>
  <c r="C2" i="1"/>
  <c r="C1" i="1"/>
  <c r="D242" i="10"/>
  <c r="E224" i="10"/>
  <c r="E214" i="10"/>
  <c r="D194" i="10"/>
  <c r="E176" i="10"/>
  <c r="E169" i="10"/>
  <c r="D150" i="10"/>
  <c r="E132" i="10"/>
  <c r="E122" i="10"/>
  <c r="D102" i="10"/>
  <c r="E84" i="10"/>
  <c r="E77" i="10"/>
  <c r="E62" i="10"/>
  <c r="D248" i="10"/>
  <c r="E240" i="10"/>
  <c r="E220" i="10"/>
  <c r="D200" i="10"/>
  <c r="D193" i="10"/>
  <c r="E175" i="10"/>
  <c r="D156" i="10"/>
  <c r="E148" i="10"/>
  <c r="E128" i="10"/>
  <c r="D108" i="10"/>
  <c r="D101" i="10"/>
  <c r="E83" i="10"/>
  <c r="D64" i="10"/>
  <c r="D60" i="10"/>
  <c r="E56" i="10"/>
  <c r="D35" i="10"/>
  <c r="E246" i="10"/>
  <c r="D237" i="10"/>
  <c r="E219" i="10"/>
  <c r="D199" i="10"/>
  <c r="D192" i="10"/>
  <c r="D172" i="10"/>
  <c r="E154" i="10"/>
  <c r="D145" i="10"/>
  <c r="E127" i="10"/>
  <c r="D107" i="10"/>
  <c r="D100" i="10"/>
  <c r="D80" i="10"/>
  <c r="D57" i="10"/>
  <c r="D219" i="10"/>
  <c r="D123" i="10"/>
  <c r="E30" i="10"/>
  <c r="E201" i="10"/>
  <c r="E170" i="10"/>
  <c r="E35" i="10"/>
  <c r="D239" i="10"/>
  <c r="D195" i="10"/>
  <c r="D171" i="10"/>
  <c r="E109" i="10"/>
  <c r="E78" i="10"/>
  <c r="D40" i="10"/>
  <c r="E31" i="10"/>
  <c r="D154" i="10"/>
  <c r="D130" i="10"/>
  <c r="D86" i="10"/>
  <c r="E38" i="10"/>
  <c r="D31" i="10"/>
  <c r="E248" i="10"/>
  <c r="E241" i="10"/>
  <c r="D221" i="10"/>
  <c r="D201" i="10"/>
  <c r="E193" i="10"/>
  <c r="D174" i="10"/>
  <c r="E156" i="10"/>
  <c r="E149" i="10"/>
  <c r="D129" i="10"/>
  <c r="D109" i="10"/>
  <c r="E101" i="10"/>
  <c r="D82" i="10"/>
  <c r="D76" i="10"/>
  <c r="E61" i="10"/>
  <c r="E247" i="10"/>
  <c r="E237" i="10"/>
  <c r="D217" i="10"/>
  <c r="E199" i="10"/>
  <c r="E192" i="10"/>
  <c r="D173" i="10"/>
  <c r="E155" i="10"/>
  <c r="E145" i="10"/>
  <c r="D125" i="10"/>
  <c r="E107" i="10"/>
  <c r="E100" i="10"/>
  <c r="D81" i="10"/>
  <c r="D63" i="10"/>
  <c r="E59" i="10"/>
  <c r="E55" i="10"/>
  <c r="D34" i="10"/>
  <c r="E243" i="10"/>
  <c r="D223" i="10"/>
  <c r="D216" i="10"/>
  <c r="E198" i="10"/>
  <c r="D179" i="10"/>
  <c r="E171" i="10"/>
  <c r="E151" i="10"/>
  <c r="D131" i="10"/>
  <c r="D124" i="10"/>
  <c r="E106" i="10"/>
  <c r="D87" i="10"/>
  <c r="E79" i="10"/>
  <c r="D56" i="10"/>
  <c r="D168" i="10"/>
  <c r="E39" i="10"/>
  <c r="E245" i="10"/>
  <c r="D198" i="10"/>
  <c r="D127" i="10"/>
  <c r="D30" i="10"/>
  <c r="E225" i="10"/>
  <c r="E191" i="10"/>
  <c r="E153" i="10"/>
  <c r="D106" i="10"/>
  <c r="E76" i="10"/>
  <c r="E37" i="10"/>
  <c r="D243" i="10"/>
  <c r="E150" i="10"/>
  <c r="D110" i="10"/>
  <c r="E82" i="10"/>
  <c r="D37" i="10"/>
  <c r="D245" i="10"/>
  <c r="D238" i="10"/>
  <c r="D218" i="10"/>
  <c r="E200" i="10"/>
  <c r="D191" i="10"/>
  <c r="E173" i="10"/>
  <c r="D153" i="10"/>
  <c r="E217" i="10"/>
  <c r="E152" i="10"/>
  <c r="E125" i="10"/>
  <c r="D85" i="10"/>
  <c r="E63" i="10"/>
  <c r="D241" i="10"/>
  <c r="D214" i="10"/>
  <c r="D176" i="10"/>
  <c r="D149" i="10"/>
  <c r="D122" i="10"/>
  <c r="D84" i="10"/>
  <c r="D61" i="10"/>
  <c r="D36" i="10"/>
  <c r="E239" i="10"/>
  <c r="E202" i="10"/>
  <c r="D175" i="10"/>
  <c r="E147" i="10"/>
  <c r="E110" i="10"/>
  <c r="D83" i="10"/>
  <c r="D54" i="10"/>
  <c r="E34" i="10"/>
  <c r="E177" i="10"/>
  <c r="E242" i="10"/>
  <c r="E174" i="10"/>
  <c r="E85" i="10"/>
  <c r="E32" i="10"/>
  <c r="E133" i="10"/>
  <c r="D41" i="10"/>
  <c r="D146" i="10"/>
  <c r="E108" i="10"/>
  <c r="E81" i="10"/>
  <c r="E60" i="10"/>
  <c r="D224" i="10"/>
  <c r="D197" i="10"/>
  <c r="E172" i="10"/>
  <c r="D132" i="10"/>
  <c r="D105" i="10"/>
  <c r="E58" i="10"/>
  <c r="D33" i="10"/>
  <c r="E222" i="10"/>
  <c r="D196" i="10"/>
  <c r="E130" i="10"/>
  <c r="D104" i="10"/>
  <c r="D59" i="10"/>
  <c r="E238" i="10"/>
  <c r="E40" i="10"/>
  <c r="E146" i="10"/>
  <c r="E53" i="10"/>
  <c r="D103" i="10"/>
  <c r="E33" i="10"/>
  <c r="E244" i="10"/>
  <c r="D133" i="10"/>
  <c r="E105" i="10"/>
  <c r="D53" i="10"/>
  <c r="E223" i="10"/>
  <c r="D169" i="10"/>
  <c r="E131" i="10"/>
  <c r="D77" i="10"/>
  <c r="D247" i="10"/>
  <c r="E195" i="10"/>
  <c r="D128" i="10"/>
  <c r="E103" i="10"/>
  <c r="E126" i="10"/>
  <c r="E221" i="10"/>
  <c r="D39" i="10"/>
  <c r="E129" i="10"/>
  <c r="E41" i="10"/>
  <c r="E99" i="10"/>
  <c r="D32" i="10"/>
  <c r="D225" i="10"/>
  <c r="D126" i="10"/>
  <c r="D99" i="10"/>
  <c r="D244" i="10"/>
  <c r="E179" i="10"/>
  <c r="D152" i="10"/>
  <c r="E87" i="10"/>
  <c r="D62" i="10"/>
  <c r="D240" i="10"/>
  <c r="E215" i="10"/>
  <c r="D148" i="10"/>
  <c r="E123" i="10"/>
  <c r="D55" i="10"/>
  <c r="D38" i="10"/>
  <c r="D246" i="10"/>
  <c r="D178" i="10"/>
  <c r="E36" i="10"/>
  <c r="D147" i="10"/>
  <c r="E197" i="10"/>
  <c r="E80" i="10"/>
  <c r="E168" i="10"/>
  <c r="D151" i="10"/>
  <c r="D222" i="10"/>
  <c r="E218" i="10"/>
  <c r="D177" i="10"/>
  <c r="D78" i="10"/>
  <c r="E196" i="10"/>
  <c r="E104" i="10"/>
  <c r="E57" i="10"/>
  <c r="D220" i="10"/>
  <c r="D155" i="10"/>
  <c r="D58" i="10"/>
  <c r="D202" i="10"/>
  <c r="D215" i="10"/>
  <c r="D170" i="10"/>
  <c r="E64" i="10"/>
  <c r="E216" i="10"/>
  <c r="E124" i="10"/>
  <c r="E54" i="10"/>
  <c r="E178" i="10"/>
  <c r="E86" i="10"/>
  <c r="E194" i="10"/>
  <c r="E102" i="10"/>
  <c r="D79" i="10"/>
  <c r="O102" i="13" l="1"/>
  <c r="M30" i="12"/>
  <c r="D5" i="10"/>
  <c r="D6" i="10"/>
  <c r="E7" i="10"/>
  <c r="D11" i="10"/>
  <c r="E12" i="10"/>
  <c r="D15" i="10"/>
  <c r="E111" i="10"/>
  <c r="E112" i="10"/>
  <c r="E5" i="10"/>
  <c r="E6" i="10"/>
  <c r="E10" i="10"/>
  <c r="E11" i="10"/>
  <c r="D14" i="10"/>
  <c r="E15" i="10"/>
  <c r="E66" i="10"/>
  <c r="E65" i="10"/>
  <c r="E89" i="10"/>
  <c r="E88" i="10"/>
  <c r="E203" i="10"/>
  <c r="E204" i="10"/>
  <c r="D43" i="10"/>
  <c r="D42" i="10"/>
  <c r="D4" i="10"/>
  <c r="E9" i="10"/>
  <c r="D13" i="10"/>
  <c r="E14" i="10"/>
  <c r="E43" i="10"/>
  <c r="E42" i="10"/>
  <c r="E4" i="10"/>
  <c r="E8" i="10"/>
  <c r="D12" i="10"/>
  <c r="E13" i="10"/>
  <c r="D180" i="10"/>
  <c r="D181" i="10"/>
  <c r="D158" i="10"/>
  <c r="D157" i="10"/>
  <c r="E181" i="10"/>
  <c r="E180" i="10"/>
  <c r="D250" i="10"/>
  <c r="D249" i="10"/>
  <c r="D7" i="10"/>
  <c r="D8" i="10"/>
  <c r="D9" i="10"/>
  <c r="D10" i="10"/>
  <c r="D134" i="10"/>
  <c r="D135" i="10"/>
  <c r="E157" i="10"/>
  <c r="E158" i="10"/>
  <c r="D226" i="10"/>
  <c r="D227" i="10"/>
  <c r="E249" i="10"/>
  <c r="E250" i="10"/>
  <c r="D65" i="10"/>
  <c r="D66" i="10"/>
  <c r="D88" i="10"/>
  <c r="D89" i="10"/>
  <c r="D111" i="10"/>
  <c r="D112" i="10"/>
  <c r="E134" i="10"/>
  <c r="E135" i="10"/>
  <c r="D203" i="10"/>
  <c r="D204" i="10"/>
  <c r="E226" i="10"/>
  <c r="E227" i="10"/>
  <c r="C70" i="3"/>
  <c r="D54" i="3"/>
  <c r="C25" i="3"/>
  <c r="I10" i="3"/>
  <c r="C14" i="6"/>
  <c r="M13" i="6"/>
  <c r="H32" i="3"/>
  <c r="H9" i="3"/>
  <c r="D19" i="3"/>
  <c r="B23" i="3"/>
  <c r="B34" i="4"/>
  <c r="C34" i="4" s="1"/>
  <c r="H21" i="4"/>
  <c r="I21" i="4" s="1"/>
  <c r="H6" i="4"/>
  <c r="I6" i="4" s="1"/>
  <c r="B8" i="7"/>
  <c r="D26" i="5"/>
  <c r="H27" i="5"/>
  <c r="D9" i="8"/>
  <c r="D5" i="8"/>
  <c r="D3" i="8"/>
  <c r="D4" i="8"/>
  <c r="I60" i="8"/>
  <c r="H21" i="3"/>
  <c r="I21" i="3" s="1"/>
  <c r="H30" i="3"/>
  <c r="H33" i="3"/>
  <c r="C43" i="3"/>
  <c r="I19" i="3" s="1"/>
  <c r="I34" i="3" s="1"/>
  <c r="D14" i="4"/>
  <c r="I31" i="4"/>
  <c r="I30" i="4"/>
  <c r="D69" i="4"/>
  <c r="D13" i="5"/>
  <c r="M14" i="6"/>
  <c r="C13" i="6"/>
  <c r="E13" i="6" s="1"/>
  <c r="F13" i="6" s="1"/>
  <c r="D20" i="5"/>
  <c r="I26" i="5"/>
  <c r="B69" i="5"/>
  <c r="B48" i="5"/>
  <c r="H18" i="5" s="1"/>
  <c r="D56" i="5"/>
  <c r="D68" i="5"/>
  <c r="I6" i="8"/>
  <c r="D8" i="8"/>
  <c r="I13" i="8"/>
  <c r="I52" i="8"/>
  <c r="I30" i="3"/>
  <c r="C19" i="4"/>
  <c r="B23" i="4"/>
  <c r="D9" i="5"/>
  <c r="I27" i="5"/>
  <c r="C39" i="5"/>
  <c r="D36" i="5"/>
  <c r="D48" i="5"/>
  <c r="I16" i="5"/>
  <c r="C69" i="5"/>
  <c r="D69" i="5" s="1"/>
  <c r="O14" i="6"/>
  <c r="O10" i="8"/>
  <c r="I8" i="8"/>
  <c r="I4" i="8"/>
  <c r="I7" i="8"/>
  <c r="D7" i="8"/>
  <c r="I12" i="8"/>
  <c r="G67" i="8"/>
  <c r="G52" i="8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I61" i="8"/>
  <c r="I57" i="8"/>
  <c r="I53" i="8"/>
  <c r="I62" i="8"/>
  <c r="I58" i="8"/>
  <c r="I54" i="8"/>
  <c r="I59" i="8"/>
  <c r="I55" i="8"/>
  <c r="I51" i="8"/>
  <c r="D54" i="4"/>
  <c r="B14" i="5"/>
  <c r="H7" i="5"/>
  <c r="I17" i="5"/>
  <c r="H25" i="5"/>
  <c r="I5" i="8"/>
  <c r="D10" i="8"/>
  <c r="D11" i="8"/>
  <c r="D12" i="8"/>
  <c r="D13" i="8"/>
  <c r="D14" i="8"/>
  <c r="I33" i="4"/>
  <c r="B19" i="10"/>
  <c r="O11" i="8"/>
  <c r="O3" i="8"/>
  <c r="Q3" i="8" s="1"/>
  <c r="E8" i="7"/>
  <c r="E9" i="7" s="1"/>
  <c r="E10" i="7" s="1"/>
  <c r="I7" i="5"/>
  <c r="I8" i="5" s="1"/>
  <c r="C14" i="5"/>
  <c r="H16" i="5"/>
  <c r="I28" i="5"/>
  <c r="D50" i="5"/>
  <c r="D61" i="5"/>
  <c r="C12" i="6"/>
  <c r="E12" i="6" s="1"/>
  <c r="F12" i="6" s="1"/>
  <c r="F8" i="7"/>
  <c r="D16" i="7"/>
  <c r="D15" i="7" s="1"/>
  <c r="I3" i="8"/>
  <c r="I35" i="8"/>
  <c r="I39" i="8"/>
  <c r="I43" i="8"/>
  <c r="I99" i="8"/>
  <c r="I103" i="8"/>
  <c r="I107" i="8"/>
  <c r="O102" i="9"/>
  <c r="D20" i="10"/>
  <c r="D19" i="10"/>
  <c r="D6" i="5"/>
  <c r="H17" i="5"/>
  <c r="D24" i="5"/>
  <c r="D6" i="8"/>
  <c r="I9" i="8"/>
  <c r="D28" i="8"/>
  <c r="D24" i="8"/>
  <c r="D20" i="8"/>
  <c r="D31" i="8" s="1"/>
  <c r="D27" i="8"/>
  <c r="D23" i="8"/>
  <c r="B67" i="8"/>
  <c r="B52" i="8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I38" i="8"/>
  <c r="I42" i="8"/>
  <c r="I83" i="8"/>
  <c r="I87" i="8"/>
  <c r="I102" i="8"/>
  <c r="I106" i="8"/>
  <c r="P8" i="10"/>
  <c r="P16" i="10" s="1"/>
  <c r="P17" i="10"/>
  <c r="H16" i="10"/>
  <c r="B17" i="10"/>
  <c r="F17" i="10"/>
  <c r="B18" i="10"/>
  <c r="F19" i="10"/>
  <c r="F20" i="10"/>
  <c r="P111" i="10"/>
  <c r="I21" i="8"/>
  <c r="I31" i="8" s="1"/>
  <c r="I25" i="8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J16" i="10"/>
  <c r="C17" i="10"/>
  <c r="I20" i="10"/>
  <c r="I11" i="6" s="1"/>
  <c r="I12" i="6" s="1"/>
  <c r="I14" i="6" s="1"/>
  <c r="I16" i="6" s="1"/>
  <c r="I19" i="6" s="1"/>
  <c r="P65" i="10"/>
  <c r="P88" i="10"/>
  <c r="P157" i="10"/>
  <c r="P203" i="10"/>
  <c r="P249" i="10"/>
  <c r="D19" i="4" l="1"/>
  <c r="I9" i="4"/>
  <c r="C23" i="4"/>
  <c r="I32" i="4"/>
  <c r="D15" i="8"/>
  <c r="B25" i="3"/>
  <c r="H10" i="3"/>
  <c r="C27" i="3"/>
  <c r="I11" i="3"/>
  <c r="I15" i="3" s="1"/>
  <c r="D25" i="3"/>
  <c r="I95" i="8"/>
  <c r="B83" i="8"/>
  <c r="B68" i="8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I47" i="8"/>
  <c r="D14" i="6"/>
  <c r="E14" i="6" s="1"/>
  <c r="F14" i="6" s="1"/>
  <c r="Q2" i="8"/>
  <c r="D11" i="6"/>
  <c r="D15" i="6"/>
  <c r="I20" i="6"/>
  <c r="D6" i="6" s="1"/>
  <c r="B6" i="6"/>
  <c r="C6" i="6" s="1"/>
  <c r="I111" i="8"/>
  <c r="I15" i="8"/>
  <c r="C19" i="5"/>
  <c r="D14" i="5"/>
  <c r="I14" i="5"/>
  <c r="I31" i="5"/>
  <c r="I30" i="5"/>
  <c r="I29" i="5"/>
  <c r="I63" i="8"/>
  <c r="B54" i="5"/>
  <c r="B70" i="5" s="1"/>
  <c r="I33" i="3"/>
  <c r="D23" i="3"/>
  <c r="B19" i="5"/>
  <c r="H14" i="5"/>
  <c r="D39" i="5"/>
  <c r="C54" i="5"/>
  <c r="C43" i="5"/>
  <c r="I19" i="5" s="1"/>
  <c r="I33" i="5" s="1"/>
  <c r="G83" i="8"/>
  <c r="G68" i="8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H34" i="5"/>
  <c r="H33" i="5"/>
  <c r="D17" i="10"/>
  <c r="D16" i="10"/>
  <c r="I19" i="10" s="1"/>
  <c r="H31" i="5"/>
  <c r="H30" i="5"/>
  <c r="H29" i="5"/>
  <c r="B17" i="7"/>
  <c r="E11" i="7"/>
  <c r="E12" i="7" s="1"/>
  <c r="F22" i="6"/>
  <c r="M18" i="6"/>
  <c r="M20" i="6" s="1"/>
  <c r="O12" i="8"/>
  <c r="O13" i="8" s="1"/>
  <c r="B25" i="4"/>
  <c r="H10" i="4"/>
  <c r="E16" i="10"/>
  <c r="K19" i="10" s="1"/>
  <c r="E17" i="10"/>
  <c r="H11" i="4" l="1"/>
  <c r="H15" i="4" s="1"/>
  <c r="B27" i="4"/>
  <c r="H32" i="5"/>
  <c r="H9" i="5"/>
  <c r="B23" i="5"/>
  <c r="C70" i="5"/>
  <c r="D54" i="5"/>
  <c r="B99" i="8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84" i="8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I13" i="3"/>
  <c r="I12" i="3"/>
  <c r="C23" i="5"/>
  <c r="I32" i="5"/>
  <c r="D19" i="5"/>
  <c r="I9" i="5"/>
  <c r="D23" i="4"/>
  <c r="C25" i="4"/>
  <c r="I10" i="4"/>
  <c r="G99" i="8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84" i="8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B27" i="3"/>
  <c r="H11" i="3"/>
  <c r="H15" i="3" s="1"/>
  <c r="I34" i="5"/>
  <c r="H13" i="3" l="1"/>
  <c r="H12" i="3"/>
  <c r="D25" i="4"/>
  <c r="I11" i="4"/>
  <c r="I15" i="4" s="1"/>
  <c r="C27" i="4"/>
  <c r="H12" i="4"/>
  <c r="H13" i="4"/>
  <c r="C25" i="5"/>
  <c r="D23" i="5"/>
  <c r="I10" i="5"/>
  <c r="B25" i="5"/>
  <c r="H10" i="5"/>
  <c r="D27" i="3"/>
  <c r="H11" i="5" l="1"/>
  <c r="H15" i="5" s="1"/>
  <c r="B11" i="6"/>
  <c r="B16" i="6" s="1"/>
  <c r="B27" i="5"/>
  <c r="B15" i="6"/>
  <c r="I12" i="4"/>
  <c r="D27" i="4"/>
  <c r="I13" i="4"/>
  <c r="B7" i="7"/>
  <c r="O10" i="6"/>
  <c r="I11" i="5"/>
  <c r="I15" i="5" s="1"/>
  <c r="C11" i="6"/>
  <c r="C27" i="5"/>
  <c r="D25" i="5"/>
  <c r="C15" i="6"/>
  <c r="E15" i="6" s="1"/>
  <c r="F15" i="6" s="1"/>
  <c r="O12" i="6" l="1"/>
  <c r="M11" i="6" s="1"/>
  <c r="M12" i="6" s="1"/>
  <c r="O15" i="6"/>
  <c r="B9" i="7"/>
  <c r="B11" i="7" s="1"/>
  <c r="B15" i="7" s="1"/>
  <c r="B16" i="7" s="1"/>
  <c r="B18" i="7" s="1"/>
  <c r="B20" i="7" s="1"/>
  <c r="B23" i="7" s="1"/>
  <c r="I12" i="5"/>
  <c r="D27" i="5"/>
  <c r="I13" i="5"/>
  <c r="C16" i="6"/>
  <c r="E11" i="6"/>
  <c r="F18" i="6"/>
  <c r="H13" i="5"/>
  <c r="H12" i="5"/>
  <c r="F11" i="6" l="1"/>
  <c r="F16" i="6" s="1"/>
  <c r="E16" i="6"/>
  <c r="F20" i="6" s="1"/>
  <c r="F21" i="6" s="1"/>
  <c r="M16" i="6"/>
  <c r="M15" i="6"/>
  <c r="M17" i="6" s="1"/>
  <c r="M22" i="6" l="1"/>
  <c r="M23" i="6" s="1"/>
  <c r="D7" i="6" s="1"/>
  <c r="M21" i="6"/>
  <c r="B7" i="6" s="1"/>
  <c r="C7" i="6" s="1"/>
  <c r="F26" i="6"/>
  <c r="B5" i="6" s="1"/>
  <c r="C5" i="6" s="1"/>
  <c r="F25" i="6"/>
  <c r="F24" i="6"/>
  <c r="F27" i="6" s="1"/>
  <c r="F28" i="6" s="1"/>
  <c r="D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</authors>
  <commentList>
    <comment ref="A17" authorId="0" shapeId="0" xr:uid="{00000000-0006-0000-0700-000001000000}">
      <text>
        <r>
          <rPr>
            <b/>
            <sz val="9"/>
            <rFont val="Tahoma"/>
            <charset val="134"/>
          </rPr>
          <t>14150: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Please input GST Number</t>
        </r>
      </text>
    </comment>
    <comment ref="F17" authorId="0" shapeId="0" xr:uid="{00000000-0006-0000-0700-000002000000}">
      <text>
        <r>
          <rPr>
            <b/>
            <sz val="9"/>
            <rFont val="Tahoma"/>
            <charset val="134"/>
          </rPr>
          <t>14150: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Please Input GST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  <author>Awadhesh Jaiswal</author>
  </authors>
  <commentList>
    <comment ref="G1" authorId="0" shapeId="0" xr:uid="{00000000-0006-0000-0800-000001000000}">
      <text>
        <r>
          <rPr>
            <b/>
            <sz val="9"/>
            <rFont val="Tahoma"/>
            <charset val="134"/>
          </rPr>
          <t>14150: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Input date format
</t>
        </r>
        <r>
          <rPr>
            <sz val="9"/>
            <rFont val="Tahoma"/>
            <charset val="134"/>
          </rPr>
          <t>(MM-DD- YY)</t>
        </r>
      </text>
    </comment>
    <comment ref="L1" authorId="1" shapeId="0" xr:uid="{00000000-0006-0000-0800-000002000000}">
      <text>
        <r>
          <rPr>
            <b/>
            <sz val="9"/>
            <rFont val="Tahoma"/>
            <charset val="134"/>
          </rPr>
          <t>EMIs paid</t>
        </r>
      </text>
    </comment>
    <comment ref="R1" authorId="0" shapeId="0" xr:uid="{00000000-0006-0000-0800-000003000000}">
      <text>
        <r>
          <rPr>
            <b/>
            <sz val="9"/>
            <rFont val="Tahoma"/>
            <charset val="134"/>
          </rPr>
          <t>14150: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Latest month date
</t>
        </r>
        <r>
          <rPr>
            <sz val="9"/>
            <rFont val="Tahoma"/>
            <charset val="134"/>
          </rPr>
          <t xml:space="preserve">(MM-DD-YY)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  <author>Awadhesh Jaiswal</author>
  </authors>
  <commentList>
    <comment ref="G1" authorId="0" shapeId="0" xr:uid="{D1532F1F-309E-4A0B-8C6B-87BA7E1CA819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Input date format
(MM-DD- YY)</t>
        </r>
      </text>
    </comment>
    <comment ref="L1" authorId="1" shapeId="0" xr:uid="{5AB58D3F-3D65-43BB-8103-E3734D129A38}">
      <text>
        <r>
          <rPr>
            <b/>
            <sz val="9"/>
            <color indexed="81"/>
            <rFont val="Tahoma"/>
            <family val="2"/>
          </rPr>
          <t>EMIs paid</t>
        </r>
      </text>
    </comment>
    <comment ref="R1" authorId="0" shapeId="0" xr:uid="{A4BB4C03-4188-4648-9E18-D09CC7331C29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Latest month date
(MM-DD-YY)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</authors>
  <commentList>
    <comment ref="F1" authorId="0" shapeId="0" xr:uid="{00000000-0006-0000-0A00-000001000000}">
      <text>
        <r>
          <rPr>
            <b/>
            <sz val="9"/>
            <rFont val="Tahoma"/>
            <charset val="134"/>
          </rPr>
          <t>14150: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Latest month date
</t>
        </r>
        <r>
          <rPr>
            <sz val="9"/>
            <rFont val="Tahoma"/>
            <charset val="134"/>
          </rPr>
          <t xml:space="preserve">(MM-DD-YY)
</t>
        </r>
      </text>
    </comment>
  </commentList>
</comments>
</file>

<file path=xl/sharedStrings.xml><?xml version="1.0" encoding="utf-8"?>
<sst xmlns="http://schemas.openxmlformats.org/spreadsheetml/2006/main" count="1155" uniqueCount="448">
  <si>
    <t>Applicant Name</t>
  </si>
  <si>
    <t>Version 3.3</t>
  </si>
  <si>
    <t>Scheme</t>
  </si>
  <si>
    <t>Tier</t>
  </si>
  <si>
    <t>Customer Category</t>
  </si>
  <si>
    <t>Constitution</t>
  </si>
  <si>
    <t>Property Ownership</t>
  </si>
  <si>
    <t>Business Continuity</t>
  </si>
  <si>
    <t>PD</t>
  </si>
  <si>
    <t>Proposed Program</t>
  </si>
  <si>
    <t>DSCR Method</t>
  </si>
  <si>
    <t>Tier I- Delhi NCR &amp; Mumbai MMR</t>
  </si>
  <si>
    <t>SENP</t>
  </si>
  <si>
    <t>Individual</t>
  </si>
  <si>
    <t>No Property</t>
  </si>
  <si>
    <t>Less than 5 years</t>
  </si>
  <si>
    <t>Agency PD</t>
  </si>
  <si>
    <t>Category of Location</t>
  </si>
  <si>
    <t>GST Method</t>
  </si>
  <si>
    <t>Other Tier I</t>
  </si>
  <si>
    <t>SEP -Doctor</t>
  </si>
  <si>
    <t>Proprietorship</t>
  </si>
  <si>
    <t>Applicant</t>
  </si>
  <si>
    <t>Equal to 5 years</t>
  </si>
  <si>
    <t>Agency PD along with Credit Video PD</t>
  </si>
  <si>
    <t>Applicant business premises is within the Geolimit of Fedfina
(Tier -1- Delhi NCR &amp; Mumbai MMR- 100kms, Other Tier 1 - 75kms, Tier 2 - 50kms + Spoke locations)</t>
  </si>
  <si>
    <t>Yes</t>
  </si>
  <si>
    <t>ABB Scheme</t>
  </si>
  <si>
    <t>Tier II</t>
  </si>
  <si>
    <t>SEP -CA</t>
  </si>
  <si>
    <t>Partnership</t>
  </si>
  <si>
    <t>Spouse</t>
  </si>
  <si>
    <t>More than 5 years</t>
  </si>
  <si>
    <t>Credit Physical PD</t>
  </si>
  <si>
    <t>Category of Customer</t>
  </si>
  <si>
    <t>LAP Surrogate</t>
  </si>
  <si>
    <t>SEP -CS</t>
  </si>
  <si>
    <t>LLP</t>
  </si>
  <si>
    <t>Parents</t>
  </si>
  <si>
    <t>Credit Tele PD</t>
  </si>
  <si>
    <t>SEP GPR Method</t>
  </si>
  <si>
    <t>Company</t>
  </si>
  <si>
    <t>Grand Parents</t>
  </si>
  <si>
    <t>Credit Video PD</t>
  </si>
  <si>
    <t>SEP NP Method</t>
  </si>
  <si>
    <t>Others</t>
  </si>
  <si>
    <t>Son</t>
  </si>
  <si>
    <t>Overall business Continuity</t>
  </si>
  <si>
    <t>Salaried Doctor scheme</t>
  </si>
  <si>
    <t>Current business stability</t>
  </si>
  <si>
    <t>More than 3 years</t>
  </si>
  <si>
    <t>Consulting Doctor scheme</t>
  </si>
  <si>
    <t>Gap between both the years ITR is morethan 6 months</t>
  </si>
  <si>
    <t>Unsecured loan with seasoning of 12 months or more (Live or closed in the last 6 months)</t>
  </si>
  <si>
    <t>Commercial CIBIL score is upto CMR -6</t>
  </si>
  <si>
    <t>PD Done by</t>
  </si>
  <si>
    <t>Activities/business part of Exclusion List under ESG policy</t>
  </si>
  <si>
    <t>No</t>
  </si>
  <si>
    <t>Is there any discrimination basis Gender, Caste, Religion, Race or any other characteristics (ESG guideline)</t>
  </si>
  <si>
    <t>User input</t>
  </si>
  <si>
    <t>Industry</t>
  </si>
  <si>
    <t>Output</t>
  </si>
  <si>
    <t>Growing of non-perennial crops</t>
  </si>
  <si>
    <t>Growing of perennial crops</t>
  </si>
  <si>
    <t>All figures to be entered in Rs. Lakhs only</t>
  </si>
  <si>
    <t>Plant propagation</t>
  </si>
  <si>
    <t>Animal production</t>
  </si>
  <si>
    <t>MSME Check</t>
  </si>
  <si>
    <t>Remarks</t>
  </si>
  <si>
    <t>Mixed farming</t>
  </si>
  <si>
    <t>Support activities to agriculture and post-harvest crop activities</t>
  </si>
  <si>
    <t>Investment in Plant and Machinery or Equipment</t>
  </si>
  <si>
    <t>Hunting, trapping and related service activities</t>
  </si>
  <si>
    <t>Annual Turnover 
(Exclude/Deduct Exports)</t>
  </si>
  <si>
    <t>Silviculture and other forestry activities</t>
  </si>
  <si>
    <t>MSME</t>
  </si>
  <si>
    <t>Logging</t>
  </si>
  <si>
    <t>Result</t>
  </si>
  <si>
    <t>MSME Type</t>
  </si>
  <si>
    <t>Gathering of non-wood forest products</t>
  </si>
  <si>
    <t>Classification</t>
  </si>
  <si>
    <t>Support services to forestry</t>
  </si>
  <si>
    <t>Classification /Criteria</t>
  </si>
  <si>
    <t xml:space="preserve">Micro </t>
  </si>
  <si>
    <t xml:space="preserve">Small </t>
  </si>
  <si>
    <t>Medium</t>
  </si>
  <si>
    <t>Fishing</t>
  </si>
  <si>
    <t xml:space="preserve">Not more than Rs.1 crore </t>
  </si>
  <si>
    <t xml:space="preserve">Not more than Rs.10 crore </t>
  </si>
  <si>
    <t xml:space="preserve">Not more than Rs.50 crore </t>
  </si>
  <si>
    <t>Aquaculture</t>
  </si>
  <si>
    <t>Annual Turnover </t>
  </si>
  <si>
    <t>not more than Rs. 5 crore</t>
  </si>
  <si>
    <t>not more than Rs. 50 crore</t>
  </si>
  <si>
    <t>not more than Rs. 250 crore</t>
  </si>
  <si>
    <t>Activities of extraterritorial organizations and bodies</t>
  </si>
  <si>
    <t>Gambling and betting activities</t>
  </si>
  <si>
    <t>latest 2 years Financials</t>
  </si>
  <si>
    <t>Financial Year</t>
  </si>
  <si>
    <t>Type of Accounts</t>
  </si>
  <si>
    <t>Date of Filing ITR (DD-MMM-YYYY)</t>
  </si>
  <si>
    <t>Profit &amp; Loss A/c</t>
  </si>
  <si>
    <t>Inc/dec%</t>
  </si>
  <si>
    <t>Financial ratio analysis (in lakhs)</t>
  </si>
  <si>
    <t>Total Sales</t>
  </si>
  <si>
    <t>Particulars</t>
  </si>
  <si>
    <t>Other operating Income (Income which is incidental to business)</t>
  </si>
  <si>
    <t>Turnover</t>
  </si>
  <si>
    <t>Non Operating Income</t>
  </si>
  <si>
    <t>Turnover growth rate</t>
  </si>
  <si>
    <t>NON business Income</t>
  </si>
  <si>
    <t>EBIDTA/PBDIT</t>
  </si>
  <si>
    <t>Opening stock</t>
  </si>
  <si>
    <t>PBDT</t>
  </si>
  <si>
    <t>Closing Stock</t>
  </si>
  <si>
    <t>PBT</t>
  </si>
  <si>
    <t>Purchases</t>
  </si>
  <si>
    <t>PAT</t>
  </si>
  <si>
    <t>Direct Expenses</t>
  </si>
  <si>
    <t>Cash profit</t>
  </si>
  <si>
    <t>Cash Profit =PAT+Depreciation+Director/Partners remuneration+Interest on partners loan/Capital+Other non operating expenses (Expenses which are not relevant to business)</t>
  </si>
  <si>
    <t>Gross Profit</t>
  </si>
  <si>
    <t>Gross Profit margin</t>
  </si>
  <si>
    <t>Office &amp; Administrative expenses</t>
  </si>
  <si>
    <t>Net profit Margin</t>
  </si>
  <si>
    <t>Other Indirect Expenses</t>
  </si>
  <si>
    <t>Total Current liabilities</t>
  </si>
  <si>
    <t>Total Current liabilities = OD/CC+Creditors+ Advance received from customers+Other current liabilities</t>
  </si>
  <si>
    <t>Non operating Expenses (Fx loss, loss on sale of assets)</t>
  </si>
  <si>
    <t>Total current assets</t>
  </si>
  <si>
    <t>Total Current assets =Debtors+Advances to suppliers+Other current assets+Loans &amp; advances investments</t>
  </si>
  <si>
    <t xml:space="preserve">Salary To Partners/Directors </t>
  </si>
  <si>
    <t>Total Debt</t>
  </si>
  <si>
    <t>Total debt =Bank borrowings (Secured &amp; Unsecured)+Loans from private parties</t>
  </si>
  <si>
    <t>EBITDA</t>
  </si>
  <si>
    <t>Adjusted Net worth</t>
  </si>
  <si>
    <t>Adjusted Networth =Capital+ Reserves &amp; Surplus+ Loans from family members-Loans to related parties-Investment in group concerns-Debtors outstanding morethan 6 months-Fictious assets</t>
  </si>
  <si>
    <t>Interest on term loans</t>
  </si>
  <si>
    <t>Working Capital Analysis (In lakhs)</t>
  </si>
  <si>
    <t>Interest on CC/ OD limits</t>
  </si>
  <si>
    <t>Benchmark</t>
  </si>
  <si>
    <t>Interest on Partner's Capital</t>
  </si>
  <si>
    <t xml:space="preserve">Debtors </t>
  </si>
  <si>
    <t>Profit Before Depreciation &amp; Tax (PBDT)</t>
  </si>
  <si>
    <t>Creditors</t>
  </si>
  <si>
    <t>Depreciation</t>
  </si>
  <si>
    <t>Stock Value</t>
  </si>
  <si>
    <t>Profit Before Tax (PBT)</t>
  </si>
  <si>
    <t>Debtors Collection period (Days)</t>
  </si>
  <si>
    <t>90 days</t>
  </si>
  <si>
    <t>Debtors collection period =Total debtors/Sales * 365</t>
  </si>
  <si>
    <t>Taxes</t>
  </si>
  <si>
    <t>Creditors payment period (Days)</t>
  </si>
  <si>
    <t>Creditors payment period = Trade creditors/Purchases * 365</t>
  </si>
  <si>
    <t>Stock replenishment period (days)</t>
  </si>
  <si>
    <t>Stock replenishment period =(Closing Stock/Raw materials consumed or COGS (Cost of goods sold)) * 365</t>
  </si>
  <si>
    <t>Inventory Turnover</t>
  </si>
  <si>
    <t>4 times</t>
  </si>
  <si>
    <t>Inventory Turnover=(COGS/Average stock)</t>
  </si>
  <si>
    <t>Director/Partners remuneration/Interest on partners Capital for clubbing</t>
  </si>
  <si>
    <t>Net working Capital</t>
  </si>
  <si>
    <t>NWC = CA - CL</t>
  </si>
  <si>
    <t>Tax on the above income</t>
  </si>
  <si>
    <t>Current ratio</t>
  </si>
  <si>
    <t>CR = CA/CL</t>
  </si>
  <si>
    <t>Net income considered for Eligibility</t>
  </si>
  <si>
    <t>Quick ratio</t>
  </si>
  <si>
    <t>QR = QA/CL. (QA = CA - Stock)</t>
  </si>
  <si>
    <t>Interest coverage ratio</t>
  </si>
  <si>
    <t>EBIDTA/Financial cost (Interest expenses other than interest paid to partners/Directors)</t>
  </si>
  <si>
    <t>Balance Sheet</t>
  </si>
  <si>
    <t>Debt Equity Ratio</t>
  </si>
  <si>
    <t>Debt Equity Ratio = Total debt/Adjusted Tangible Networth</t>
  </si>
  <si>
    <t>Leverage Ratio (TOL/ATNW)</t>
  </si>
  <si>
    <t>Leverage = (Total Current liabilities+Total debt)/Adjusted Networth</t>
  </si>
  <si>
    <t>Liabilities</t>
  </si>
  <si>
    <t>Share capital / Partner's Capital</t>
  </si>
  <si>
    <t>P &amp; L A/c</t>
  </si>
  <si>
    <t>Revaluation Reserves / Notional Reserves</t>
  </si>
  <si>
    <t>Net worth</t>
  </si>
  <si>
    <t>Advances to group co./friends</t>
  </si>
  <si>
    <t>Unsecured Loans from Promoters &amp; family members</t>
  </si>
  <si>
    <t>Misc. Exp. Not written off</t>
  </si>
  <si>
    <t>Adjusted tangible Networth</t>
  </si>
  <si>
    <t>Bank Borrowing - Working Capital (OD/CC)</t>
  </si>
  <si>
    <t>Secured debts - Banks &amp; Nbfc</t>
  </si>
  <si>
    <t>Unsecured Debt - Banks &amp; Nbfc</t>
  </si>
  <si>
    <t>Other Loans (From private parties)</t>
  </si>
  <si>
    <t>Total Loan funds</t>
  </si>
  <si>
    <t>Sundry Creditors</t>
  </si>
  <si>
    <t>Advances from customers</t>
  </si>
  <si>
    <t>Other current liabilities</t>
  </si>
  <si>
    <t>Provisions (for exps, tax, etc.)</t>
  </si>
  <si>
    <t>Deffered Tax Liability/(Assets)</t>
  </si>
  <si>
    <t>Total</t>
  </si>
  <si>
    <t>Assets</t>
  </si>
  <si>
    <t>Net Tangible Fixed Assets ( Including Capital WIP)</t>
  </si>
  <si>
    <t>Net Intangible Fixed Assets</t>
  </si>
  <si>
    <t>Stock</t>
  </si>
  <si>
    <t xml:space="preserve">Debtors  </t>
  </si>
  <si>
    <t>&lt; 6 months</t>
  </si>
  <si>
    <t>&gt; 6 Months</t>
  </si>
  <si>
    <t>Advances to Suppliers</t>
  </si>
  <si>
    <t>Investments</t>
  </si>
  <si>
    <t>Other loans &amp; advances</t>
  </si>
  <si>
    <t>Prepaid expenses</t>
  </si>
  <si>
    <t>Other current assets</t>
  </si>
  <si>
    <t>Other Non Current assets (Security Deposits)</t>
  </si>
  <si>
    <t>Cash &amp; Bank Balances</t>
  </si>
  <si>
    <t>Difference</t>
  </si>
  <si>
    <t>UnAudited</t>
  </si>
  <si>
    <t>Audited</t>
  </si>
  <si>
    <t>Date of Filing ITR( DD-MM-YYYY)</t>
  </si>
  <si>
    <t>30-10-2019</t>
  </si>
  <si>
    <t>QR = QA/CL.
(QA = CA - Stock)</t>
  </si>
  <si>
    <t>Debt Equity Ratio = Total debt/Adjusted Networth</t>
  </si>
  <si>
    <t>Name of the Applicant</t>
  </si>
  <si>
    <t>Applied Loan Amount</t>
  </si>
  <si>
    <t>ROI</t>
  </si>
  <si>
    <t>Tenure (Months)</t>
  </si>
  <si>
    <t>EMI (Rs.)</t>
  </si>
  <si>
    <t>Eligible Loan Amount(In Lakhs)</t>
  </si>
  <si>
    <t>DSCR under Normal Financial scheme</t>
  </si>
  <si>
    <t>Eligibility as per ABB Scheme</t>
  </si>
  <si>
    <t>DSCR under GST Method</t>
  </si>
  <si>
    <t>Regular Income Method</t>
  </si>
  <si>
    <t>Eligibility Calculation under ABB scheme</t>
  </si>
  <si>
    <t>Eligibility calculation under GST Program</t>
  </si>
  <si>
    <t>Eligibility calculation under LAP surrogate</t>
  </si>
  <si>
    <t>Eligibility (%)</t>
  </si>
  <si>
    <t>(Based on turnover trend anaylsis)</t>
  </si>
  <si>
    <t>Eligibility (Rs.)</t>
  </si>
  <si>
    <t>Average Bank Balance</t>
  </si>
  <si>
    <t>12 Months</t>
  </si>
  <si>
    <t>6 Months</t>
  </si>
  <si>
    <t>Consolidated GST T.O (Last 12 Months)---A</t>
  </si>
  <si>
    <t>Net profit for Last FY - A</t>
  </si>
  <si>
    <t>LAP Loan Amount</t>
  </si>
  <si>
    <t>Profit Before Tax (Excluding non operating income)</t>
  </si>
  <si>
    <t>ABB</t>
  </si>
  <si>
    <t>Net profit % for Last FY ---B</t>
  </si>
  <si>
    <t>T.O for Last FY - B</t>
  </si>
  <si>
    <t>Tenure</t>
  </si>
  <si>
    <t>Eligible ABB</t>
  </si>
  <si>
    <t>Projected NP for Next Year--- C = A*B</t>
  </si>
  <si>
    <t>Net profit % -C = (A*B)</t>
  </si>
  <si>
    <t>Paid - A</t>
  </si>
  <si>
    <t>Interest on Term loan add back</t>
  </si>
  <si>
    <t>ABB Multiplier</t>
  </si>
  <si>
    <t>Depreciation &amp; Director remuneration for Last FY -- D</t>
  </si>
  <si>
    <t>LAP EMI Amount -B</t>
  </si>
  <si>
    <t>Director/Partners remuneration/ Interest on partners Capital</t>
  </si>
  <si>
    <t>Net ABB</t>
  </si>
  <si>
    <t>Interest for Last FY (Other than OD/CC) -- E</t>
  </si>
  <si>
    <t>Tax liability for last FY - D</t>
  </si>
  <si>
    <t>Eligible BL amount (Max cap Rs.10lacs) - (A*B)</t>
  </si>
  <si>
    <t>Tax (In negative)</t>
  </si>
  <si>
    <t>Sum of EMIs clearing from other bank accounts</t>
  </si>
  <si>
    <t>EBIDTA---F= (C+D+E)</t>
  </si>
  <si>
    <t>Proportionate tax - E=D/A*100</t>
  </si>
  <si>
    <t>Maximum Fundable LA under LAP Surrogate scheme</t>
  </si>
  <si>
    <t>Appraised Income</t>
  </si>
  <si>
    <t>Eligible EMI</t>
  </si>
  <si>
    <t xml:space="preserve">Proportionate tax </t>
  </si>
  <si>
    <t>Cross Collaterisation letter mandatory</t>
  </si>
  <si>
    <t>Tenor (Months)</t>
  </si>
  <si>
    <t>EBIDTA after tax--H=(F-G)</t>
  </si>
  <si>
    <t>Growth in the PAT in the latest audited financials compared to previous financial year</t>
  </si>
  <si>
    <t>Rate Of Interest</t>
  </si>
  <si>
    <t>Next 12 months EMI obligations</t>
  </si>
  <si>
    <t>No - Justified Growth</t>
  </si>
  <si>
    <t>For highgrowth cases whether income calculated on Average</t>
  </si>
  <si>
    <t>Not Applicable</t>
  </si>
  <si>
    <t>Eligibility (In Lacs)</t>
  </si>
  <si>
    <t>Proposed Fedfina EMI for next 12 months</t>
  </si>
  <si>
    <t>Appraised Income Considered</t>
  </si>
  <si>
    <t>Maximum Fundable LA under ABB scheme (In Lacs)</t>
  </si>
  <si>
    <t>Total liability ---I</t>
  </si>
  <si>
    <t>Appraised Monthly Income</t>
  </si>
  <si>
    <t>DSCR -- H/I</t>
  </si>
  <si>
    <t>Appraised Obligations</t>
  </si>
  <si>
    <t>Eligible loan amount at DSCR=1 (In lacs)</t>
  </si>
  <si>
    <t>Previous Exposure with Fedbank</t>
  </si>
  <si>
    <t>Maximum Fundable LA under GST Method (In Lacs)</t>
  </si>
  <si>
    <t>Max EMI</t>
  </si>
  <si>
    <t>Pre disbursement DSCR</t>
  </si>
  <si>
    <t>Post disbursement DSCR</t>
  </si>
  <si>
    <t>Eligible Loan Amount at DSCR=1 (In Lacs)</t>
  </si>
  <si>
    <t>Maximum Fundable Loan Amount under DSCR Program (In Lacs)</t>
  </si>
  <si>
    <t>Name of the applicant</t>
  </si>
  <si>
    <t>Profession of the Applicant</t>
  </si>
  <si>
    <t>CA</t>
  </si>
  <si>
    <t>CS</t>
  </si>
  <si>
    <t>Doctor</t>
  </si>
  <si>
    <t>Net Profit (NP) Method</t>
  </si>
  <si>
    <t>Gross Professional Receipts (GPR) Method</t>
  </si>
  <si>
    <t>Gross receipts - A</t>
  </si>
  <si>
    <t>Tax</t>
  </si>
  <si>
    <t>Multiplier -B</t>
  </si>
  <si>
    <t>PAT (A)</t>
  </si>
  <si>
    <t>C = (A*B)</t>
  </si>
  <si>
    <t xml:space="preserve">Total </t>
  </si>
  <si>
    <t>Annual obligations - D</t>
  </si>
  <si>
    <t>Depreciation - D</t>
  </si>
  <si>
    <t>Eligibility F = (C-D)</t>
  </si>
  <si>
    <t>Interest Expenses - E</t>
  </si>
  <si>
    <t>Other Income - F</t>
  </si>
  <si>
    <t>G = (C+D+E+F)</t>
  </si>
  <si>
    <t>Monthly Income - H = F/12</t>
  </si>
  <si>
    <t>Monthly obligations - I</t>
  </si>
  <si>
    <t>Eligible EMI J =( H-I)</t>
  </si>
  <si>
    <t>Eligiblity(In lakhs)</t>
  </si>
  <si>
    <t>Consolidated GST summary for FY 2019-20</t>
  </si>
  <si>
    <t>Consolidated GST summary for FY 2020-21</t>
  </si>
  <si>
    <t>GST last 12 months for GST method</t>
  </si>
  <si>
    <t>Turnover Trend Analysis</t>
  </si>
  <si>
    <t>Sl.no</t>
  </si>
  <si>
    <t>Month</t>
  </si>
  <si>
    <t>Gross TO excl taxes</t>
  </si>
  <si>
    <t>%</t>
  </si>
  <si>
    <t>Month-Year</t>
  </si>
  <si>
    <t>Last Financial Year</t>
  </si>
  <si>
    <t>Last 12 Months</t>
  </si>
  <si>
    <t>Total Turnover</t>
  </si>
  <si>
    <t>Total no. of months GST returns collected</t>
  </si>
  <si>
    <t>Annualised T.O</t>
  </si>
  <si>
    <t>Previous FY Year T.O</t>
  </si>
  <si>
    <t>Incremental T.O</t>
  </si>
  <si>
    <t>% of growth in T.O for current FY</t>
  </si>
  <si>
    <t>Location -1</t>
  </si>
  <si>
    <t>GST/Sales Register for CFY</t>
  </si>
  <si>
    <t>For Comments</t>
  </si>
  <si>
    <t>Location -2</t>
  </si>
  <si>
    <t>Location 3</t>
  </si>
  <si>
    <t>Location 4</t>
  </si>
  <si>
    <t>Location 5</t>
  </si>
  <si>
    <t>Location 6</t>
  </si>
  <si>
    <t>Source</t>
  </si>
  <si>
    <t>Nature of loan</t>
  </si>
  <si>
    <t>Loan in the name</t>
  </si>
  <si>
    <t>Loan Capacity</t>
  </si>
  <si>
    <t>Financier Name</t>
  </si>
  <si>
    <t>Disbursal date</t>
  </si>
  <si>
    <t>Loan Amount</t>
  </si>
  <si>
    <t>Current O/s</t>
  </si>
  <si>
    <t>EMI</t>
  </si>
  <si>
    <t>Paid</t>
  </si>
  <si>
    <t>Tenure Left</t>
  </si>
  <si>
    <t xml:space="preserve">Consider for Obligation </t>
  </si>
  <si>
    <t>IRR</t>
  </si>
  <si>
    <t>Repayment A/c</t>
  </si>
  <si>
    <t>Consolidated Banking</t>
  </si>
  <si>
    <t>Input (Absolute amount/ Lacs)</t>
  </si>
  <si>
    <t>Absolute</t>
  </si>
  <si>
    <t>Note: First 2 banking is for Current Account/Saving Account, rest can be used for CC/OD/additional CA/SB</t>
  </si>
  <si>
    <t>Particular</t>
  </si>
  <si>
    <t>Value Summation</t>
  </si>
  <si>
    <t>Count</t>
  </si>
  <si>
    <t>Inward Returns (Count)</t>
  </si>
  <si>
    <t>Outward Returns (Count)</t>
  </si>
  <si>
    <t>Stop Pymt. (Count)</t>
  </si>
  <si>
    <t>Minimum Balance Charges (Y/N)</t>
  </si>
  <si>
    <t>Balance at Specific Date In Month (Summation of 2 CA/SB banking)</t>
  </si>
  <si>
    <t>Months</t>
  </si>
  <si>
    <t>Debits</t>
  </si>
  <si>
    <t>Credits</t>
  </si>
  <si>
    <t>1st</t>
  </si>
  <si>
    <t>5th</t>
  </si>
  <si>
    <t>10th</t>
  </si>
  <si>
    <t>15th</t>
  </si>
  <si>
    <t>20th</t>
  </si>
  <si>
    <t>25th</t>
  </si>
  <si>
    <t>6 Months ABB</t>
  </si>
  <si>
    <t>Average</t>
  </si>
  <si>
    <t>Business Transactions</t>
  </si>
  <si>
    <t>BTO for 12months</t>
  </si>
  <si>
    <t>Annualised BTO for 6Months</t>
  </si>
  <si>
    <t>Top Line as per Financial</t>
  </si>
  <si>
    <t>I/W Return Ratio</t>
  </si>
  <si>
    <t>O/W Return Ratio</t>
  </si>
  <si>
    <t>BTO basis latest GST Turnover</t>
  </si>
  <si>
    <t>12M Average Balance</t>
  </si>
  <si>
    <t>6M Average Balance</t>
  </si>
  <si>
    <t>Banking -1</t>
  </si>
  <si>
    <t>Name of the Account Holder:</t>
  </si>
  <si>
    <t>A/c of</t>
  </si>
  <si>
    <t>Bank</t>
  </si>
  <si>
    <t>A/c No.</t>
  </si>
  <si>
    <t>Type</t>
  </si>
  <si>
    <t>Current Account</t>
  </si>
  <si>
    <t>Period</t>
  </si>
  <si>
    <t>EMI Paid from this Account</t>
  </si>
  <si>
    <t>Balance at Specific Date In Month</t>
  </si>
  <si>
    <t>Average Bank balance</t>
  </si>
  <si>
    <t>Banking -2</t>
  </si>
  <si>
    <t>Banking -3</t>
  </si>
  <si>
    <t>Banking -4</t>
  </si>
  <si>
    <t>Banking -5</t>
  </si>
  <si>
    <t>Banking -6</t>
  </si>
  <si>
    <t>Banking -7</t>
  </si>
  <si>
    <t>Banking -8</t>
  </si>
  <si>
    <t>Banking -9</t>
  </si>
  <si>
    <t>Banking -10</t>
  </si>
  <si>
    <t>Sl. No</t>
  </si>
  <si>
    <t>Disb. Date</t>
  </si>
  <si>
    <t>Credit Information Report</t>
  </si>
  <si>
    <t>Co-Applicant 1</t>
  </si>
  <si>
    <t>Co-Applicant 2</t>
  </si>
  <si>
    <t>Co-Applicant 3</t>
  </si>
  <si>
    <t>Co-Applicant 4</t>
  </si>
  <si>
    <t>Co-Applicant 5</t>
  </si>
  <si>
    <t>Credit Information Company</t>
  </si>
  <si>
    <t>Name</t>
  </si>
  <si>
    <t>DOB/DOI</t>
  </si>
  <si>
    <t>PAN No</t>
  </si>
  <si>
    <t>Credit Score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</si>
  <si>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</si>
  <si>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</si>
  <si>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</si>
  <si>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</si>
  <si>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</si>
  <si>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</si>
  <si>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</si>
  <si>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</si>
  <si>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</si>
  <si>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</si>
  <si>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</si>
  <si>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</si>
  <si>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Details</t>
  </si>
  <si>
    <t>Repayment-Track</t>
  </si>
  <si>
    <t>Loan Type - Ownership</t>
  </si>
  <si>
    <t>Financier/Source</t>
  </si>
  <si>
    <t>Loan Credit/ Sanction Amt</t>
  </si>
  <si>
    <t>Loan Debit</t>
  </si>
  <si>
    <t>Start on</t>
  </si>
  <si>
    <t>Outstanding Bal</t>
  </si>
  <si>
    <t>Tenor</t>
  </si>
  <si>
    <t>Tenor Left</t>
  </si>
  <si>
    <t>EMI Obligation</t>
  </si>
  <si>
    <t>Bank Name (EMI running)</t>
  </si>
  <si>
    <t>Remarks (Bounces/ DPD etc)</t>
  </si>
  <si>
    <t>EMI Paid</t>
  </si>
  <si>
    <t>EMI Bounce</t>
  </si>
  <si>
    <t>EMI Amt Paid</t>
  </si>
  <si>
    <t>Avg Previous Day Balance</t>
  </si>
  <si>
    <t>Date</t>
  </si>
  <si>
    <t>Previous Day Balance</t>
  </si>
  <si>
    <t>Previous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</si>
</sst>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₹&quot;\ #,##0;[Red]&quot;₹&quot;\ \-#,##0"/>
    <numFmt numFmtId="41" formatCode="_ * #,##0_ ;_ * \-#,##0_ ;_ * &quot;-&quot;_ ;_ @_ "/>
    <numFmt numFmtId="43" formatCode="_ * #,##0.00_ ;_ * \-#,##0.00_ ;_ * &quot;-&quot;??_ ;_ @_ "/>
    <numFmt numFmtId="164" formatCode="_(* #,##0_);_(* \(#,##0\);_(* &quot;-&quot;??_);_(@_)"/>
    <numFmt numFmtId="165" formatCode="_-* #,##0_-;_-* #,##0\-;_-* &quot;-&quot;??_-;_-@_-"/>
    <numFmt numFmtId="166" formatCode="[$-409]mmm\-yy;@"/>
    <numFmt numFmtId="167" formatCode="_-* #,##0.00_-;\-* #,##0.00_-;_-* &quot;-&quot;??_-;_-@_-"/>
    <numFmt numFmtId="168" formatCode="#,##0.00\ ;&quot; (&quot;#,##0.00\);&quot; -&quot;#\ ;@\ "/>
    <numFmt numFmtId="169" formatCode="#,##0;\-#,##0;\-"/>
    <numFmt numFmtId="170" formatCode="_-* #,##0.00_-;_-* #,##0.00\-;_-* &quot;-&quot;??_-;_-@_-"/>
    <numFmt numFmtId="171" formatCode="[$-409]mmm/yy;@"/>
    <numFmt numFmtId="172" formatCode="_(&quot;$&quot;* #,##0.00_);_(&quot;$&quot;* \(#,##0.00\);_(&quot;$&quot;* &quot;-&quot;??_);_(@_)"/>
    <numFmt numFmtId="173" formatCode="#,##0\ ;&quot; (&quot;#,##0\);&quot; -&quot;#\ ;@\ "/>
    <numFmt numFmtId="174" formatCode="_(* #,##0.00_);_(* \(#,##0.00\);_(* &quot;-&quot;??_);_(@_)"/>
    <numFmt numFmtId="175" formatCode="_ * #,##0_ ;_ * \-#,##0_ ;_ * &quot;-&quot;??_ ;_ @_ "/>
    <numFmt numFmtId="176" formatCode="dd/mmm/yyyy"/>
    <numFmt numFmtId="177" formatCode="mmmm/yyyy"/>
    <numFmt numFmtId="178" formatCode="0;;;@"/>
  </numFmts>
  <fonts count="5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</font>
    <font>
      <sz val="10"/>
      <name val="Arial"/>
      <charset val="134"/>
    </font>
    <font>
      <sz val="10"/>
      <name val="Calibri"/>
      <charset val="134"/>
    </font>
    <font>
      <b/>
      <sz val="9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name val="Zurich BT"/>
      <charset val="134"/>
    </font>
    <font>
      <sz val="11"/>
      <color rgb="FF1F4E79"/>
      <name val="Calibri"/>
      <charset val="134"/>
    </font>
    <font>
      <b/>
      <sz val="11"/>
      <color rgb="FF1F4E79"/>
      <name val="Calibri"/>
      <charset val="134"/>
    </font>
    <font>
      <sz val="11"/>
      <color theme="7"/>
      <name val="Calibri"/>
      <charset val="134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2"/>
      <name val="Calibri"/>
      <charset val="134"/>
      <scheme val="minor"/>
    </font>
    <font>
      <b/>
      <u/>
      <sz val="12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name val="Arial Unicode MS"/>
      <charset val="134"/>
    </font>
    <font>
      <b/>
      <u/>
      <sz val="10"/>
      <name val="Arial Unicode MS"/>
      <charset val="134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i/>
      <sz val="11"/>
      <color theme="8"/>
      <name val="Calibri"/>
      <charset val="134"/>
      <scheme val="minor"/>
    </font>
    <font>
      <sz val="12"/>
      <name val="Arial"/>
      <charset val="134"/>
    </font>
    <font>
      <sz val="11"/>
      <name val="Zurich BT"/>
      <charset val="134"/>
    </font>
    <font>
      <sz val="12"/>
      <color rgb="FF000000"/>
      <name val="Verdana"/>
      <charset val="134"/>
    </font>
    <font>
      <u/>
      <sz val="10"/>
      <color theme="10"/>
      <name val="Arial"/>
      <charset val="134"/>
    </font>
    <font>
      <u/>
      <sz val="11"/>
      <color theme="10"/>
      <name val="Calibri"/>
      <charset val="134"/>
      <scheme val="minor"/>
    </font>
    <font>
      <sz val="10"/>
      <name val="MS Sans Serif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22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22"/>
      </patternFill>
    </fill>
    <fill>
      <patternFill patternType="solid">
        <fgColor theme="2"/>
        <bgColor indexed="31"/>
      </patternFill>
    </fill>
    <fill>
      <patternFill patternType="solid">
        <fgColor theme="6" tint="0.79995117038483843"/>
        <bgColor indexed="31"/>
      </patternFill>
    </fill>
    <fill>
      <patternFill patternType="solid">
        <fgColor theme="2"/>
        <bgColor indexed="26"/>
      </patternFill>
    </fill>
    <fill>
      <patternFill patternType="solid">
        <fgColor theme="6" tint="0.799951170384838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9">
    <xf numFmtId="0" fontId="0" fillId="0" borderId="0"/>
    <xf numFmtId="43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172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42" fillId="0" borderId="0"/>
    <xf numFmtId="0" fontId="14" fillId="0" borderId="0"/>
    <xf numFmtId="43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6" fillId="0" borderId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3" fontId="42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37" fillId="0" borderId="0" applyFill="0" applyBorder="0" applyAlignment="0" applyProtection="0"/>
    <xf numFmtId="43" fontId="42" fillId="0" borderId="0" applyFont="0" applyFill="0" applyBorder="0" applyAlignment="0" applyProtection="0"/>
    <xf numFmtId="170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70" fontId="42" fillId="0" borderId="0" applyFont="0" applyFill="0" applyBorder="0" applyAlignment="0" applyProtection="0"/>
    <xf numFmtId="170" fontId="42" fillId="0" borderId="0" applyFont="0" applyFill="0" applyBorder="0" applyAlignment="0" applyProtection="0"/>
    <xf numFmtId="168" fontId="37" fillId="0" borderId="0" applyFill="0" applyBorder="0" applyAlignment="0" applyProtection="0"/>
    <xf numFmtId="0" fontId="38" fillId="0" borderId="0" applyNumberFormat="0" applyBorder="0" applyProtection="0">
      <alignment vertical="top" wrapText="1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42" fillId="0" borderId="0"/>
    <xf numFmtId="0" fontId="6" fillId="0" borderId="0" applyNumberFormat="0" applyFill="0" applyBorder="0" applyAlignment="0" applyProtection="0"/>
    <xf numFmtId="0" fontId="42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37" fillId="0" borderId="0"/>
    <xf numFmtId="0" fontId="41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3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/>
    <xf numFmtId="0" fontId="42" fillId="0" borderId="0"/>
    <xf numFmtId="9" fontId="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4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166" fontId="3" fillId="0" borderId="1" xfId="0" applyNumberFormat="1" applyFont="1" applyFill="1" applyBorder="1" applyProtection="1">
      <protection locked="0"/>
    </xf>
    <xf numFmtId="17" fontId="3" fillId="2" borderId="1" xfId="0" applyNumberFormat="1" applyFont="1" applyFill="1" applyBorder="1"/>
    <xf numFmtId="0" fontId="4" fillId="4" borderId="3" xfId="5" applyFont="1" applyFill="1" applyBorder="1" applyAlignment="1" applyProtection="1">
      <alignment vertical="center"/>
      <protection locked="0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7" fontId="7" fillId="7" borderId="1" xfId="0" applyNumberFormat="1" applyFont="1" applyFill="1" applyBorder="1" applyAlignment="1">
      <alignment horizontal="center"/>
    </xf>
    <xf numFmtId="173" fontId="7" fillId="7" borderId="1" xfId="0" applyNumberFormat="1" applyFont="1" applyFill="1" applyBorder="1" applyAlignment="1">
      <alignment horizontal="right"/>
    </xf>
    <xf numFmtId="173" fontId="7" fillId="7" borderId="1" xfId="0" applyNumberFormat="1" applyFont="1" applyFill="1" applyBorder="1" applyAlignment="1">
      <alignment horizontal="center"/>
    </xf>
    <xf numFmtId="17" fontId="7" fillId="7" borderId="8" xfId="0" applyNumberFormat="1" applyFont="1" applyFill="1" applyBorder="1" applyAlignment="1">
      <alignment horizontal="center"/>
    </xf>
    <xf numFmtId="173" fontId="7" fillId="7" borderId="8" xfId="0" applyNumberFormat="1" applyFont="1" applyFill="1" applyBorder="1" applyAlignment="1">
      <alignment horizontal="center"/>
    </xf>
    <xf numFmtId="0" fontId="5" fillId="6" borderId="9" xfId="0" applyFont="1" applyFill="1" applyBorder="1"/>
    <xf numFmtId="175" fontId="5" fillId="6" borderId="10" xfId="0" applyNumberFormat="1" applyFont="1" applyFill="1" applyBorder="1" applyAlignment="1">
      <alignment horizontal="right"/>
    </xf>
    <xf numFmtId="175" fontId="5" fillId="6" borderId="10" xfId="0" applyNumberFormat="1" applyFont="1" applyFill="1" applyBorder="1" applyAlignment="1">
      <alignment horizontal="center"/>
    </xf>
    <xf numFmtId="175" fontId="5" fillId="6" borderId="10" xfId="0" applyNumberFormat="1" applyFont="1" applyFill="1" applyBorder="1" applyAlignment="1">
      <alignment horizontal="left"/>
    </xf>
    <xf numFmtId="0" fontId="5" fillId="6" borderId="11" xfId="0" applyFont="1" applyFill="1" applyBorder="1"/>
    <xf numFmtId="43" fontId="7" fillId="6" borderId="11" xfId="0" applyNumberFormat="1" applyFont="1" applyFill="1" applyBorder="1" applyAlignment="1">
      <alignment horizontal="right"/>
    </xf>
    <xf numFmtId="43" fontId="7" fillId="6" borderId="1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vertical="center" wrapText="1"/>
    </xf>
    <xf numFmtId="175" fontId="9" fillId="7" borderId="1" xfId="1" applyNumberFormat="1" applyFont="1" applyFill="1" applyBorder="1" applyAlignment="1">
      <alignment vertical="center"/>
    </xf>
    <xf numFmtId="43" fontId="9" fillId="7" borderId="1" xfId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vertical="center" wrapText="1"/>
    </xf>
    <xf numFmtId="175" fontId="9" fillId="7" borderId="1" xfId="1" applyNumberFormat="1" applyFont="1" applyFill="1" applyBorder="1" applyAlignment="1">
      <alignment horizontal="right" vertical="center"/>
    </xf>
    <xf numFmtId="43" fontId="7" fillId="0" borderId="15" xfId="0" applyNumberFormat="1" applyFont="1" applyBorder="1" applyAlignment="1"/>
    <xf numFmtId="0" fontId="5" fillId="9" borderId="21" xfId="0" applyFont="1" applyFill="1" applyBorder="1"/>
    <xf numFmtId="0" fontId="5" fillId="9" borderId="21" xfId="0" applyFont="1" applyFill="1" applyBorder="1" applyAlignment="1">
      <alignment horizontal="center"/>
    </xf>
    <xf numFmtId="17" fontId="7" fillId="0" borderId="21" xfId="0" applyNumberFormat="1" applyFont="1" applyBorder="1" applyAlignment="1" applyProtection="1">
      <alignment horizontal="center"/>
      <protection locked="0"/>
    </xf>
    <xf numFmtId="173" fontId="9" fillId="0" borderId="1" xfId="1" applyNumberFormat="1" applyFont="1" applyBorder="1" applyAlignment="1" applyProtection="1">
      <alignment horizontal="right" vertical="center"/>
      <protection locked="0"/>
    </xf>
    <xf numFmtId="173" fontId="7" fillId="10" borderId="21" xfId="0" applyNumberFormat="1" applyFont="1" applyFill="1" applyBorder="1" applyAlignment="1" applyProtection="1">
      <alignment horizontal="center"/>
      <protection locked="0"/>
    </xf>
    <xf numFmtId="173" fontId="7" fillId="0" borderId="21" xfId="0" applyNumberFormat="1" applyFont="1" applyBorder="1" applyAlignment="1" applyProtection="1">
      <alignment horizontal="center"/>
      <protection locked="0"/>
    </xf>
    <xf numFmtId="17" fontId="7" fillId="10" borderId="21" xfId="0" applyNumberFormat="1" applyFont="1" applyFill="1" applyBorder="1" applyAlignment="1">
      <alignment horizontal="center"/>
    </xf>
    <xf numFmtId="175" fontId="7" fillId="9" borderId="21" xfId="0" applyNumberFormat="1" applyFont="1" applyFill="1" applyBorder="1" applyAlignment="1">
      <alignment horizontal="center"/>
    </xf>
    <xf numFmtId="173" fontId="7" fillId="7" borderId="8" xfId="0" applyNumberFormat="1" applyFont="1" applyFill="1" applyBorder="1" applyAlignment="1">
      <alignment horizontal="right"/>
    </xf>
    <xf numFmtId="43" fontId="7" fillId="7" borderId="11" xfId="0" applyNumberFormat="1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 vertical="center"/>
    </xf>
    <xf numFmtId="0" fontId="7" fillId="7" borderId="11" xfId="0" applyFont="1" applyFill="1" applyBorder="1"/>
    <xf numFmtId="0" fontId="5" fillId="7" borderId="11" xfId="0" applyFont="1" applyFill="1" applyBorder="1"/>
    <xf numFmtId="173" fontId="5" fillId="7" borderId="11" xfId="0" applyNumberFormat="1" applyFont="1" applyFill="1" applyBorder="1" applyAlignment="1">
      <alignment horizontal="right" vertical="center"/>
    </xf>
    <xf numFmtId="43" fontId="4" fillId="7" borderId="1" xfId="1" applyFont="1" applyFill="1" applyBorder="1" applyAlignment="1">
      <alignment horizontal="right" vertical="center" wrapText="1"/>
    </xf>
    <xf numFmtId="3" fontId="4" fillId="7" borderId="1" xfId="1" applyNumberFormat="1" applyFont="1" applyFill="1" applyBorder="1" applyAlignment="1">
      <alignment horizontal="right" vertical="center" wrapText="1"/>
    </xf>
    <xf numFmtId="0" fontId="0" fillId="7" borderId="1" xfId="0" applyFill="1" applyBorder="1"/>
    <xf numFmtId="9" fontId="9" fillId="7" borderId="1" xfId="4" applyFont="1" applyFill="1" applyBorder="1" applyAlignment="1">
      <alignment horizontal="right" vertical="center" wrapText="1"/>
    </xf>
    <xf numFmtId="9" fontId="9" fillId="7" borderId="1" xfId="1" applyNumberFormat="1" applyFont="1" applyFill="1" applyBorder="1" applyAlignment="1">
      <alignment horizontal="right" vertical="center" wrapText="1"/>
    </xf>
    <xf numFmtId="173" fontId="9" fillId="7" borderId="1" xfId="1" applyNumberFormat="1" applyFont="1" applyFill="1" applyBorder="1" applyAlignment="1">
      <alignment horizontal="right" vertical="center" wrapText="1"/>
    </xf>
    <xf numFmtId="175" fontId="9" fillId="11" borderId="1" xfId="1" applyNumberFormat="1" applyFont="1" applyFill="1" applyBorder="1" applyAlignment="1">
      <alignment horizontal="right" vertical="center" wrapText="1"/>
    </xf>
    <xf numFmtId="0" fontId="7" fillId="0" borderId="21" xfId="0" applyFont="1" applyBorder="1" applyAlignment="1" applyProtection="1">
      <alignment horizontal="center"/>
      <protection locked="0"/>
    </xf>
    <xf numFmtId="1" fontId="9" fillId="0" borderId="1" xfId="5" applyNumberFormat="1" applyFont="1" applyBorder="1" applyAlignment="1" applyProtection="1">
      <alignment vertical="center"/>
      <protection locked="0"/>
    </xf>
    <xf numFmtId="1" fontId="0" fillId="0" borderId="0" xfId="0" applyNumberFormat="1" applyProtection="1">
      <protection locked="0"/>
    </xf>
    <xf numFmtId="173" fontId="7" fillId="10" borderId="30" xfId="0" applyNumberFormat="1" applyFont="1" applyFill="1" applyBorder="1" applyAlignment="1">
      <alignment horizontal="center"/>
    </xf>
    <xf numFmtId="175" fontId="7" fillId="12" borderId="31" xfId="0" applyNumberFormat="1" applyFont="1" applyFill="1" applyBorder="1" applyAlignment="1">
      <alignment horizontal="center"/>
    </xf>
    <xf numFmtId="175" fontId="7" fillId="0" borderId="21" xfId="0" applyNumberFormat="1" applyFont="1" applyBorder="1" applyAlignment="1">
      <alignment horizontal="center"/>
    </xf>
    <xf numFmtId="175" fontId="7" fillId="0" borderId="21" xfId="0" applyNumberFormat="1" applyFont="1" applyBorder="1" applyAlignment="1">
      <alignment horizontal="center" vertical="center"/>
    </xf>
    <xf numFmtId="175" fontId="7" fillId="0" borderId="21" xfId="0" applyNumberFormat="1" applyFont="1" applyBorder="1"/>
    <xf numFmtId="175" fontId="7" fillId="0" borderId="22" xfId="0" applyNumberFormat="1" applyFont="1" applyBorder="1"/>
    <xf numFmtId="175" fontId="7" fillId="10" borderId="1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73" fontId="7" fillId="0" borderId="0" xfId="0" applyNumberFormat="1" applyFont="1" applyFill="1" applyBorder="1" applyAlignment="1">
      <alignment horizontal="right"/>
    </xf>
    <xf numFmtId="175" fontId="5" fillId="0" borderId="0" xfId="0" applyNumberFormat="1" applyFont="1" applyFill="1" applyBorder="1" applyAlignment="1">
      <alignment horizontal="right"/>
    </xf>
    <xf numFmtId="173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43" fontId="7" fillId="0" borderId="0" xfId="0" applyNumberFormat="1" applyFont="1" applyBorder="1" applyAlignment="1"/>
    <xf numFmtId="173" fontId="7" fillId="10" borderId="1" xfId="0" applyNumberFormat="1" applyFont="1" applyFill="1" applyBorder="1" applyAlignment="1">
      <alignment horizontal="center"/>
    </xf>
    <xf numFmtId="175" fontId="7" fillId="12" borderId="1" xfId="0" applyNumberFormat="1" applyFont="1" applyFill="1" applyBorder="1" applyAlignment="1">
      <alignment horizontal="center"/>
    </xf>
    <xf numFmtId="175" fontId="7" fillId="10" borderId="1" xfId="0" applyNumberFormat="1" applyFont="1" applyFill="1" applyBorder="1" applyAlignment="1">
      <alignment horizontal="center" vertical="center"/>
    </xf>
    <xf numFmtId="173" fontId="7" fillId="10" borderId="23" xfId="0" applyNumberFormat="1" applyFont="1" applyFill="1" applyBorder="1" applyAlignment="1">
      <alignment horizontal="center"/>
    </xf>
    <xf numFmtId="175" fontId="7" fillId="12" borderId="36" xfId="0" applyNumberFormat="1" applyFont="1" applyFill="1" applyBorder="1" applyAlignment="1">
      <alignment horizontal="center"/>
    </xf>
    <xf numFmtId="9" fontId="7" fillId="10" borderId="1" xfId="4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0" borderId="1" xfId="0" applyBorder="1" applyAlignment="1" applyProtection="1">
      <alignment horizontal="left"/>
      <protection locked="0"/>
    </xf>
    <xf numFmtId="0" fontId="0" fillId="0" borderId="11" xfId="0" applyFont="1" applyBorder="1" applyAlignment="1" applyProtection="1">
      <alignment horizontal="left"/>
      <protection locked="0"/>
    </xf>
    <xf numFmtId="0" fontId="10" fillId="0" borderId="38" xfId="42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10" fillId="0" borderId="11" xfId="42" applyNumberFormat="1" applyFont="1" applyBorder="1" applyAlignment="1" applyProtection="1">
      <alignment vertical="center"/>
      <protection locked="0"/>
    </xf>
    <xf numFmtId="15" fontId="3" fillId="0" borderId="1" xfId="0" applyNumberFormat="1" applyFont="1" applyBorder="1" applyAlignment="1" applyProtection="1">
      <alignment horizontal="center"/>
      <protection locked="0"/>
    </xf>
    <xf numFmtId="175" fontId="3" fillId="0" borderId="1" xfId="1" applyNumberFormat="1" applyFont="1" applyBorder="1" applyProtection="1">
      <protection locked="0"/>
    </xf>
    <xf numFmtId="0" fontId="0" fillId="0" borderId="1" xfId="0" applyFont="1" applyBorder="1" applyProtection="1">
      <protection locked="0"/>
    </xf>
    <xf numFmtId="175" fontId="0" fillId="0" borderId="1" xfId="1" applyNumberFormat="1" applyFont="1" applyBorder="1" applyProtection="1">
      <protection locked="0"/>
    </xf>
    <xf numFmtId="175" fontId="0" fillId="0" borderId="1" xfId="1" applyNumberFormat="1" applyFont="1" applyFill="1" applyBorder="1" applyProtection="1">
      <protection locked="0"/>
    </xf>
    <xf numFmtId="0" fontId="3" fillId="2" borderId="14" xfId="0" applyFont="1" applyFill="1" applyBorder="1" applyAlignment="1">
      <alignment horizontal="center"/>
    </xf>
    <xf numFmtId="0" fontId="0" fillId="3" borderId="1" xfId="0" applyFill="1" applyBorder="1" applyProtection="1"/>
    <xf numFmtId="175" fontId="0" fillId="3" borderId="1" xfId="0" applyNumberFormat="1" applyFill="1" applyBorder="1" applyProtection="1"/>
    <xf numFmtId="10" fontId="0" fillId="3" borderId="1" xfId="4" applyNumberFormat="1" applyFont="1" applyFill="1" applyBorder="1" applyProtection="1"/>
    <xf numFmtId="0" fontId="3" fillId="0" borderId="1" xfId="0" applyFont="1" applyBorder="1"/>
    <xf numFmtId="175" fontId="0" fillId="0" borderId="1" xfId="1" applyNumberFormat="1" applyFont="1" applyBorder="1"/>
    <xf numFmtId="0" fontId="0" fillId="0" borderId="1" xfId="0" applyFont="1" applyBorder="1"/>
    <xf numFmtId="175" fontId="0" fillId="0" borderId="1" xfId="0" applyNumberFormat="1" applyBorder="1"/>
    <xf numFmtId="16" fontId="0" fillId="0" borderId="0" xfId="0" applyNumberFormat="1"/>
    <xf numFmtId="9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3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0" fillId="2" borderId="1" xfId="0" applyFill="1" applyBorder="1" applyProtection="1"/>
    <xf numFmtId="17" fontId="0" fillId="2" borderId="1" xfId="0" applyNumberFormat="1" applyFill="1" applyBorder="1" applyProtection="1"/>
    <xf numFmtId="175" fontId="0" fillId="2" borderId="1" xfId="1" applyNumberFormat="1" applyFont="1" applyFill="1" applyBorder="1" applyProtection="1"/>
    <xf numFmtId="9" fontId="0" fillId="2" borderId="1" xfId="4" applyFont="1" applyFill="1" applyBorder="1" applyAlignment="1" applyProtection="1">
      <alignment horizontal="center"/>
    </xf>
    <xf numFmtId="175" fontId="3" fillId="2" borderId="1" xfId="1" applyNumberFormat="1" applyFont="1" applyFill="1" applyBorder="1" applyProtection="1"/>
    <xf numFmtId="17" fontId="0" fillId="0" borderId="1" xfId="0" applyNumberFormat="1" applyFill="1" applyBorder="1" applyProtection="1">
      <protection locked="0"/>
    </xf>
    <xf numFmtId="9" fontId="0" fillId="2" borderId="1" xfId="4" applyFont="1" applyFill="1" applyBorder="1" applyProtection="1"/>
    <xf numFmtId="43" fontId="0" fillId="0" borderId="1" xfId="22" applyFont="1" applyFill="1" applyBorder="1" applyProtection="1">
      <protection locked="0"/>
    </xf>
    <xf numFmtId="9" fontId="3" fillId="2" borderId="1" xfId="4" applyFont="1" applyFill="1" applyBorder="1" applyProtection="1"/>
    <xf numFmtId="175" fontId="0" fillId="0" borderId="1" xfId="22" applyNumberFormat="1" applyFont="1" applyFill="1" applyBorder="1" applyProtection="1">
      <protection locked="0"/>
    </xf>
    <xf numFmtId="0" fontId="11" fillId="2" borderId="1" xfId="0" applyFont="1" applyFill="1" applyBorder="1" applyProtection="1"/>
    <xf numFmtId="0" fontId="11" fillId="0" borderId="1" xfId="0" applyFont="1" applyBorder="1" applyProtection="1"/>
    <xf numFmtId="17" fontId="7" fillId="0" borderId="22" xfId="0" applyNumberFormat="1" applyFont="1" applyBorder="1" applyAlignment="1" applyProtection="1">
      <alignment horizontal="center"/>
      <protection locked="0"/>
    </xf>
    <xf numFmtId="0" fontId="11" fillId="2" borderId="9" xfId="0" applyFont="1" applyFill="1" applyBorder="1" applyProtection="1"/>
    <xf numFmtId="165" fontId="0" fillId="13" borderId="10" xfId="0" applyNumberFormat="1" applyFill="1" applyBorder="1" applyProtection="1"/>
    <xf numFmtId="164" fontId="0" fillId="13" borderId="10" xfId="0" applyNumberFormat="1" applyFill="1" applyBorder="1" applyProtection="1"/>
    <xf numFmtId="17" fontId="7" fillId="10" borderId="22" xfId="0" applyNumberFormat="1" applyFont="1" applyFill="1" applyBorder="1" applyAlignment="1">
      <alignment horizontal="center"/>
    </xf>
    <xf numFmtId="0" fontId="0" fillId="0" borderId="0" xfId="0" applyFont="1" applyProtection="1"/>
    <xf numFmtId="0" fontId="11" fillId="0" borderId="0" xfId="0" applyFont="1" applyProtection="1"/>
    <xf numFmtId="165" fontId="11" fillId="0" borderId="0" xfId="1" applyNumberFormat="1" applyFont="1" applyProtection="1"/>
    <xf numFmtId="9" fontId="11" fillId="0" borderId="0" xfId="0" applyNumberFormat="1" applyFont="1" applyAlignment="1" applyProtection="1">
      <alignment horizontal="right"/>
    </xf>
    <xf numFmtId="0" fontId="12" fillId="2" borderId="1" xfId="0" applyFont="1" applyFill="1" applyBorder="1" applyAlignment="1" applyProtection="1">
      <alignment wrapText="1"/>
    </xf>
    <xf numFmtId="174" fontId="0" fillId="2" borderId="1" xfId="0" applyNumberFormat="1" applyFill="1" applyBorder="1" applyProtection="1"/>
    <xf numFmtId="10" fontId="0" fillId="0" borderId="0" xfId="0" applyNumberFormat="1" applyFont="1" applyProtection="1"/>
    <xf numFmtId="41" fontId="0" fillId="2" borderId="1" xfId="0" applyNumberFormat="1" applyFill="1" applyBorder="1" applyProtection="1"/>
    <xf numFmtId="9" fontId="0" fillId="14" borderId="1" xfId="4" applyFont="1" applyFill="1" applyBorder="1" applyProtection="1"/>
    <xf numFmtId="9" fontId="3" fillId="2" borderId="1" xfId="4" applyFont="1" applyFill="1" applyBorder="1" applyAlignment="1" applyProtection="1">
      <alignment horizontal="center"/>
    </xf>
    <xf numFmtId="0" fontId="11" fillId="2" borderId="39" xfId="0" applyFont="1" applyFill="1" applyBorder="1" applyProtection="1"/>
    <xf numFmtId="175" fontId="11" fillId="2" borderId="39" xfId="1" applyNumberFormat="1" applyFont="1" applyFill="1" applyBorder="1" applyProtection="1"/>
    <xf numFmtId="0" fontId="11" fillId="2" borderId="1" xfId="0" applyFont="1" applyFill="1" applyBorder="1" applyAlignment="1" applyProtection="1">
      <alignment wrapText="1"/>
    </xf>
    <xf numFmtId="9" fontId="11" fillId="2" borderId="41" xfId="0" applyNumberFormat="1" applyFont="1" applyFill="1" applyBorder="1" applyAlignment="1" applyProtection="1">
      <alignment horizontal="right"/>
    </xf>
    <xf numFmtId="165" fontId="0" fillId="0" borderId="0" xfId="0" applyNumberFormat="1" applyProtection="1"/>
    <xf numFmtId="0" fontId="13" fillId="15" borderId="16" xfId="55" applyFont="1" applyFill="1" applyBorder="1" applyAlignment="1">
      <alignment horizontal="center" vertical="center"/>
    </xf>
    <xf numFmtId="0" fontId="13" fillId="15" borderId="18" xfId="55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13" fillId="15" borderId="20" xfId="55" applyFont="1" applyFill="1" applyBorder="1" applyAlignment="1">
      <alignment horizontal="center" vertical="center"/>
    </xf>
    <xf numFmtId="0" fontId="13" fillId="15" borderId="12" xfId="55" applyFont="1" applyFill="1" applyBorder="1" applyAlignment="1">
      <alignment horizontal="center" vertical="center"/>
    </xf>
    <xf numFmtId="0" fontId="13" fillId="15" borderId="29" xfId="55" applyFont="1" applyFill="1" applyBorder="1" applyAlignment="1">
      <alignment horizontal="center" vertical="center"/>
    </xf>
    <xf numFmtId="0" fontId="14" fillId="0" borderId="0" xfId="55" applyFont="1" applyFill="1" applyBorder="1" applyAlignment="1" applyProtection="1">
      <alignment horizontal="left" vertical="center"/>
      <protection locked="0"/>
    </xf>
    <xf numFmtId="175" fontId="15" fillId="0" borderId="42" xfId="1" applyNumberFormat="1" applyFont="1" applyFill="1" applyBorder="1" applyAlignment="1" applyProtection="1">
      <alignment horizontal="center"/>
      <protection locked="0"/>
    </xf>
    <xf numFmtId="9" fontId="15" fillId="0" borderId="1" xfId="4" applyNumberFormat="1" applyFont="1" applyFill="1" applyBorder="1" applyProtection="1">
      <protection locked="0"/>
    </xf>
    <xf numFmtId="0" fontId="15" fillId="0" borderId="1" xfId="0" applyFont="1" applyFill="1" applyBorder="1" applyProtection="1">
      <protection locked="0"/>
    </xf>
    <xf numFmtId="6" fontId="15" fillId="16" borderId="29" xfId="0" applyNumberFormat="1" applyFont="1" applyFill="1" applyBorder="1"/>
    <xf numFmtId="0" fontId="0" fillId="0" borderId="0" xfId="0" applyBorder="1"/>
    <xf numFmtId="0" fontId="11" fillId="18" borderId="46" xfId="0" applyFont="1" applyFill="1" applyBorder="1"/>
    <xf numFmtId="3" fontId="11" fillId="18" borderId="46" xfId="0" applyNumberFormat="1" applyFont="1" applyFill="1" applyBorder="1"/>
    <xf numFmtId="0" fontId="0" fillId="0" borderId="0" xfId="0" applyFont="1" applyBorder="1"/>
    <xf numFmtId="0" fontId="0" fillId="18" borderId="18" xfId="0" applyFill="1" applyBorder="1"/>
    <xf numFmtId="41" fontId="0" fillId="18" borderId="47" xfId="0" applyNumberFormat="1" applyFill="1" applyBorder="1"/>
    <xf numFmtId="0" fontId="11" fillId="18" borderId="48" xfId="0" applyFont="1" applyFill="1" applyBorder="1"/>
    <xf numFmtId="3" fontId="11" fillId="18" borderId="48" xfId="0" applyNumberFormat="1" applyFont="1" applyFill="1" applyBorder="1"/>
    <xf numFmtId="0" fontId="0" fillId="18" borderId="20" xfId="0" applyFill="1" applyBorder="1"/>
    <xf numFmtId="41" fontId="0" fillId="18" borderId="48" xfId="0" applyNumberFormat="1" applyFont="1" applyFill="1" applyBorder="1"/>
    <xf numFmtId="41" fontId="0" fillId="18" borderId="48" xfId="0" applyNumberFormat="1" applyFill="1" applyBorder="1"/>
    <xf numFmtId="0" fontId="0" fillId="18" borderId="20" xfId="0" applyFont="1" applyFill="1" applyBorder="1"/>
    <xf numFmtId="0" fontId="0" fillId="18" borderId="49" xfId="0" applyFill="1" applyBorder="1"/>
    <xf numFmtId="41" fontId="0" fillId="18" borderId="50" xfId="0" applyNumberFormat="1" applyFill="1" applyBorder="1"/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3" fontId="11" fillId="0" borderId="48" xfId="0" applyNumberFormat="1" applyFont="1" applyBorder="1" applyProtection="1">
      <protection locked="0"/>
    </xf>
    <xf numFmtId="0" fontId="16" fillId="0" borderId="0" xfId="0" applyFont="1" applyBorder="1" applyAlignment="1">
      <alignment horizontal="center" wrapText="1"/>
    </xf>
    <xf numFmtId="0" fontId="3" fillId="0" borderId="0" xfId="0" applyFont="1"/>
    <xf numFmtId="0" fontId="11" fillId="18" borderId="50" xfId="0" applyFont="1" applyFill="1" applyBorder="1"/>
    <xf numFmtId="3" fontId="11" fillId="18" borderId="50" xfId="0" applyNumberFormat="1" applyFont="1" applyFill="1" applyBorder="1"/>
    <xf numFmtId="0" fontId="16" fillId="0" borderId="0" xfId="0" applyFont="1" applyBorder="1"/>
    <xf numFmtId="0" fontId="11" fillId="0" borderId="0" xfId="0" applyFont="1" applyBorder="1"/>
    <xf numFmtId="0" fontId="17" fillId="18" borderId="51" xfId="0" applyFont="1" applyFill="1" applyBorder="1"/>
    <xf numFmtId="3" fontId="17" fillId="18" borderId="51" xfId="0" applyNumberFormat="1" applyFont="1" applyFill="1" applyBorder="1"/>
    <xf numFmtId="9" fontId="17" fillId="18" borderId="51" xfId="0" applyNumberFormat="1" applyFont="1" applyFill="1" applyBorder="1"/>
    <xf numFmtId="1" fontId="17" fillId="18" borderId="51" xfId="3" applyNumberFormat="1" applyFont="1" applyFill="1" applyBorder="1"/>
    <xf numFmtId="0" fontId="0" fillId="0" borderId="0" xfId="0" applyFont="1"/>
    <xf numFmtId="0" fontId="0" fillId="0" borderId="0" xfId="0" applyBorder="1" applyProtection="1"/>
    <xf numFmtId="0" fontId="13" fillId="15" borderId="16" xfId="55" applyFont="1" applyFill="1" applyBorder="1" applyAlignment="1" applyProtection="1">
      <alignment horizontal="center" vertical="center"/>
      <protection locked="0"/>
    </xf>
    <xf numFmtId="0" fontId="13" fillId="15" borderId="20" xfId="55" applyFont="1" applyFill="1" applyBorder="1" applyAlignment="1" applyProtection="1">
      <alignment horizontal="center" vertical="center"/>
      <protection locked="0"/>
    </xf>
    <xf numFmtId="0" fontId="13" fillId="15" borderId="52" xfId="55" applyFont="1" applyFill="1" applyBorder="1" applyAlignment="1" applyProtection="1">
      <alignment horizontal="center" vertical="center"/>
    </xf>
    <xf numFmtId="0" fontId="15" fillId="0" borderId="53" xfId="0" applyFont="1" applyFill="1" applyBorder="1" applyAlignment="1" applyProtection="1">
      <alignment horizontal="center"/>
      <protection locked="0"/>
    </xf>
    <xf numFmtId="9" fontId="15" fillId="0" borderId="8" xfId="4" applyNumberFormat="1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54" xfId="0" applyFont="1" applyFill="1" applyBorder="1" applyAlignment="1" applyProtection="1">
      <alignment horizontal="center"/>
      <protection locked="0"/>
    </xf>
    <xf numFmtId="10" fontId="15" fillId="0" borderId="8" xfId="4" applyNumberFormat="1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</xf>
    <xf numFmtId="1" fontId="0" fillId="2" borderId="1" xfId="0" applyNumberFormat="1" applyFill="1" applyBorder="1" applyAlignment="1" applyProtection="1">
      <alignment horizontal="center"/>
    </xf>
    <xf numFmtId="2" fontId="3" fillId="2" borderId="1" xfId="0" applyNumberFormat="1" applyFont="1" applyFill="1" applyBorder="1" applyAlignment="1" applyProtection="1">
      <alignment horizontal="center"/>
    </xf>
    <xf numFmtId="173" fontId="13" fillId="20" borderId="1" xfId="18" applyNumberFormat="1" applyFont="1" applyFill="1" applyBorder="1" applyAlignment="1" applyProtection="1">
      <alignment vertical="center" wrapText="1"/>
    </xf>
    <xf numFmtId="171" fontId="13" fillId="20" borderId="1" xfId="18" applyNumberFormat="1" applyFont="1" applyFill="1" applyBorder="1" applyAlignment="1" applyProtection="1">
      <alignment horizontal="center" vertical="center" wrapText="1"/>
    </xf>
    <xf numFmtId="9" fontId="13" fillId="20" borderId="1" xfId="18" applyNumberFormat="1" applyFont="1" applyFill="1" applyBorder="1" applyAlignment="1" applyProtection="1">
      <alignment horizontal="center" vertical="center" wrapText="1"/>
    </xf>
    <xf numFmtId="173" fontId="13" fillId="20" borderId="1" xfId="18" applyNumberFormat="1" applyFont="1" applyFill="1" applyBorder="1" applyAlignment="1" applyProtection="1">
      <alignment horizontal="center" vertical="center" wrapText="1"/>
    </xf>
    <xf numFmtId="173" fontId="0" fillId="0" borderId="0" xfId="0" applyNumberFormat="1" applyProtection="1">
      <protection locked="0"/>
    </xf>
    <xf numFmtId="173" fontId="13" fillId="21" borderId="1" xfId="18" applyNumberFormat="1" applyFont="1" applyFill="1" applyBorder="1" applyAlignment="1" applyProtection="1">
      <alignment horizontal="center" vertical="center" wrapText="1"/>
    </xf>
    <xf numFmtId="173" fontId="14" fillId="22" borderId="1" xfId="18" applyNumberFormat="1" applyFont="1" applyFill="1" applyBorder="1" applyAlignment="1" applyProtection="1">
      <alignment vertical="top" wrapText="1"/>
    </xf>
    <xf numFmtId="173" fontId="14" fillId="22" borderId="1" xfId="18" applyNumberFormat="1" applyFont="1" applyFill="1" applyBorder="1" applyAlignment="1" applyProtection="1">
      <alignment horizontal="right" vertical="top" wrapText="1"/>
    </xf>
    <xf numFmtId="9" fontId="14" fillId="20" borderId="1" xfId="18" applyNumberFormat="1" applyFont="1" applyFill="1" applyBorder="1" applyAlignment="1" applyProtection="1">
      <alignment horizontal="right" vertical="top"/>
    </xf>
    <xf numFmtId="173" fontId="14" fillId="20" borderId="1" xfId="18" applyNumberFormat="1" applyFont="1" applyFill="1" applyBorder="1" applyAlignment="1" applyProtection="1">
      <alignment horizontal="right" vertical="top"/>
    </xf>
    <xf numFmtId="173" fontId="14" fillId="23" borderId="1" xfId="16" applyNumberFormat="1" applyFont="1" applyFill="1" applyBorder="1" applyAlignment="1" applyProtection="1">
      <alignment vertical="top" wrapText="1"/>
    </xf>
    <xf numFmtId="173" fontId="14" fillId="23" borderId="11" xfId="16" applyNumberFormat="1" applyFont="1" applyFill="1" applyBorder="1" applyAlignment="1" applyProtection="1">
      <alignment vertical="top" wrapText="1"/>
    </xf>
    <xf numFmtId="173" fontId="14" fillId="18" borderId="1" xfId="16" applyNumberFormat="1" applyFont="1" applyFill="1" applyBorder="1" applyAlignment="1" applyProtection="1">
      <alignment vertical="top"/>
    </xf>
    <xf numFmtId="173" fontId="14" fillId="18" borderId="1" xfId="16" applyNumberFormat="1" applyFont="1" applyFill="1" applyBorder="1" applyAlignment="1" applyProtection="1">
      <alignment vertical="top" wrapText="1"/>
    </xf>
    <xf numFmtId="0" fontId="13" fillId="20" borderId="12" xfId="55" applyFont="1" applyFill="1" applyBorder="1" applyAlignment="1" applyProtection="1">
      <alignment vertical="center"/>
    </xf>
    <xf numFmtId="173" fontId="13" fillId="20" borderId="1" xfId="55" applyNumberFormat="1" applyFont="1" applyFill="1" applyBorder="1" applyAlignment="1" applyProtection="1">
      <alignment vertical="center"/>
    </xf>
    <xf numFmtId="173" fontId="13" fillId="20" borderId="1" xfId="18" applyNumberFormat="1" applyFont="1" applyFill="1" applyBorder="1" applyAlignment="1" applyProtection="1">
      <alignment vertical="top"/>
    </xf>
    <xf numFmtId="173" fontId="14" fillId="0" borderId="1" xfId="18" applyNumberFormat="1" applyFont="1" applyFill="1" applyBorder="1" applyAlignment="1" applyProtection="1">
      <alignment horizontal="right" vertical="top"/>
      <protection locked="0"/>
    </xf>
    <xf numFmtId="9" fontId="0" fillId="25" borderId="1" xfId="0" applyNumberFormat="1" applyFill="1" applyBorder="1" applyProtection="1"/>
    <xf numFmtId="9" fontId="0" fillId="0" borderId="0" xfId="4" applyFont="1" applyProtection="1">
      <protection locked="0"/>
    </xf>
    <xf numFmtId="1" fontId="0" fillId="25" borderId="1" xfId="4" applyNumberFormat="1" applyFont="1" applyFill="1" applyBorder="1" applyProtection="1"/>
    <xf numFmtId="0" fontId="0" fillId="0" borderId="0" xfId="0" applyAlignment="1" applyProtection="1">
      <protection locked="0"/>
    </xf>
    <xf numFmtId="173" fontId="13" fillId="18" borderId="1" xfId="16" applyNumberFormat="1" applyFont="1" applyFill="1" applyBorder="1" applyAlignment="1" applyProtection="1">
      <alignment vertical="top" wrapText="1"/>
    </xf>
    <xf numFmtId="173" fontId="9" fillId="20" borderId="1" xfId="18" applyNumberFormat="1" applyFont="1" applyFill="1" applyBorder="1" applyAlignment="1" applyProtection="1">
      <alignment horizontal="right"/>
    </xf>
    <xf numFmtId="173" fontId="0" fillId="0" borderId="0" xfId="0" applyNumberFormat="1" applyProtection="1"/>
    <xf numFmtId="173" fontId="14" fillId="25" borderId="1" xfId="18" applyNumberFormat="1" applyFont="1" applyFill="1" applyBorder="1" applyAlignment="1" applyProtection="1">
      <alignment horizontal="right" vertical="top"/>
    </xf>
    <xf numFmtId="168" fontId="14" fillId="0" borderId="1" xfId="18" applyNumberFormat="1" applyFont="1" applyFill="1" applyBorder="1" applyAlignment="1" applyProtection="1">
      <alignment horizontal="right" vertical="top"/>
      <protection locked="0"/>
    </xf>
    <xf numFmtId="2" fontId="0" fillId="25" borderId="1" xfId="0" applyNumberFormat="1" applyFill="1" applyBorder="1" applyProtection="1"/>
    <xf numFmtId="2" fontId="19" fillId="25" borderId="14" xfId="55" applyNumberFormat="1" applyFont="1" applyFill="1" applyBorder="1" applyProtection="1"/>
    <xf numFmtId="40" fontId="0" fillId="25" borderId="1" xfId="0" applyNumberFormat="1" applyFill="1" applyBorder="1" applyProtection="1"/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173" fontId="14" fillId="0" borderId="0" xfId="18" applyNumberFormat="1" applyFont="1" applyFill="1" applyBorder="1" applyAlignment="1" applyProtection="1">
      <alignment vertical="top"/>
    </xf>
    <xf numFmtId="173" fontId="14" fillId="0" borderId="0" xfId="18" applyNumberFormat="1" applyFont="1" applyFill="1" applyBorder="1" applyAlignment="1" applyProtection="1">
      <alignment horizontal="center" vertical="center"/>
    </xf>
    <xf numFmtId="173" fontId="14" fillId="0" borderId="0" xfId="18" applyNumberFormat="1" applyFont="1" applyFill="1" applyBorder="1" applyAlignment="1" applyProtection="1">
      <alignment horizontal="right" vertical="top"/>
    </xf>
    <xf numFmtId="10" fontId="14" fillId="0" borderId="0" xfId="18" applyNumberFormat="1" applyFont="1" applyFill="1" applyBorder="1" applyAlignment="1" applyProtection="1">
      <alignment horizontal="right" vertical="top"/>
    </xf>
    <xf numFmtId="2" fontId="14" fillId="0" borderId="0" xfId="55" applyNumberFormat="1" applyFont="1" applyFill="1" applyBorder="1" applyAlignment="1" applyProtection="1">
      <alignment horizontal="right"/>
    </xf>
    <xf numFmtId="173" fontId="13" fillId="0" borderId="0" xfId="18" applyNumberFormat="1" applyFont="1" applyFill="1" applyBorder="1" applyAlignment="1" applyProtection="1">
      <alignment vertical="top"/>
    </xf>
    <xf numFmtId="10" fontId="13" fillId="0" borderId="0" xfId="18" applyNumberFormat="1" applyFont="1" applyFill="1" applyBorder="1" applyAlignment="1" applyProtection="1">
      <alignment horizontal="right" vertical="top"/>
    </xf>
    <xf numFmtId="173" fontId="13" fillId="21" borderId="13" xfId="18" applyNumberFormat="1" applyFont="1" applyFill="1" applyBorder="1" applyAlignment="1" applyProtection="1">
      <alignment horizontal="center" vertical="center" wrapText="1"/>
    </xf>
    <xf numFmtId="0" fontId="0" fillId="18" borderId="1" xfId="0" applyFont="1" applyFill="1" applyBorder="1" applyProtection="1"/>
    <xf numFmtId="41" fontId="0" fillId="18" borderId="1" xfId="0" applyNumberFormat="1" applyFill="1" applyBorder="1" applyProtection="1"/>
    <xf numFmtId="173" fontId="14" fillId="18" borderId="1" xfId="18" applyNumberFormat="1" applyFont="1" applyFill="1" applyBorder="1" applyAlignment="1" applyProtection="1">
      <alignment horizontal="right" vertical="top"/>
    </xf>
    <xf numFmtId="9" fontId="0" fillId="18" borderId="1" xfId="0" applyNumberFormat="1" applyFill="1" applyBorder="1" applyProtection="1"/>
    <xf numFmtId="0" fontId="0" fillId="18" borderId="1" xfId="0" applyFill="1" applyBorder="1" applyProtection="1"/>
    <xf numFmtId="9" fontId="0" fillId="18" borderId="1" xfId="4" applyNumberFormat="1" applyFont="1" applyFill="1" applyBorder="1" applyProtection="1"/>
    <xf numFmtId="0" fontId="3" fillId="18" borderId="1" xfId="0" applyFont="1" applyFill="1" applyBorder="1" applyProtection="1"/>
    <xf numFmtId="41" fontId="3" fillId="18" borderId="1" xfId="0" applyNumberFormat="1" applyFont="1" applyFill="1" applyBorder="1" applyProtection="1"/>
    <xf numFmtId="9" fontId="0" fillId="18" borderId="1" xfId="4" applyFont="1" applyFill="1" applyBorder="1" applyProtection="1"/>
    <xf numFmtId="175" fontId="0" fillId="18" borderId="1" xfId="0" applyNumberFormat="1" applyFill="1" applyBorder="1" applyProtection="1"/>
    <xf numFmtId="175" fontId="3" fillId="18" borderId="1" xfId="0" applyNumberFormat="1" applyFont="1" applyFill="1" applyBorder="1" applyProtection="1"/>
    <xf numFmtId="175" fontId="0" fillId="18" borderId="1" xfId="1" applyNumberFormat="1" applyFont="1" applyFill="1" applyBorder="1" applyProtection="1"/>
    <xf numFmtId="2" fontId="0" fillId="18" borderId="1" xfId="0" applyNumberFormat="1" applyFill="1" applyBorder="1" applyProtection="1"/>
    <xf numFmtId="1" fontId="0" fillId="18" borderId="1" xfId="0" applyNumberFormat="1" applyFont="1" applyFill="1" applyBorder="1" applyProtection="1"/>
    <xf numFmtId="173" fontId="13" fillId="18" borderId="1" xfId="16" applyNumberFormat="1" applyFont="1" applyFill="1" applyBorder="1" applyAlignment="1" applyProtection="1">
      <alignment vertical="top"/>
    </xf>
    <xf numFmtId="0" fontId="0" fillId="0" borderId="0" xfId="0" applyFill="1" applyBorder="1" applyProtection="1"/>
    <xf numFmtId="0" fontId="20" fillId="18" borderId="42" xfId="0" applyFont="1" applyFill="1" applyBorder="1" applyAlignment="1" applyProtection="1">
      <alignment vertical="center"/>
    </xf>
    <xf numFmtId="0" fontId="20" fillId="0" borderId="29" xfId="0" applyFont="1" applyBorder="1" applyAlignment="1" applyProtection="1">
      <alignment horizontal="center" vertical="center"/>
      <protection locked="0"/>
    </xf>
    <xf numFmtId="0" fontId="21" fillId="18" borderId="29" xfId="0" applyFont="1" applyFill="1" applyBorder="1" applyAlignment="1" applyProtection="1">
      <alignment horizontal="center" vertical="center"/>
    </xf>
    <xf numFmtId="0" fontId="21" fillId="18" borderId="42" xfId="0" applyFont="1" applyFill="1" applyBorder="1" applyAlignment="1" applyProtection="1">
      <alignment vertical="center" wrapText="1"/>
    </xf>
    <xf numFmtId="0" fontId="20" fillId="18" borderId="29" xfId="0" applyFont="1" applyFill="1" applyBorder="1" applyAlignment="1" applyProtection="1">
      <alignment horizontal="center" vertical="center"/>
    </xf>
    <xf numFmtId="0" fontId="0" fillId="0" borderId="0" xfId="0" applyFont="1" applyFill="1" applyProtection="1"/>
    <xf numFmtId="0" fontId="23" fillId="0" borderId="0" xfId="0" applyFont="1" applyFill="1" applyBorder="1" applyAlignment="1" applyProtection="1">
      <alignment vertical="top"/>
    </xf>
    <xf numFmtId="0" fontId="0" fillId="0" borderId="0" xfId="0" applyFont="1" applyFill="1" applyBorder="1" applyProtection="1"/>
    <xf numFmtId="171" fontId="24" fillId="26" borderId="42" xfId="0" applyNumberFormat="1" applyFont="1" applyFill="1" applyBorder="1" applyAlignment="1" applyProtection="1">
      <alignment horizontal="center" vertical="top"/>
    </xf>
    <xf numFmtId="171" fontId="24" fillId="26" borderId="29" xfId="0" applyNumberFormat="1" applyFont="1" applyFill="1" applyBorder="1" applyAlignment="1" applyProtection="1">
      <alignment horizontal="center" vertical="top"/>
    </xf>
    <xf numFmtId="171" fontId="24" fillId="0" borderId="61" xfId="0" applyNumberFormat="1" applyFont="1" applyFill="1" applyBorder="1" applyAlignment="1" applyProtection="1">
      <alignment horizontal="center" vertical="top"/>
      <protection locked="0"/>
    </xf>
    <xf numFmtId="171" fontId="24" fillId="0" borderId="0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vertical="top"/>
    </xf>
    <xf numFmtId="0" fontId="25" fillId="26" borderId="42" xfId="0" applyFont="1" applyFill="1" applyBorder="1" applyAlignment="1" applyProtection="1">
      <alignment vertical="top"/>
    </xf>
    <xf numFmtId="0" fontId="24" fillId="0" borderId="1" xfId="0" applyFont="1" applyFill="1" applyBorder="1" applyAlignment="1" applyProtection="1">
      <alignment horizontal="center" vertical="top"/>
    </xf>
    <xf numFmtId="0" fontId="24" fillId="0" borderId="29" xfId="0" applyFont="1" applyFill="1" applyBorder="1" applyAlignment="1" applyProtection="1">
      <alignment horizontal="center" vertical="top"/>
    </xf>
    <xf numFmtId="0" fontId="25" fillId="26" borderId="56" xfId="0" applyFont="1" applyFill="1" applyBorder="1" applyAlignment="1" applyProtection="1">
      <alignment vertical="top"/>
    </xf>
    <xf numFmtId="15" fontId="3" fillId="0" borderId="1" xfId="0" applyNumberFormat="1" applyFont="1" applyBorder="1" applyAlignment="1">
      <alignment horizontal="center"/>
    </xf>
    <xf numFmtId="41" fontId="23" fillId="2" borderId="42" xfId="0" applyNumberFormat="1" applyFont="1" applyFill="1" applyBorder="1" applyAlignment="1" applyProtection="1">
      <alignment vertical="top" wrapText="1"/>
    </xf>
    <xf numFmtId="0" fontId="0" fillId="0" borderId="42" xfId="0" applyNumberFormat="1" applyFont="1" applyFill="1" applyBorder="1" applyAlignment="1" applyProtection="1">
      <alignment vertical="top"/>
    </xf>
    <xf numFmtId="3" fontId="26" fillId="0" borderId="1" xfId="11" applyNumberFormat="1" applyFont="1" applyBorder="1" applyAlignment="1" applyProtection="1">
      <alignment horizontal="right"/>
    </xf>
    <xf numFmtId="9" fontId="0" fillId="2" borderId="1" xfId="4" applyFont="1" applyFill="1" applyBorder="1" applyAlignment="1" applyProtection="1">
      <alignment horizontal="right" vertical="top"/>
    </xf>
    <xf numFmtId="41" fontId="0" fillId="0" borderId="29" xfId="0" applyNumberFormat="1" applyFont="1" applyFill="1" applyBorder="1" applyAlignment="1" applyProtection="1">
      <alignment horizontal="right" vertical="top"/>
    </xf>
    <xf numFmtId="0" fontId="3" fillId="2" borderId="42" xfId="0" applyFont="1" applyFill="1" applyBorder="1" applyAlignment="1" applyProtection="1">
      <alignment vertical="top"/>
    </xf>
    <xf numFmtId="171" fontId="3" fillId="2" borderId="1" xfId="0" applyNumberFormat="1" applyFont="1" applyFill="1" applyBorder="1" applyAlignment="1" applyProtection="1">
      <alignment vertical="top"/>
    </xf>
    <xf numFmtId="0" fontId="0" fillId="0" borderId="42" xfId="0" applyNumberFormat="1" applyFont="1" applyFill="1" applyBorder="1" applyAlignment="1" applyProtection="1">
      <alignment vertical="top" wrapText="1"/>
    </xf>
    <xf numFmtId="0" fontId="0" fillId="2" borderId="42" xfId="0" applyFont="1" applyFill="1" applyBorder="1" applyProtection="1"/>
    <xf numFmtId="175" fontId="0" fillId="2" borderId="1" xfId="0" applyNumberFormat="1" applyFont="1" applyFill="1" applyBorder="1" applyProtection="1"/>
    <xf numFmtId="0" fontId="23" fillId="2" borderId="42" xfId="0" applyNumberFormat="1" applyFont="1" applyFill="1" applyBorder="1" applyAlignment="1" applyProtection="1">
      <alignment vertical="top" wrapText="1"/>
    </xf>
    <xf numFmtId="41" fontId="0" fillId="2" borderId="1" xfId="0" applyNumberFormat="1" applyFont="1" applyFill="1" applyBorder="1" applyAlignment="1" applyProtection="1">
      <alignment horizontal="right" vertical="top"/>
    </xf>
    <xf numFmtId="0" fontId="0" fillId="2" borderId="1" xfId="0" applyFont="1" applyFill="1" applyBorder="1" applyProtection="1"/>
    <xf numFmtId="0" fontId="9" fillId="0" borderId="42" xfId="0" applyNumberFormat="1" applyFont="1" applyFill="1" applyBorder="1" applyAlignment="1" applyProtection="1">
      <alignment vertical="top" wrapText="1"/>
      <protection locked="0"/>
    </xf>
    <xf numFmtId="41" fontId="0" fillId="0" borderId="1" xfId="0" applyNumberFormat="1" applyFont="1" applyFill="1" applyBorder="1" applyAlignment="1" applyProtection="1">
      <alignment horizontal="right" vertical="top"/>
    </xf>
    <xf numFmtId="41" fontId="0" fillId="0" borderId="0" xfId="0" applyNumberFormat="1" applyFont="1" applyFill="1" applyBorder="1" applyProtection="1"/>
    <xf numFmtId="0" fontId="0" fillId="0" borderId="42" xfId="0" applyNumberFormat="1" applyFont="1" applyFill="1" applyBorder="1" applyAlignment="1" applyProtection="1">
      <alignment vertical="top" wrapText="1"/>
      <protection locked="0"/>
    </xf>
    <xf numFmtId="1" fontId="0" fillId="2" borderId="1" xfId="0" applyNumberFormat="1" applyFont="1" applyFill="1" applyBorder="1" applyProtection="1"/>
    <xf numFmtId="41" fontId="24" fillId="2" borderId="1" xfId="0" applyNumberFormat="1" applyFont="1" applyFill="1" applyBorder="1" applyAlignment="1" applyProtection="1">
      <alignment vertical="top"/>
    </xf>
    <xf numFmtId="9" fontId="0" fillId="2" borderId="1" xfId="4" applyNumberFormat="1" applyFont="1" applyFill="1" applyBorder="1" applyProtection="1"/>
    <xf numFmtId="0" fontId="9" fillId="0" borderId="42" xfId="0" applyNumberFormat="1" applyFont="1" applyFill="1" applyBorder="1" applyAlignment="1" applyProtection="1">
      <alignment vertical="top" wrapText="1"/>
    </xf>
    <xf numFmtId="0" fontId="0" fillId="2" borderId="56" xfId="0" applyFont="1" applyFill="1" applyBorder="1" applyProtection="1"/>
    <xf numFmtId="1" fontId="0" fillId="2" borderId="63" xfId="0" applyNumberFormat="1" applyFont="1" applyFill="1" applyBorder="1" applyProtection="1"/>
    <xf numFmtId="0" fontId="3" fillId="2" borderId="42" xfId="0" applyFont="1" applyFill="1" applyBorder="1" applyProtection="1"/>
    <xf numFmtId="171" fontId="3" fillId="2" borderId="1" xfId="0" applyNumberFormat="1" applyFont="1" applyFill="1" applyBorder="1" applyAlignment="1" applyProtection="1">
      <alignment horizontal="center"/>
    </xf>
    <xf numFmtId="1" fontId="0" fillId="2" borderId="1" xfId="0" applyNumberFormat="1" applyFont="1" applyFill="1" applyBorder="1" applyAlignment="1" applyProtection="1">
      <alignment horizontal="center"/>
    </xf>
    <xf numFmtId="41" fontId="23" fillId="2" borderId="1" xfId="0" applyNumberFormat="1" applyFont="1" applyFill="1" applyBorder="1" applyAlignment="1" applyProtection="1">
      <alignment vertical="top" wrapText="1"/>
    </xf>
    <xf numFmtId="0" fontId="24" fillId="2" borderId="56" xfId="0" applyNumberFormat="1" applyFont="1" applyFill="1" applyBorder="1" applyAlignment="1" applyProtection="1">
      <alignment vertical="top" wrapText="1"/>
    </xf>
    <xf numFmtId="41" fontId="3" fillId="2" borderId="1" xfId="0" applyNumberFormat="1" applyFont="1" applyFill="1" applyBorder="1" applyAlignment="1" applyProtection="1">
      <alignment horizontal="right" vertical="top"/>
    </xf>
    <xf numFmtId="0" fontId="0" fillId="2" borderId="1" xfId="0" applyNumberFormat="1" applyFont="1" applyFill="1" applyBorder="1" applyAlignment="1" applyProtection="1">
      <alignment horizontal="center"/>
    </xf>
    <xf numFmtId="41" fontId="24" fillId="2" borderId="63" xfId="0" applyNumberFormat="1" applyFont="1" applyFill="1" applyBorder="1" applyAlignment="1" applyProtection="1">
      <alignment vertical="top"/>
    </xf>
    <xf numFmtId="174" fontId="0" fillId="0" borderId="57" xfId="0" applyNumberFormat="1" applyFont="1" applyFill="1" applyBorder="1" applyAlignment="1" applyProtection="1">
      <alignment horizontal="right" vertical="top"/>
    </xf>
    <xf numFmtId="0" fontId="3" fillId="27" borderId="2" xfId="0" applyFont="1" applyFill="1" applyBorder="1" applyAlignment="1" applyProtection="1">
      <alignment wrapText="1"/>
    </xf>
    <xf numFmtId="0" fontId="0" fillId="0" borderId="9" xfId="0" applyFont="1" applyBorder="1" applyProtection="1"/>
    <xf numFmtId="0" fontId="0" fillId="0" borderId="41" xfId="0" applyFont="1" applyBorder="1" applyProtection="1"/>
    <xf numFmtId="41" fontId="0" fillId="0" borderId="0" xfId="0" applyNumberFormat="1" applyFont="1" applyProtection="1"/>
    <xf numFmtId="0" fontId="3" fillId="27" borderId="39" xfId="0" applyFont="1" applyFill="1" applyBorder="1" applyProtection="1"/>
    <xf numFmtId="2" fontId="0" fillId="2" borderId="1" xfId="0" applyNumberFormat="1" applyFont="1" applyFill="1" applyBorder="1" applyAlignment="1" applyProtection="1">
      <alignment horizontal="center"/>
    </xf>
    <xf numFmtId="0" fontId="3" fillId="27" borderId="64" xfId="0" applyFont="1" applyFill="1" applyBorder="1" applyProtection="1"/>
    <xf numFmtId="0" fontId="0" fillId="0" borderId="65" xfId="0" applyFont="1" applyBorder="1" applyProtection="1"/>
    <xf numFmtId="0" fontId="0" fillId="0" borderId="66" xfId="0" applyFont="1" applyBorder="1" applyProtection="1"/>
    <xf numFmtId="0" fontId="0" fillId="0" borderId="59" xfId="0" applyFont="1" applyBorder="1" applyProtection="1"/>
    <xf numFmtId="0" fontId="0" fillId="0" borderId="60" xfId="0" applyFont="1" applyBorder="1" applyProtection="1"/>
    <xf numFmtId="2" fontId="0" fillId="2" borderId="63" xfId="0" applyNumberFormat="1" applyFont="1" applyFill="1" applyBorder="1" applyAlignment="1" applyProtection="1">
      <alignment horizontal="center"/>
    </xf>
    <xf numFmtId="171" fontId="24" fillId="2" borderId="42" xfId="0" applyNumberFormat="1" applyFont="1" applyFill="1" applyBorder="1" applyAlignment="1" applyProtection="1">
      <alignment horizontal="center" vertical="top"/>
    </xf>
    <xf numFmtId="171" fontId="24" fillId="2" borderId="1" xfId="0" applyNumberFormat="1" applyFont="1" applyFill="1" applyBorder="1" applyAlignment="1" applyProtection="1">
      <alignment horizontal="center" vertical="top"/>
    </xf>
    <xf numFmtId="171" fontId="24" fillId="2" borderId="29" xfId="0" applyNumberFormat="1" applyFont="1" applyFill="1" applyBorder="1" applyAlignment="1" applyProtection="1">
      <alignment horizontal="center" vertical="top"/>
    </xf>
    <xf numFmtId="0" fontId="28" fillId="0" borderId="42" xfId="0" applyNumberFormat="1" applyFont="1" applyFill="1" applyBorder="1" applyAlignment="1" applyProtection="1">
      <alignment vertical="top" wrapText="1"/>
    </xf>
    <xf numFmtId="0" fontId="0" fillId="0" borderId="29" xfId="0" applyFont="1" applyBorder="1" applyProtection="1"/>
    <xf numFmtId="0" fontId="0" fillId="0" borderId="0" xfId="0" applyFont="1" applyFill="1" applyBorder="1" applyAlignment="1" applyProtection="1">
      <alignment horizontal="center"/>
    </xf>
    <xf numFmtId="41" fontId="3" fillId="0" borderId="0" xfId="0" applyNumberFormat="1" applyFont="1" applyFill="1" applyBorder="1" applyAlignment="1" applyProtection="1">
      <alignment horizontal="center" vertical="top" wrapText="1"/>
    </xf>
    <xf numFmtId="174" fontId="0" fillId="0" borderId="0" xfId="0" applyNumberFormat="1" applyFont="1" applyProtection="1"/>
    <xf numFmtId="9" fontId="0" fillId="0" borderId="0" xfId="4" applyFont="1" applyProtection="1"/>
    <xf numFmtId="0" fontId="3" fillId="2" borderId="42" xfId="0" applyNumberFormat="1" applyFont="1" applyFill="1" applyBorder="1" applyAlignment="1" applyProtection="1">
      <alignment vertical="top" wrapText="1"/>
    </xf>
    <xf numFmtId="3" fontId="26" fillId="0" borderId="1" xfId="11" applyNumberFormat="1" applyFont="1" applyFill="1" applyBorder="1" applyProtection="1"/>
    <xf numFmtId="3" fontId="26" fillId="0" borderId="1" xfId="51" applyNumberFormat="1" applyFont="1" applyBorder="1" applyAlignment="1" applyProtection="1">
      <alignment horizontal="right"/>
    </xf>
    <xf numFmtId="3" fontId="26" fillId="0" borderId="1" xfId="51" applyNumberFormat="1" applyFont="1" applyFill="1" applyBorder="1" applyProtection="1"/>
    <xf numFmtId="0" fontId="24" fillId="2" borderId="42" xfId="0" applyNumberFormat="1" applyFont="1" applyFill="1" applyBorder="1" applyAlignment="1" applyProtection="1">
      <alignment vertical="top" wrapText="1"/>
    </xf>
    <xf numFmtId="41" fontId="24" fillId="2" borderId="1" xfId="0" applyNumberFormat="1" applyFont="1" applyFill="1" applyBorder="1" applyAlignment="1" applyProtection="1">
      <alignment horizontal="right" vertical="top"/>
    </xf>
    <xf numFmtId="16" fontId="0" fillId="0" borderId="0" xfId="0" applyNumberFormat="1" applyFont="1" applyFill="1" applyBorder="1" applyProtection="1"/>
    <xf numFmtId="41" fontId="0" fillId="0" borderId="1" xfId="0" applyNumberFormat="1" applyFont="1" applyFill="1" applyBorder="1" applyAlignment="1" applyProtection="1">
      <alignment horizontal="center" vertical="top"/>
    </xf>
    <xf numFmtId="0" fontId="9" fillId="28" borderId="42" xfId="0" applyNumberFormat="1" applyFont="1" applyFill="1" applyBorder="1" applyAlignment="1" applyProtection="1">
      <alignment vertical="top" wrapText="1"/>
    </xf>
    <xf numFmtId="41" fontId="9" fillId="0" borderId="42" xfId="0" applyNumberFormat="1" applyFont="1" applyFill="1" applyBorder="1" applyAlignment="1" applyProtection="1">
      <alignment horizontal="center" vertical="top" wrapText="1"/>
    </xf>
    <xf numFmtId="41" fontId="9" fillId="14" borderId="42" xfId="0" applyNumberFormat="1" applyFont="1" applyFill="1" applyBorder="1" applyAlignment="1" applyProtection="1">
      <alignment horizontal="center" vertical="top" wrapText="1"/>
    </xf>
    <xf numFmtId="41" fontId="0" fillId="14" borderId="1" xfId="0" applyNumberFormat="1" applyFont="1" applyFill="1" applyBorder="1" applyAlignment="1" applyProtection="1">
      <alignment horizontal="right" vertical="top"/>
    </xf>
    <xf numFmtId="0" fontId="0" fillId="0" borderId="0" xfId="0" applyFont="1" applyBorder="1" applyProtection="1"/>
    <xf numFmtId="171" fontId="3" fillId="2" borderId="29" xfId="0" applyNumberFormat="1" applyFont="1" applyFill="1" applyBorder="1" applyAlignment="1" applyProtection="1">
      <alignment vertical="top"/>
    </xf>
    <xf numFmtId="175" fontId="0" fillId="2" borderId="29" xfId="0" applyNumberFormat="1" applyFont="1" applyFill="1" applyBorder="1" applyProtection="1"/>
    <xf numFmtId="9" fontId="0" fillId="2" borderId="29" xfId="4" applyNumberFormat="1" applyFont="1" applyFill="1" applyBorder="1" applyProtection="1"/>
    <xf numFmtId="1" fontId="0" fillId="2" borderId="29" xfId="0" applyNumberFormat="1" applyFont="1" applyFill="1" applyBorder="1" applyProtection="1"/>
    <xf numFmtId="0" fontId="3" fillId="0" borderId="0" xfId="0" applyFont="1" applyProtection="1"/>
    <xf numFmtId="0" fontId="3" fillId="0" borderId="0" xfId="0" applyFont="1" applyFill="1" applyBorder="1" applyProtection="1"/>
    <xf numFmtId="9" fontId="0" fillId="2" borderId="29" xfId="4" applyFont="1" applyFill="1" applyBorder="1" applyProtection="1"/>
    <xf numFmtId="1" fontId="0" fillId="2" borderId="57" xfId="0" applyNumberFormat="1" applyFont="1" applyFill="1" applyBorder="1" applyProtection="1"/>
    <xf numFmtId="171" fontId="3" fillId="2" borderId="29" xfId="0" applyNumberFormat="1" applyFon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0" fillId="2" borderId="29" xfId="0" applyNumberFormat="1" applyFont="1" applyFill="1" applyBorder="1" applyAlignment="1" applyProtection="1">
      <alignment horizontal="center"/>
    </xf>
    <xf numFmtId="0" fontId="3" fillId="0" borderId="0" xfId="0" applyFont="1" applyProtection="1">
      <protection locked="0"/>
    </xf>
    <xf numFmtId="2" fontId="0" fillId="2" borderId="29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wrapText="1"/>
    </xf>
    <xf numFmtId="2" fontId="0" fillId="2" borderId="57" xfId="0" applyNumberFormat="1" applyFont="1" applyFill="1" applyBorder="1" applyAlignment="1" applyProtection="1">
      <alignment horizontal="center"/>
    </xf>
    <xf numFmtId="174" fontId="3" fillId="0" borderId="0" xfId="0" applyNumberFormat="1" applyFont="1" applyFill="1" applyBorder="1" applyAlignment="1" applyProtection="1"/>
    <xf numFmtId="174" fontId="0" fillId="0" borderId="0" xfId="0" applyNumberFormat="1" applyFont="1" applyFill="1" applyProtection="1"/>
    <xf numFmtId="9" fontId="0" fillId="0" borderId="0" xfId="4" applyFont="1" applyFill="1" applyProtection="1"/>
    <xf numFmtId="0" fontId="4" fillId="0" borderId="42" xfId="0" applyNumberFormat="1" applyFont="1" applyFill="1" applyBorder="1" applyAlignment="1" applyProtection="1">
      <alignment vertical="top" wrapText="1"/>
    </xf>
    <xf numFmtId="0" fontId="29" fillId="28" borderId="56" xfId="0" applyFont="1" applyFill="1" applyBorder="1" applyAlignment="1" applyProtection="1">
      <alignment vertical="top" wrapText="1"/>
    </xf>
    <xf numFmtId="2" fontId="29" fillId="28" borderId="63" xfId="0" applyNumberFormat="1" applyFont="1" applyFill="1" applyBorder="1" applyAlignment="1" applyProtection="1">
      <alignment horizontal="right" vertical="top"/>
    </xf>
    <xf numFmtId="41" fontId="0" fillId="0" borderId="63" xfId="0" applyNumberFormat="1" applyFont="1" applyFill="1" applyBorder="1" applyAlignment="1" applyProtection="1">
      <alignment horizontal="right" vertical="top"/>
    </xf>
    <xf numFmtId="41" fontId="0" fillId="0" borderId="57" xfId="0" applyNumberFormat="1" applyFont="1" applyFill="1" applyBorder="1" applyAlignment="1" applyProtection="1">
      <alignment horizontal="right" vertical="top"/>
    </xf>
    <xf numFmtId="0" fontId="23" fillId="0" borderId="0" xfId="0" applyFont="1" applyFill="1" applyBorder="1" applyAlignment="1" applyProtection="1">
      <alignment horizontal="center" vertical="top"/>
    </xf>
    <xf numFmtId="171" fontId="3" fillId="0" borderId="0" xfId="0" applyNumberFormat="1" applyFont="1" applyFill="1" applyBorder="1" applyAlignment="1" applyProtection="1">
      <alignment vertical="top"/>
    </xf>
    <xf numFmtId="43" fontId="0" fillId="0" borderId="0" xfId="0" applyNumberFormat="1" applyFont="1" applyFill="1" applyBorder="1" applyProtection="1"/>
    <xf numFmtId="10" fontId="0" fillId="0" borderId="0" xfId="4" applyNumberFormat="1" applyFont="1" applyFill="1" applyBorder="1" applyProtection="1"/>
    <xf numFmtId="2" fontId="0" fillId="0" borderId="0" xfId="0" applyNumberFormat="1" applyFont="1" applyFill="1" applyBorder="1" applyProtection="1"/>
    <xf numFmtId="171" fontId="3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vertical="top"/>
      <protection locked="0"/>
    </xf>
    <xf numFmtId="0" fontId="0" fillId="0" borderId="0" xfId="0" applyFont="1" applyFill="1" applyBorder="1" applyProtection="1">
      <protection locked="0"/>
    </xf>
    <xf numFmtId="171" fontId="24" fillId="26" borderId="42" xfId="0" applyNumberFormat="1" applyFont="1" applyFill="1" applyBorder="1" applyAlignment="1" applyProtection="1">
      <alignment horizontal="center" vertical="top"/>
      <protection locked="0"/>
    </xf>
    <xf numFmtId="171" fontId="24" fillId="0" borderId="0" xfId="0" applyNumberFormat="1" applyFont="1" applyFill="1" applyBorder="1" applyAlignment="1" applyProtection="1">
      <alignment horizontal="center"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25" fillId="26" borderId="42" xfId="0" applyFont="1" applyFill="1" applyBorder="1" applyAlignment="1" applyProtection="1">
      <alignment vertical="top"/>
      <protection locked="0"/>
    </xf>
    <xf numFmtId="0" fontId="24" fillId="0" borderId="1" xfId="0" applyFont="1" applyFill="1" applyBorder="1" applyAlignment="1" applyProtection="1">
      <alignment horizontal="center" vertical="top"/>
      <protection locked="0"/>
    </xf>
    <xf numFmtId="0" fontId="24" fillId="0" borderId="29" xfId="0" applyFont="1" applyFill="1" applyBorder="1" applyAlignment="1" applyProtection="1">
      <alignment horizontal="center" vertical="top"/>
      <protection locked="0"/>
    </xf>
    <xf numFmtId="0" fontId="25" fillId="26" borderId="56" xfId="0" applyFont="1" applyFill="1" applyBorder="1" applyAlignment="1" applyProtection="1">
      <alignment vertical="top"/>
      <protection locked="0"/>
    </xf>
    <xf numFmtId="41" fontId="23" fillId="2" borderId="42" xfId="0" applyNumberFormat="1" applyFont="1" applyFill="1" applyBorder="1" applyAlignment="1" applyProtection="1">
      <alignment vertical="top" wrapText="1"/>
      <protection locked="0"/>
    </xf>
    <xf numFmtId="41" fontId="0" fillId="0" borderId="42" xfId="0" applyNumberFormat="1" applyFont="1" applyFill="1" applyBorder="1" applyAlignment="1" applyProtection="1">
      <alignment vertical="top"/>
      <protection locked="0"/>
    </xf>
    <xf numFmtId="3" fontId="30" fillId="0" borderId="1" xfId="11" applyNumberFormat="1" applyFont="1" applyBorder="1" applyAlignment="1" applyProtection="1">
      <alignment horizontal="right"/>
      <protection locked="0"/>
    </xf>
    <xf numFmtId="41" fontId="0" fillId="0" borderId="29" xfId="0" applyNumberFormat="1" applyFont="1" applyFill="1" applyBorder="1" applyAlignment="1" applyProtection="1">
      <alignment horizontal="right" vertical="top"/>
      <protection locked="0"/>
    </xf>
    <xf numFmtId="41" fontId="0" fillId="0" borderId="42" xfId="0" applyNumberFormat="1" applyFont="1" applyFill="1" applyBorder="1" applyAlignment="1" applyProtection="1">
      <alignment vertical="top" wrapText="1"/>
      <protection locked="0"/>
    </xf>
    <xf numFmtId="41" fontId="0" fillId="0" borderId="1" xfId="0" applyNumberFormat="1" applyFont="1" applyFill="1" applyBorder="1" applyAlignment="1" applyProtection="1">
      <alignment horizontal="right" vertical="top"/>
      <protection locked="0"/>
    </xf>
    <xf numFmtId="41" fontId="0" fillId="0" borderId="0" xfId="0" applyNumberFormat="1" applyFont="1" applyFill="1" applyBorder="1" applyProtection="1">
      <protection locked="0"/>
    </xf>
    <xf numFmtId="41" fontId="9" fillId="0" borderId="42" xfId="0" applyNumberFormat="1" applyFont="1" applyFill="1" applyBorder="1" applyAlignment="1" applyProtection="1">
      <alignment vertical="top" wrapText="1"/>
      <protection locked="0"/>
    </xf>
    <xf numFmtId="41" fontId="24" fillId="2" borderId="56" xfId="0" applyNumberFormat="1" applyFont="1" applyFill="1" applyBorder="1" applyAlignment="1" applyProtection="1">
      <alignment vertical="top" wrapText="1"/>
      <protection locked="0"/>
    </xf>
    <xf numFmtId="3" fontId="30" fillId="0" borderId="1" xfId="51" applyNumberFormat="1" applyFont="1" applyBorder="1" applyAlignment="1" applyProtection="1">
      <alignment horizontal="right"/>
      <protection locked="0"/>
    </xf>
    <xf numFmtId="174" fontId="0" fillId="0" borderId="57" xfId="0" applyNumberFormat="1" applyFont="1" applyFill="1" applyBorder="1" applyAlignment="1" applyProtection="1">
      <alignment horizontal="right" vertical="top"/>
      <protection locked="0"/>
    </xf>
    <xf numFmtId="0" fontId="0" fillId="0" borderId="43" xfId="0" applyFont="1" applyBorder="1" applyProtection="1">
      <protection locked="0"/>
    </xf>
    <xf numFmtId="0" fontId="0" fillId="0" borderId="44" xfId="0" applyFont="1" applyBorder="1" applyProtection="1">
      <protection locked="0"/>
    </xf>
    <xf numFmtId="0" fontId="0" fillId="0" borderId="9" xfId="0" applyFont="1" applyBorder="1" applyProtection="1">
      <protection locked="0"/>
    </xf>
    <xf numFmtId="0" fontId="0" fillId="0" borderId="41" xfId="0" applyFont="1" applyBorder="1" applyProtection="1">
      <protection locked="0"/>
    </xf>
    <xf numFmtId="0" fontId="0" fillId="0" borderId="67" xfId="0" applyFont="1" applyBorder="1" applyProtection="1"/>
    <xf numFmtId="171" fontId="24" fillId="2" borderId="42" xfId="0" applyNumberFormat="1" applyFont="1" applyFill="1" applyBorder="1" applyAlignment="1" applyProtection="1">
      <alignment horizontal="center" vertical="top"/>
      <protection locked="0"/>
    </xf>
    <xf numFmtId="41" fontId="28" fillId="0" borderId="42" xfId="0" applyNumberFormat="1" applyFont="1" applyFill="1" applyBorder="1" applyAlignment="1" applyProtection="1">
      <alignment vertical="top" wrapText="1"/>
      <protection locked="0"/>
    </xf>
    <xf numFmtId="0" fontId="0" fillId="0" borderId="29" xfId="0" applyFont="1" applyBorder="1" applyProtection="1"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41" fontId="3" fillId="0" borderId="0" xfId="0" applyNumberFormat="1" applyFont="1" applyFill="1" applyBorder="1" applyAlignment="1" applyProtection="1">
      <alignment horizontal="center" vertical="top" wrapText="1"/>
      <protection locked="0"/>
    </xf>
    <xf numFmtId="41" fontId="0" fillId="0" borderId="0" xfId="0" applyNumberFormat="1" applyFont="1" applyProtection="1">
      <protection locked="0"/>
    </xf>
    <xf numFmtId="174" fontId="0" fillId="0" borderId="0" xfId="0" applyNumberFormat="1" applyFont="1" applyProtection="1">
      <protection locked="0"/>
    </xf>
    <xf numFmtId="41" fontId="3" fillId="2" borderId="42" xfId="0" applyNumberFormat="1" applyFont="1" applyFill="1" applyBorder="1" applyAlignment="1" applyProtection="1">
      <alignment vertical="top" wrapText="1"/>
      <protection locked="0"/>
    </xf>
    <xf numFmtId="3" fontId="26" fillId="0" borderId="1" xfId="11" applyNumberFormat="1" applyFont="1" applyFill="1" applyBorder="1" applyProtection="1">
      <protection locked="0"/>
    </xf>
    <xf numFmtId="3" fontId="26" fillId="0" borderId="1" xfId="51" applyNumberFormat="1" applyFont="1" applyBorder="1" applyAlignment="1" applyProtection="1">
      <alignment horizontal="right"/>
      <protection locked="0"/>
    </xf>
    <xf numFmtId="3" fontId="26" fillId="0" borderId="1" xfId="51" applyNumberFormat="1" applyFont="1" applyFill="1" applyBorder="1" applyProtection="1">
      <protection locked="0"/>
    </xf>
    <xf numFmtId="41" fontId="24" fillId="2" borderId="42" xfId="0" applyNumberFormat="1" applyFont="1" applyFill="1" applyBorder="1" applyAlignment="1" applyProtection="1">
      <alignment vertical="top" wrapText="1"/>
      <protection locked="0"/>
    </xf>
    <xf numFmtId="16" fontId="0" fillId="0" borderId="0" xfId="0" applyNumberFormat="1" applyFont="1" applyFill="1" applyBorder="1" applyProtection="1">
      <protection locked="0"/>
    </xf>
    <xf numFmtId="41" fontId="0" fillId="0" borderId="1" xfId="0" applyNumberFormat="1" applyFont="1" applyFill="1" applyBorder="1" applyAlignment="1" applyProtection="1">
      <alignment horizontal="center" vertical="top"/>
      <protection locked="0"/>
    </xf>
    <xf numFmtId="41" fontId="9" fillId="28" borderId="42" xfId="0" applyNumberFormat="1" applyFont="1" applyFill="1" applyBorder="1" applyAlignment="1" applyProtection="1">
      <alignment vertical="top" wrapText="1"/>
      <protection locked="0"/>
    </xf>
    <xf numFmtId="41" fontId="9" fillId="0" borderId="42" xfId="0" applyNumberFormat="1" applyFont="1" applyFill="1" applyBorder="1" applyAlignment="1" applyProtection="1">
      <alignment horizontal="center" vertical="top" wrapText="1"/>
      <protection locked="0"/>
    </xf>
    <xf numFmtId="41" fontId="9" fillId="14" borderId="42" xfId="0" applyNumberFormat="1" applyFont="1" applyFill="1" applyBorder="1" applyAlignment="1" applyProtection="1">
      <alignment horizontal="center" vertical="top" wrapText="1"/>
      <protection locked="0"/>
    </xf>
    <xf numFmtId="41" fontId="0" fillId="14" borderId="1" xfId="0" applyNumberFormat="1" applyFont="1" applyFill="1" applyBorder="1" applyAlignment="1" applyProtection="1">
      <alignment horizontal="right" vertical="top"/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>
      <protection locked="0"/>
    </xf>
    <xf numFmtId="10" fontId="0" fillId="2" borderId="29" xfId="4" applyNumberFormat="1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174" fontId="3" fillId="0" borderId="0" xfId="0" applyNumberFormat="1" applyFont="1" applyFill="1" applyBorder="1" applyAlignment="1" applyProtection="1">
      <protection locked="0"/>
    </xf>
    <xf numFmtId="174" fontId="0" fillId="0" borderId="0" xfId="0" applyNumberFormat="1" applyFont="1" applyFill="1" applyProtection="1">
      <protection locked="0"/>
    </xf>
    <xf numFmtId="9" fontId="0" fillId="0" borderId="0" xfId="4" applyFont="1" applyFill="1" applyProtection="1">
      <protection locked="0"/>
    </xf>
    <xf numFmtId="3" fontId="26" fillId="29" borderId="1" xfId="51" applyNumberFormat="1" applyFont="1" applyFill="1" applyBorder="1" applyProtection="1">
      <protection locked="0"/>
    </xf>
    <xf numFmtId="41" fontId="4" fillId="0" borderId="42" xfId="0" applyNumberFormat="1" applyFont="1" applyFill="1" applyBorder="1" applyAlignment="1" applyProtection="1">
      <alignment vertical="top" wrapText="1"/>
      <protection locked="0"/>
    </xf>
    <xf numFmtId="0" fontId="29" fillId="28" borderId="56" xfId="0" applyFont="1" applyFill="1" applyBorder="1" applyAlignment="1" applyProtection="1">
      <alignment vertical="top" wrapText="1"/>
      <protection locked="0"/>
    </xf>
    <xf numFmtId="41" fontId="0" fillId="0" borderId="57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Fill="1" applyBorder="1" applyAlignment="1" applyProtection="1">
      <alignment horizontal="center" vertical="top"/>
      <protection locked="0"/>
    </xf>
    <xf numFmtId="171" fontId="3" fillId="0" borderId="0" xfId="0" applyNumberFormat="1" applyFont="1" applyFill="1" applyBorder="1" applyAlignment="1" applyProtection="1">
      <alignment vertical="top"/>
      <protection locked="0"/>
    </xf>
    <xf numFmtId="43" fontId="0" fillId="0" borderId="0" xfId="0" applyNumberFormat="1" applyFont="1" applyFill="1" applyBorder="1" applyProtection="1">
      <protection locked="0"/>
    </xf>
    <xf numFmtId="10" fontId="0" fillId="0" borderId="0" xfId="4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24" fillId="0" borderId="68" xfId="0" applyFont="1" applyFill="1" applyBorder="1" applyAlignment="1" applyProtection="1">
      <alignment horizontal="center" vertical="top"/>
      <protection locked="0"/>
    </xf>
    <xf numFmtId="174" fontId="0" fillId="0" borderId="0" xfId="0" applyNumberFormat="1" applyFont="1" applyFill="1" applyBorder="1" applyProtection="1">
      <protection locked="0"/>
    </xf>
    <xf numFmtId="0" fontId="0" fillId="0" borderId="42" xfId="0" applyNumberFormat="1" applyFont="1" applyFill="1" applyBorder="1" applyAlignment="1" applyProtection="1">
      <alignment vertical="top"/>
      <protection locked="0"/>
    </xf>
    <xf numFmtId="0" fontId="23" fillId="2" borderId="42" xfId="0" applyNumberFormat="1" applyFont="1" applyFill="1" applyBorder="1" applyAlignment="1" applyProtection="1">
      <alignment vertical="top" wrapText="1"/>
      <protection locked="0"/>
    </xf>
    <xf numFmtId="0" fontId="24" fillId="2" borderId="56" xfId="0" applyNumberFormat="1" applyFont="1" applyFill="1" applyBorder="1" applyAlignment="1" applyProtection="1">
      <alignment vertical="top" wrapText="1"/>
      <protection locked="0"/>
    </xf>
    <xf numFmtId="0" fontId="28" fillId="0" borderId="42" xfId="0" applyNumberFormat="1" applyFont="1" applyFill="1" applyBorder="1" applyAlignment="1" applyProtection="1">
      <alignment vertical="top" wrapText="1"/>
      <protection locked="0"/>
    </xf>
    <xf numFmtId="0" fontId="3" fillId="2" borderId="42" xfId="0" applyNumberFormat="1" applyFont="1" applyFill="1" applyBorder="1" applyAlignment="1" applyProtection="1">
      <alignment vertical="top" wrapText="1"/>
      <protection locked="0"/>
    </xf>
    <xf numFmtId="3" fontId="30" fillId="0" borderId="1" xfId="11" applyNumberFormat="1" applyFont="1" applyFill="1" applyBorder="1" applyProtection="1">
      <protection locked="0"/>
    </xf>
    <xf numFmtId="3" fontId="30" fillId="0" borderId="1" xfId="51" applyNumberFormat="1" applyFont="1" applyFill="1" applyBorder="1" applyProtection="1">
      <protection locked="0"/>
    </xf>
    <xf numFmtId="3" fontId="30" fillId="29" borderId="1" xfId="51" applyNumberFormat="1" applyFont="1" applyFill="1" applyBorder="1" applyProtection="1">
      <protection locked="0"/>
    </xf>
    <xf numFmtId="0" fontId="24" fillId="2" borderId="42" xfId="0" applyNumberFormat="1" applyFont="1" applyFill="1" applyBorder="1" applyAlignment="1" applyProtection="1">
      <alignment vertical="top" wrapText="1"/>
      <protection locked="0"/>
    </xf>
    <xf numFmtId="3" fontId="31" fillId="0" borderId="1" xfId="51" applyNumberFormat="1" applyFont="1" applyFill="1" applyBorder="1" applyProtection="1">
      <protection locked="0"/>
    </xf>
    <xf numFmtId="0" fontId="9" fillId="28" borderId="42" xfId="0" applyNumberFormat="1" applyFont="1" applyFill="1" applyBorder="1" applyAlignment="1" applyProtection="1">
      <alignment vertical="top" wrapText="1"/>
      <protection locked="0"/>
    </xf>
    <xf numFmtId="171" fontId="3" fillId="2" borderId="12" xfId="0" applyNumberFormat="1" applyFont="1" applyFill="1" applyBorder="1" applyAlignment="1" applyProtection="1">
      <alignment horizontal="center"/>
    </xf>
    <xf numFmtId="0" fontId="3" fillId="0" borderId="1" xfId="0" applyFont="1" applyBorder="1" applyProtection="1"/>
    <xf numFmtId="1" fontId="0" fillId="2" borderId="12" xfId="0" applyNumberFormat="1" applyFont="1" applyFill="1" applyBorder="1" applyAlignment="1" applyProtection="1">
      <alignment horizontal="center"/>
    </xf>
    <xf numFmtId="0" fontId="0" fillId="0" borderId="1" xfId="0" applyFont="1" applyBorder="1" applyProtection="1"/>
    <xf numFmtId="0" fontId="0" fillId="2" borderId="12" xfId="0" applyNumberFormat="1" applyFont="1" applyFill="1" applyBorder="1" applyAlignment="1" applyProtection="1">
      <alignment horizontal="center"/>
    </xf>
    <xf numFmtId="2" fontId="0" fillId="2" borderId="12" xfId="0" applyNumberFormat="1" applyFont="1" applyFill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left"/>
    </xf>
    <xf numFmtId="2" fontId="0" fillId="2" borderId="6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protection locked="0"/>
    </xf>
    <xf numFmtId="0" fontId="4" fillId="0" borderId="42" xfId="0" applyNumberFormat="1" applyFont="1" applyFill="1" applyBorder="1" applyAlignment="1" applyProtection="1">
      <alignment vertical="top" wrapText="1"/>
      <protection locked="0"/>
    </xf>
    <xf numFmtId="171" fontId="3" fillId="0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</xf>
    <xf numFmtId="0" fontId="0" fillId="27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28" borderId="1" xfId="0" applyFill="1" applyBorder="1" applyAlignment="1" applyProtection="1">
      <alignment horizontal="center" wrapText="1"/>
    </xf>
    <xf numFmtId="0" fontId="0" fillId="30" borderId="1" xfId="0" applyFont="1" applyFill="1" applyBorder="1" applyAlignment="1" applyProtection="1">
      <alignment horizontal="center" vertical="center" wrapText="1"/>
    </xf>
    <xf numFmtId="0" fontId="0" fillId="27" borderId="1" xfId="0" applyFont="1" applyFill="1" applyBorder="1" applyAlignment="1" applyProtection="1">
      <alignment horizontal="center" vertical="center" wrapText="1"/>
      <protection locked="0"/>
    </xf>
    <xf numFmtId="2" fontId="0" fillId="2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6" borderId="1" xfId="0" applyFont="1" applyFill="1" applyBorder="1" applyAlignment="1" applyProtection="1">
      <alignment horizontal="center" vertical="center" wrapText="1"/>
    </xf>
    <xf numFmtId="0" fontId="3" fillId="28" borderId="1" xfId="0" applyFont="1" applyFill="1" applyBorder="1" applyAlignment="1" applyProtection="1">
      <alignment horizontal="center" vertical="center" wrapText="1"/>
      <protection hidden="1"/>
    </xf>
    <xf numFmtId="0" fontId="11" fillId="31" borderId="71" xfId="0" applyFont="1" applyFill="1" applyBorder="1" applyAlignment="1" applyProtection="1">
      <alignment horizontal="center" vertical="center"/>
    </xf>
    <xf numFmtId="0" fontId="11" fillId="31" borderId="71" xfId="0" applyFont="1" applyFill="1" applyBorder="1" applyAlignment="1" applyProtection="1">
      <alignment horizontal="center" vertical="center" wrapText="1"/>
    </xf>
    <xf numFmtId="0" fontId="11" fillId="0" borderId="67" xfId="0" applyFont="1" applyBorder="1" applyAlignment="1" applyProtection="1">
      <alignment horizontal="center" vertical="center" wrapText="1"/>
    </xf>
    <xf numFmtId="0" fontId="11" fillId="0" borderId="72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32" fillId="0" borderId="0" xfId="0" applyFont="1" applyAlignment="1" applyProtection="1">
      <alignment horizontal="center" wrapText="1"/>
    </xf>
    <xf numFmtId="0" fontId="4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175" fontId="0" fillId="0" borderId="0" xfId="0" applyNumberFormat="1" applyProtection="1"/>
    <xf numFmtId="0" fontId="33" fillId="4" borderId="58" xfId="0" applyFont="1" applyFill="1" applyBorder="1"/>
    <xf numFmtId="0" fontId="34" fillId="0" borderId="60" xfId="0" applyFont="1" applyBorder="1" applyProtection="1">
      <protection locked="0"/>
    </xf>
    <xf numFmtId="0" fontId="0" fillId="32" borderId="0" xfId="0" applyFont="1" applyFill="1"/>
    <xf numFmtId="0" fontId="3" fillId="27" borderId="42" xfId="0" applyFont="1" applyFill="1" applyBorder="1" applyProtection="1">
      <protection hidden="1"/>
    </xf>
    <xf numFmtId="0" fontId="0" fillId="0" borderId="29" xfId="0" applyBorder="1" applyProtection="1">
      <protection locked="0"/>
    </xf>
    <xf numFmtId="0" fontId="3" fillId="27" borderId="42" xfId="0" applyFont="1" applyFill="1" applyBorder="1" applyAlignment="1" applyProtection="1">
      <alignment wrapText="1"/>
      <protection hidden="1"/>
    </xf>
    <xf numFmtId="0" fontId="35" fillId="27" borderId="42" xfId="0" applyFont="1" applyFill="1" applyBorder="1" applyAlignment="1" applyProtection="1">
      <alignment wrapText="1"/>
      <protection hidden="1"/>
    </xf>
    <xf numFmtId="2" fontId="0" fillId="0" borderId="29" xfId="0" applyNumberFormat="1" applyBorder="1" applyProtection="1">
      <protection locked="0"/>
    </xf>
    <xf numFmtId="2" fontId="0" fillId="0" borderId="57" xfId="0" applyNumberFormat="1" applyBorder="1" applyProtection="1">
      <protection locked="0"/>
    </xf>
    <xf numFmtId="0" fontId="45" fillId="34" borderId="0" xfId="64" applyFont="1" applyFill="1"/>
    <xf numFmtId="0" fontId="46" fillId="34" borderId="0" xfId="64" applyFont="1" applyFill="1"/>
    <xf numFmtId="0" fontId="46" fillId="34" borderId="73" xfId="64" applyFont="1" applyFill="1" applyBorder="1"/>
    <xf numFmtId="0" fontId="45" fillId="34" borderId="0" xfId="64" applyFont="1" applyFill="1" applyAlignment="1">
      <alignment vertical="center"/>
    </xf>
    <xf numFmtId="0" fontId="46" fillId="34" borderId="0" xfId="64" applyFont="1" applyFill="1" applyAlignment="1">
      <alignment vertical="center"/>
    </xf>
    <xf numFmtId="0" fontId="46" fillId="34" borderId="73" xfId="64" applyFont="1" applyFill="1" applyBorder="1" applyAlignment="1">
      <alignment vertical="center"/>
    </xf>
    <xf numFmtId="0" fontId="48" fillId="34" borderId="0" xfId="64" applyFont="1" applyFill="1"/>
    <xf numFmtId="0" fontId="50" fillId="34" borderId="0" xfId="64" applyFont="1" applyFill="1"/>
    <xf numFmtId="0" fontId="50" fillId="34" borderId="73" xfId="64" applyFont="1" applyFill="1" applyBorder="1"/>
    <xf numFmtId="17" fontId="52" fillId="38" borderId="54" xfId="64" applyNumberFormat="1" applyFont="1" applyFill="1" applyBorder="1" applyAlignment="1">
      <alignment horizontal="center" vertical="center" wrapText="1"/>
    </xf>
    <xf numFmtId="0" fontId="52" fillId="38" borderId="8" xfId="64" applyFont="1" applyFill="1" applyBorder="1" applyAlignment="1">
      <alignment horizontal="center" vertical="center" wrapText="1"/>
    </xf>
    <xf numFmtId="0" fontId="52" fillId="38" borderId="80" xfId="64" applyFont="1" applyFill="1" applyBorder="1" applyAlignment="1">
      <alignment horizontal="center" vertical="center" wrapText="1"/>
    </xf>
    <xf numFmtId="17" fontId="52" fillId="38" borderId="54" xfId="64" applyNumberFormat="1" applyFont="1" applyFill="1" applyBorder="1" applyAlignment="1">
      <alignment horizontal="center" vertical="center"/>
    </xf>
    <xf numFmtId="0" fontId="52" fillId="38" borderId="8" xfId="64" applyFont="1" applyFill="1" applyBorder="1" applyAlignment="1">
      <alignment horizontal="center" vertical="center"/>
    </xf>
    <xf numFmtId="17" fontId="52" fillId="38" borderId="53" xfId="64" applyNumberFormat="1" applyFont="1" applyFill="1" applyBorder="1" applyAlignment="1">
      <alignment horizontal="center" vertical="center"/>
    </xf>
    <xf numFmtId="0" fontId="52" fillId="38" borderId="80" xfId="64" applyFont="1" applyFill="1" applyBorder="1" applyAlignment="1">
      <alignment horizontal="center" vertical="center"/>
    </xf>
    <xf numFmtId="0" fontId="46" fillId="34" borderId="19" xfId="64" applyFont="1" applyFill="1" applyBorder="1" applyAlignment="1">
      <alignment vertical="center"/>
    </xf>
    <xf numFmtId="0" fontId="46" fillId="34" borderId="11" xfId="64" applyFont="1" applyFill="1" applyBorder="1" applyAlignment="1">
      <alignment vertical="center"/>
    </xf>
    <xf numFmtId="3" fontId="46" fillId="34" borderId="11" xfId="64" applyNumberFormat="1" applyFont="1" applyFill="1" applyBorder="1" applyAlignment="1">
      <alignment vertical="center"/>
    </xf>
    <xf numFmtId="3" fontId="53" fillId="0" borderId="81" xfId="64" applyNumberFormat="1" applyFont="1" applyBorder="1" applyAlignment="1">
      <alignment vertical="center"/>
    </xf>
    <xf numFmtId="14" fontId="46" fillId="34" borderId="11" xfId="64" applyNumberFormat="1" applyFont="1" applyFill="1" applyBorder="1" applyAlignment="1">
      <alignment vertical="center"/>
    </xf>
    <xf numFmtId="1" fontId="46" fillId="39" borderId="11" xfId="64" applyNumberFormat="1" applyFont="1" applyFill="1" applyBorder="1" applyAlignment="1">
      <alignment vertical="center"/>
    </xf>
    <xf numFmtId="0" fontId="46" fillId="34" borderId="11" xfId="64" applyFont="1" applyFill="1" applyBorder="1" applyAlignment="1">
      <alignment horizontal="center" vertical="center"/>
    </xf>
    <xf numFmtId="0" fontId="46" fillId="39" borderId="11" xfId="64" applyFont="1" applyFill="1" applyBorder="1" applyAlignment="1">
      <alignment vertical="center"/>
    </xf>
    <xf numFmtId="178" fontId="46" fillId="39" borderId="11" xfId="64" applyNumberFormat="1" applyFont="1" applyFill="1" applyBorder="1" applyAlignment="1">
      <alignment vertical="center"/>
    </xf>
    <xf numFmtId="3" fontId="46" fillId="39" borderId="11" xfId="64" applyNumberFormat="1" applyFont="1" applyFill="1" applyBorder="1" applyAlignment="1">
      <alignment vertical="center"/>
    </xf>
    <xf numFmtId="3" fontId="46" fillId="39" borderId="70" xfId="64" applyNumberFormat="1" applyFont="1" applyFill="1" applyBorder="1" applyAlignment="1">
      <alignment vertical="center"/>
    </xf>
    <xf numFmtId="0" fontId="46" fillId="34" borderId="52" xfId="64" applyFont="1" applyFill="1" applyBorder="1" applyAlignment="1">
      <alignment vertical="center"/>
    </xf>
    <xf numFmtId="0" fontId="46" fillId="34" borderId="70" xfId="64" applyFont="1" applyFill="1" applyBorder="1" applyAlignment="1">
      <alignment vertical="center"/>
    </xf>
    <xf numFmtId="3" fontId="46" fillId="34" borderId="70" xfId="64" applyNumberFormat="1" applyFont="1" applyFill="1" applyBorder="1" applyAlignment="1">
      <alignment vertical="center"/>
    </xf>
    <xf numFmtId="3" fontId="53" fillId="0" borderId="0" xfId="64" applyNumberFormat="1" applyFont="1" applyAlignment="1">
      <alignment vertical="center"/>
    </xf>
    <xf numFmtId="14" fontId="46" fillId="34" borderId="70" xfId="64" applyNumberFormat="1" applyFont="1" applyFill="1" applyBorder="1" applyAlignment="1">
      <alignment vertical="center"/>
    </xf>
    <xf numFmtId="0" fontId="46" fillId="34" borderId="70" xfId="64" applyFont="1" applyFill="1" applyBorder="1" applyAlignment="1">
      <alignment horizontal="center" vertical="center"/>
    </xf>
    <xf numFmtId="0" fontId="46" fillId="34" borderId="40" xfId="64" applyFont="1" applyFill="1" applyBorder="1" applyAlignment="1">
      <alignment vertical="center"/>
    </xf>
    <xf numFmtId="0" fontId="2" fillId="33" borderId="82" xfId="64" applyFill="1" applyBorder="1" applyAlignment="1">
      <alignment vertical="center"/>
    </xf>
    <xf numFmtId="0" fontId="2" fillId="33" borderId="83" xfId="64" applyFill="1" applyBorder="1" applyAlignment="1">
      <alignment vertical="center"/>
    </xf>
    <xf numFmtId="178" fontId="2" fillId="33" borderId="83" xfId="64" applyNumberFormat="1" applyFill="1" applyBorder="1" applyAlignment="1">
      <alignment vertical="center"/>
    </xf>
    <xf numFmtId="3" fontId="2" fillId="33" borderId="83" xfId="64" applyNumberFormat="1" applyFill="1" applyBorder="1" applyAlignment="1">
      <alignment vertical="center"/>
    </xf>
    <xf numFmtId="3" fontId="2" fillId="33" borderId="75" xfId="64" applyNumberFormat="1" applyFill="1" applyBorder="1" applyAlignment="1">
      <alignment vertical="center"/>
    </xf>
    <xf numFmtId="178" fontId="2" fillId="33" borderId="84" xfId="64" applyNumberFormat="1" applyFill="1" applyBorder="1" applyAlignment="1">
      <alignment vertical="center"/>
    </xf>
    <xf numFmtId="0" fontId="0" fillId="0" borderId="0" xfId="0" applyAlignment="1" applyProtection="1">
      <alignment horizontal="center" wrapText="1"/>
    </xf>
    <xf numFmtId="0" fontId="3" fillId="30" borderId="1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top"/>
      <protection locked="0"/>
    </xf>
    <xf numFmtId="0" fontId="0" fillId="0" borderId="70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41" fontId="23" fillId="2" borderId="16" xfId="0" applyNumberFormat="1" applyFont="1" applyFill="1" applyBorder="1" applyAlignment="1" applyProtection="1">
      <alignment horizontal="center" vertical="top" wrapText="1"/>
    </xf>
    <xf numFmtId="41" fontId="23" fillId="2" borderId="6" xfId="0" applyNumberFormat="1" applyFont="1" applyFill="1" applyBorder="1" applyAlignment="1" applyProtection="1">
      <alignment horizontal="center" vertical="top" wrapText="1"/>
    </xf>
    <xf numFmtId="41" fontId="23" fillId="2" borderId="17" xfId="0" applyNumberFormat="1" applyFont="1" applyFill="1" applyBorder="1" applyAlignment="1" applyProtection="1">
      <alignment horizontal="center" vertical="top" wrapText="1"/>
    </xf>
    <xf numFmtId="41" fontId="3" fillId="0" borderId="0" xfId="0" applyNumberFormat="1" applyFont="1" applyFill="1" applyBorder="1" applyAlignment="1" applyProtection="1">
      <alignment horizontal="center" vertical="top" wrapText="1"/>
      <protection locked="0"/>
    </xf>
    <xf numFmtId="41" fontId="0" fillId="28" borderId="1" xfId="0" applyNumberFormat="1" applyFont="1" applyFill="1" applyBorder="1" applyAlignment="1" applyProtection="1">
      <alignment horizontal="center" vertical="top"/>
    </xf>
    <xf numFmtId="0" fontId="23" fillId="26" borderId="58" xfId="0" applyFont="1" applyFill="1" applyBorder="1" applyAlignment="1" applyProtection="1">
      <alignment horizontal="center" vertical="top"/>
    </xf>
    <xf numFmtId="0" fontId="23" fillId="26" borderId="59" xfId="0" applyFont="1" applyFill="1" applyBorder="1" applyAlignment="1" applyProtection="1">
      <alignment horizontal="center" vertical="top"/>
    </xf>
    <xf numFmtId="0" fontId="23" fillId="26" borderId="44" xfId="0" applyFont="1" applyFill="1" applyBorder="1" applyAlignment="1" applyProtection="1">
      <alignment horizontal="center" vertical="top"/>
    </xf>
    <xf numFmtId="0" fontId="23" fillId="2" borderId="62" xfId="0" applyFont="1" applyFill="1" applyBorder="1" applyAlignment="1" applyProtection="1">
      <alignment horizontal="center" vertical="top"/>
    </xf>
    <xf numFmtId="0" fontId="23" fillId="2" borderId="11" xfId="0" applyFont="1" applyFill="1" applyBorder="1" applyAlignment="1" applyProtection="1">
      <alignment horizontal="center" vertical="top"/>
    </xf>
    <xf numFmtId="0" fontId="23" fillId="2" borderId="58" xfId="0" applyFont="1" applyFill="1" applyBorder="1" applyAlignment="1" applyProtection="1">
      <alignment horizontal="center" vertical="top"/>
    </xf>
    <xf numFmtId="0" fontId="23" fillId="2" borderId="59" xfId="0" applyFont="1" applyFill="1" applyBorder="1" applyAlignment="1" applyProtection="1">
      <alignment horizontal="center" vertical="top"/>
    </xf>
    <xf numFmtId="0" fontId="23" fillId="2" borderId="60" xfId="0" applyFont="1" applyFill="1" applyBorder="1" applyAlignment="1" applyProtection="1">
      <alignment horizontal="center" vertical="top"/>
    </xf>
    <xf numFmtId="41" fontId="27" fillId="2" borderId="1" xfId="1" applyNumberFormat="1" applyFont="1" applyFill="1" applyBorder="1" applyAlignment="1" applyProtection="1">
      <alignment horizontal="center" vertical="top"/>
    </xf>
    <xf numFmtId="41" fontId="3" fillId="2" borderId="42" xfId="0" applyNumberFormat="1" applyFont="1" applyFill="1" applyBorder="1" applyAlignment="1" applyProtection="1">
      <alignment horizontal="center" vertical="top" wrapText="1"/>
    </xf>
    <xf numFmtId="41" fontId="3" fillId="2" borderId="1" xfId="0" applyNumberFormat="1" applyFont="1" applyFill="1" applyBorder="1" applyAlignment="1" applyProtection="1">
      <alignment horizontal="center" vertical="top" wrapText="1"/>
    </xf>
    <xf numFmtId="41" fontId="3" fillId="2" borderId="29" xfId="0" applyNumberFormat="1" applyFont="1" applyFill="1" applyBorder="1" applyAlignment="1" applyProtection="1">
      <alignment horizontal="center" vertical="top" wrapText="1"/>
    </xf>
    <xf numFmtId="41" fontId="3" fillId="2" borderId="16" xfId="0" applyNumberFormat="1" applyFont="1" applyFill="1" applyBorder="1" applyAlignment="1" applyProtection="1">
      <alignment horizontal="center" vertical="top" wrapText="1"/>
    </xf>
    <xf numFmtId="41" fontId="3" fillId="2" borderId="6" xfId="0" applyNumberFormat="1" applyFont="1" applyFill="1" applyBorder="1" applyAlignment="1" applyProtection="1">
      <alignment horizontal="center" vertical="top" wrapText="1"/>
    </xf>
    <xf numFmtId="41" fontId="3" fillId="2" borderId="27" xfId="0" applyNumberFormat="1" applyFont="1" applyFill="1" applyBorder="1" applyAlignment="1" applyProtection="1">
      <alignment horizontal="center" vertical="top" wrapText="1"/>
    </xf>
    <xf numFmtId="41" fontId="0" fillId="28" borderId="1" xfId="0" applyNumberFormat="1" applyFont="1" applyFill="1" applyBorder="1" applyAlignment="1" applyProtection="1">
      <alignment horizontal="center" vertical="top"/>
      <protection locked="0"/>
    </xf>
    <xf numFmtId="0" fontId="23" fillId="26" borderId="6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 vertical="top"/>
      <protection locked="0"/>
    </xf>
    <xf numFmtId="0" fontId="23" fillId="2" borderId="16" xfId="0" applyFont="1" applyFill="1" applyBorder="1" applyAlignment="1" applyProtection="1">
      <alignment horizontal="center" vertical="top"/>
    </xf>
    <xf numFmtId="0" fontId="23" fillId="2" borderId="6" xfId="0" applyFont="1" applyFill="1" applyBorder="1" applyAlignment="1" applyProtection="1">
      <alignment horizontal="center" vertical="top"/>
    </xf>
    <xf numFmtId="0" fontId="23" fillId="2" borderId="27" xfId="0" applyFont="1" applyFill="1" applyBorder="1" applyAlignment="1" applyProtection="1">
      <alignment horizontal="center" vertical="top"/>
    </xf>
    <xf numFmtId="41" fontId="3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>
      <alignment horizontal="center" vertical="top"/>
    </xf>
    <xf numFmtId="0" fontId="0" fillId="25" borderId="12" xfId="0" applyFont="1" applyFill="1" applyBorder="1" applyAlignment="1" applyProtection="1">
      <alignment horizontal="left"/>
    </xf>
    <xf numFmtId="0" fontId="0" fillId="25" borderId="13" xfId="0" applyFont="1" applyFill="1" applyBorder="1" applyAlignment="1" applyProtection="1">
      <alignment horizontal="left"/>
    </xf>
    <xf numFmtId="0" fontId="0" fillId="25" borderId="14" xfId="0" applyFont="1" applyFill="1" applyBorder="1" applyAlignment="1" applyProtection="1">
      <alignment horizontal="left"/>
    </xf>
    <xf numFmtId="173" fontId="14" fillId="25" borderId="12" xfId="18" applyNumberFormat="1" applyFont="1" applyFill="1" applyBorder="1" applyAlignment="1" applyProtection="1">
      <alignment horizontal="left" vertical="top"/>
    </xf>
    <xf numFmtId="173" fontId="14" fillId="25" borderId="13" xfId="18" applyNumberFormat="1" applyFont="1" applyFill="1" applyBorder="1" applyAlignment="1" applyProtection="1">
      <alignment horizontal="left" vertical="top"/>
    </xf>
    <xf numFmtId="173" fontId="14" fillId="25" borderId="14" xfId="18" applyNumberFormat="1" applyFont="1" applyFill="1" applyBorder="1" applyAlignment="1" applyProtection="1">
      <alignment horizontal="left" vertical="top"/>
    </xf>
    <xf numFmtId="0" fontId="0" fillId="25" borderId="13" xfId="0" applyFill="1" applyBorder="1" applyAlignment="1" applyProtection="1">
      <alignment horizontal="left"/>
    </xf>
    <xf numFmtId="0" fontId="0" fillId="25" borderId="14" xfId="0" applyFill="1" applyBorder="1" applyAlignment="1" applyProtection="1">
      <alignment horizontal="left"/>
    </xf>
    <xf numFmtId="1" fontId="0" fillId="18" borderId="1" xfId="0" applyNumberFormat="1" applyFill="1" applyBorder="1" applyAlignment="1" applyProtection="1">
      <alignment horizontal="center"/>
    </xf>
    <xf numFmtId="173" fontId="14" fillId="22" borderId="13" xfId="18" applyNumberFormat="1" applyFont="1" applyFill="1" applyBorder="1" applyAlignment="1" applyProtection="1">
      <alignment horizontal="left" vertical="top" wrapText="1"/>
    </xf>
    <xf numFmtId="173" fontId="14" fillId="22" borderId="14" xfId="18" applyNumberFormat="1" applyFont="1" applyFill="1" applyBorder="1" applyAlignment="1" applyProtection="1">
      <alignment horizontal="left" vertical="top" wrapText="1"/>
    </xf>
    <xf numFmtId="1" fontId="3" fillId="18" borderId="12" xfId="0" applyNumberFormat="1" applyFont="1" applyFill="1" applyBorder="1" applyAlignment="1" applyProtection="1">
      <alignment horizontal="center"/>
    </xf>
    <xf numFmtId="1" fontId="3" fillId="18" borderId="14" xfId="0" applyNumberFormat="1" applyFont="1" applyFill="1" applyBorder="1" applyAlignment="1" applyProtection="1">
      <alignment horizontal="center"/>
    </xf>
    <xf numFmtId="173" fontId="14" fillId="18" borderId="1" xfId="18" applyNumberFormat="1" applyFont="1" applyFill="1" applyBorder="1" applyAlignment="1" applyProtection="1">
      <alignment horizontal="center" vertical="top"/>
    </xf>
    <xf numFmtId="0" fontId="22" fillId="18" borderId="56" xfId="0" applyFont="1" applyFill="1" applyBorder="1" applyAlignment="1" applyProtection="1">
      <alignment horizontal="center" vertical="center"/>
    </xf>
    <xf numFmtId="0" fontId="22" fillId="18" borderId="57" xfId="0" applyFont="1" applyFill="1" applyBorder="1" applyAlignment="1" applyProtection="1">
      <alignment horizontal="center" vertical="center"/>
    </xf>
    <xf numFmtId="173" fontId="14" fillId="24" borderId="12" xfId="18" applyNumberFormat="1" applyFont="1" applyFill="1" applyBorder="1" applyAlignment="1" applyProtection="1">
      <alignment horizontal="left" vertical="top" wrapText="1"/>
      <protection locked="0"/>
    </xf>
    <xf numFmtId="173" fontId="14" fillId="24" borderId="13" xfId="18" applyNumberFormat="1" applyFont="1" applyFill="1" applyBorder="1" applyAlignment="1" applyProtection="1">
      <alignment horizontal="left" vertical="top" wrapText="1"/>
      <protection locked="0"/>
    </xf>
    <xf numFmtId="173" fontId="14" fillId="24" borderId="14" xfId="18" applyNumberFormat="1" applyFont="1" applyFill="1" applyBorder="1" applyAlignment="1" applyProtection="1">
      <alignment horizontal="left" vertical="top" wrapText="1"/>
      <protection locked="0"/>
    </xf>
    <xf numFmtId="9" fontId="15" fillId="18" borderId="1" xfId="4" applyNumberFormat="1" applyFont="1" applyFill="1" applyBorder="1" applyAlignment="1" applyProtection="1">
      <alignment horizontal="center"/>
    </xf>
    <xf numFmtId="0" fontId="13" fillId="17" borderId="16" xfId="55" applyFont="1" applyFill="1" applyBorder="1" applyAlignment="1" applyProtection="1">
      <alignment horizontal="center" vertical="center"/>
    </xf>
    <xf numFmtId="0" fontId="13" fillId="17" borderId="27" xfId="55" applyFont="1" applyFill="1" applyBorder="1" applyAlignment="1" applyProtection="1">
      <alignment horizontal="center" vertical="center"/>
    </xf>
    <xf numFmtId="4" fontId="14" fillId="18" borderId="1" xfId="18" applyNumberFormat="1" applyFont="1" applyFill="1" applyBorder="1" applyAlignment="1" applyProtection="1">
      <alignment horizontal="center" vertical="top"/>
    </xf>
    <xf numFmtId="173" fontId="14" fillId="0" borderId="1" xfId="18" applyNumberFormat="1" applyFont="1" applyFill="1" applyBorder="1" applyAlignment="1" applyProtection="1">
      <alignment horizontal="center" vertical="top"/>
      <protection locked="0"/>
    </xf>
    <xf numFmtId="1" fontId="0" fillId="2" borderId="1" xfId="0" applyNumberFormat="1" applyFill="1" applyBorder="1" applyAlignment="1" applyProtection="1">
      <alignment horizontal="center"/>
    </xf>
    <xf numFmtId="0" fontId="13" fillId="19" borderId="12" xfId="55" applyFont="1" applyFill="1" applyBorder="1" applyAlignment="1" applyProtection="1">
      <alignment horizontal="center" vertical="center"/>
    </xf>
    <xf numFmtId="0" fontId="13" fillId="19" borderId="13" xfId="55" applyFont="1" applyFill="1" applyBorder="1" applyAlignment="1" applyProtection="1">
      <alignment horizontal="center" vertical="center"/>
    </xf>
    <xf numFmtId="0" fontId="13" fillId="19" borderId="14" xfId="55" applyFont="1" applyFill="1" applyBorder="1" applyAlignment="1" applyProtection="1">
      <alignment horizontal="center" vertical="center"/>
    </xf>
    <xf numFmtId="0" fontId="13" fillId="17" borderId="12" xfId="55" applyFont="1" applyFill="1" applyBorder="1" applyAlignment="1" applyProtection="1">
      <alignment horizontal="center" vertical="center"/>
    </xf>
    <xf numFmtId="0" fontId="13" fillId="17" borderId="13" xfId="55" applyFont="1" applyFill="1" applyBorder="1" applyAlignment="1" applyProtection="1">
      <alignment horizontal="center" vertical="center"/>
    </xf>
    <xf numFmtId="0" fontId="13" fillId="17" borderId="14" xfId="55" applyFont="1" applyFill="1" applyBorder="1" applyAlignment="1" applyProtection="1">
      <alignment horizontal="center" vertical="center"/>
    </xf>
    <xf numFmtId="0" fontId="13" fillId="17" borderId="2" xfId="55" applyFont="1" applyFill="1" applyBorder="1" applyAlignment="1" applyProtection="1">
      <alignment horizontal="center" vertical="center"/>
    </xf>
    <xf numFmtId="0" fontId="13" fillId="17" borderId="3" xfId="55" applyFont="1" applyFill="1" applyBorder="1" applyAlignment="1" applyProtection="1">
      <alignment horizontal="center" vertical="center"/>
    </xf>
    <xf numFmtId="0" fontId="13" fillId="17" borderId="55" xfId="55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13" fillId="15" borderId="1" xfId="55" applyFont="1" applyFill="1" applyBorder="1" applyAlignment="1" applyProtection="1">
      <alignment horizontal="center" vertical="center"/>
    </xf>
    <xf numFmtId="6" fontId="15" fillId="16" borderId="1" xfId="0" applyNumberFormat="1" applyFont="1" applyFill="1" applyBorder="1" applyAlignment="1" applyProtection="1">
      <alignment horizontal="center"/>
    </xf>
    <xf numFmtId="6" fontId="18" fillId="0" borderId="1" xfId="0" applyNumberFormat="1" applyFont="1" applyFill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13" fillId="17" borderId="43" xfId="55" applyFont="1" applyFill="1" applyBorder="1" applyAlignment="1">
      <alignment horizontal="center" vertical="center"/>
    </xf>
    <xf numFmtId="0" fontId="13" fillId="17" borderId="44" xfId="55" applyFont="1" applyFill="1" applyBorder="1" applyAlignment="1">
      <alignment horizontal="center" vertical="center"/>
    </xf>
    <xf numFmtId="0" fontId="13" fillId="17" borderId="39" xfId="55" applyFont="1" applyFill="1" applyBorder="1" applyAlignment="1">
      <alignment horizontal="center" vertical="center"/>
    </xf>
    <xf numFmtId="0" fontId="13" fillId="17" borderId="45" xfId="55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 vertical="top"/>
      <protection locked="0"/>
    </xf>
    <xf numFmtId="0" fontId="3" fillId="0" borderId="12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0" fillId="0" borderId="40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77" fontId="52" fillId="38" borderId="62" xfId="64" applyNumberFormat="1" applyFont="1" applyFill="1" applyBorder="1" applyAlignment="1">
      <alignment horizontal="center" vertical="center"/>
    </xf>
    <xf numFmtId="177" fontId="52" fillId="38" borderId="11" xfId="64" applyNumberFormat="1" applyFont="1" applyFill="1" applyBorder="1" applyAlignment="1">
      <alignment horizontal="center" vertical="center"/>
    </xf>
    <xf numFmtId="177" fontId="52" fillId="38" borderId="68" xfId="64" applyNumberFormat="1" applyFont="1" applyFill="1" applyBorder="1" applyAlignment="1">
      <alignment horizontal="center" vertical="center"/>
    </xf>
    <xf numFmtId="0" fontId="52" fillId="38" borderId="79" xfId="64" applyFont="1" applyFill="1" applyBorder="1" applyAlignment="1">
      <alignment horizontal="center" vertical="center"/>
    </xf>
    <xf numFmtId="0" fontId="52" fillId="38" borderId="11" xfId="64" applyFont="1" applyFill="1" applyBorder="1" applyAlignment="1">
      <alignment horizontal="center" vertical="center"/>
    </xf>
    <xf numFmtId="0" fontId="52" fillId="38" borderId="8" xfId="64" applyFont="1" applyFill="1" applyBorder="1" applyAlignment="1">
      <alignment horizontal="center" vertical="center"/>
    </xf>
    <xf numFmtId="0" fontId="52" fillId="38" borderId="11" xfId="64" applyFont="1" applyFill="1" applyBorder="1" applyAlignment="1">
      <alignment horizontal="center" vertical="center" wrapText="1"/>
    </xf>
    <xf numFmtId="0" fontId="52" fillId="38" borderId="8" xfId="64" applyFont="1" applyFill="1" applyBorder="1" applyAlignment="1">
      <alignment horizontal="center" vertical="center" wrapText="1"/>
    </xf>
    <xf numFmtId="0" fontId="52" fillId="38" borderId="40" xfId="64" applyFont="1" applyFill="1" applyBorder="1" applyAlignment="1">
      <alignment horizontal="center" vertical="center" wrapText="1"/>
    </xf>
    <xf numFmtId="0" fontId="52" fillId="38" borderId="78" xfId="64" applyFont="1" applyFill="1" applyBorder="1" applyAlignment="1">
      <alignment horizontal="center" vertical="center" wrapText="1"/>
    </xf>
    <xf numFmtId="0" fontId="52" fillId="38" borderId="68" xfId="64" applyFont="1" applyFill="1" applyBorder="1" applyAlignment="1">
      <alignment horizontal="center" vertical="center" wrapText="1"/>
    </xf>
    <xf numFmtId="0" fontId="52" fillId="38" borderId="80" xfId="64" applyFont="1" applyFill="1" applyBorder="1" applyAlignment="1">
      <alignment horizontal="center" vertical="center" wrapText="1"/>
    </xf>
    <xf numFmtId="17" fontId="52" fillId="38" borderId="19" xfId="64" applyNumberFormat="1" applyFont="1" applyFill="1" applyBorder="1" applyAlignment="1">
      <alignment horizontal="center" vertical="center"/>
    </xf>
    <xf numFmtId="17" fontId="52" fillId="38" borderId="11" xfId="64" applyNumberFormat="1" applyFont="1" applyFill="1" applyBorder="1" applyAlignment="1">
      <alignment horizontal="center" vertical="center"/>
    </xf>
    <xf numFmtId="17" fontId="52" fillId="38" borderId="68" xfId="64" applyNumberFormat="1" applyFont="1" applyFill="1" applyBorder="1" applyAlignment="1">
      <alignment horizontal="center" vertical="center"/>
    </xf>
    <xf numFmtId="177" fontId="52" fillId="38" borderId="19" xfId="64" applyNumberFormat="1" applyFont="1" applyFill="1" applyBorder="1" applyAlignment="1">
      <alignment horizontal="center" vertical="center"/>
    </xf>
    <xf numFmtId="0" fontId="51" fillId="35" borderId="74" xfId="64" applyFont="1" applyFill="1" applyBorder="1" applyAlignment="1">
      <alignment horizontal="center" vertical="center"/>
    </xf>
    <xf numFmtId="0" fontId="51" fillId="35" borderId="75" xfId="64" applyFont="1" applyFill="1" applyBorder="1" applyAlignment="1">
      <alignment horizontal="center" vertical="center"/>
    </xf>
    <xf numFmtId="0" fontId="51" fillId="35" borderId="76" xfId="64" applyFont="1" applyFill="1" applyBorder="1" applyAlignment="1">
      <alignment horizontal="center" vertical="center"/>
    </xf>
    <xf numFmtId="0" fontId="52" fillId="38" borderId="62" xfId="64" applyFont="1" applyFill="1" applyBorder="1" applyAlignment="1">
      <alignment horizontal="center" vertical="center" wrapText="1"/>
    </xf>
    <xf numFmtId="0" fontId="52" fillId="38" borderId="53" xfId="64" applyFont="1" applyFill="1" applyBorder="1" applyAlignment="1">
      <alignment horizontal="center" vertical="center" wrapText="1"/>
    </xf>
    <xf numFmtId="0" fontId="52" fillId="38" borderId="77" xfId="64" applyFont="1" applyFill="1" applyBorder="1" applyAlignment="1">
      <alignment horizontal="center" vertical="center"/>
    </xf>
    <xf numFmtId="0" fontId="52" fillId="38" borderId="70" xfId="64" applyFont="1" applyFill="1" applyBorder="1" applyAlignment="1">
      <alignment horizontal="center" vertical="center"/>
    </xf>
    <xf numFmtId="0" fontId="52" fillId="38" borderId="77" xfId="64" applyFont="1" applyFill="1" applyBorder="1" applyAlignment="1">
      <alignment horizontal="center" vertical="center" wrapText="1"/>
    </xf>
    <xf numFmtId="0" fontId="52" fillId="38" borderId="70" xfId="64" applyFont="1" applyFill="1" applyBorder="1" applyAlignment="1">
      <alignment horizontal="center" vertical="center" wrapText="1"/>
    </xf>
    <xf numFmtId="49" fontId="46" fillId="34" borderId="1" xfId="64" applyNumberFormat="1" applyFont="1" applyFill="1" applyBorder="1" applyAlignment="1">
      <alignment horizontal="right" vertical="center"/>
    </xf>
    <xf numFmtId="49" fontId="46" fillId="34" borderId="29" xfId="64" applyNumberFormat="1" applyFont="1" applyFill="1" applyBorder="1" applyAlignment="1">
      <alignment horizontal="right" vertical="center"/>
    </xf>
    <xf numFmtId="0" fontId="49" fillId="33" borderId="56" xfId="64" applyFont="1" applyFill="1" applyBorder="1" applyAlignment="1">
      <alignment vertical="center"/>
    </xf>
    <xf numFmtId="0" fontId="49" fillId="33" borderId="63" xfId="64" applyFont="1" applyFill="1" applyBorder="1" applyAlignment="1">
      <alignment vertical="center"/>
    </xf>
    <xf numFmtId="0" fontId="46" fillId="34" borderId="63" xfId="64" applyFont="1" applyFill="1" applyBorder="1" applyAlignment="1">
      <alignment horizontal="right" vertical="center"/>
    </xf>
    <xf numFmtId="0" fontId="46" fillId="34" borderId="57" xfId="64" applyFont="1" applyFill="1" applyBorder="1" applyAlignment="1">
      <alignment horizontal="right" vertical="center"/>
    </xf>
    <xf numFmtId="0" fontId="49" fillId="33" borderId="42" xfId="64" applyFont="1" applyFill="1" applyBorder="1" applyAlignment="1">
      <alignment vertical="center"/>
    </xf>
    <xf numFmtId="0" fontId="49" fillId="33" borderId="1" xfId="64" applyFont="1" applyFill="1" applyBorder="1" applyAlignment="1">
      <alignment vertical="center"/>
    </xf>
    <xf numFmtId="0" fontId="46" fillId="34" borderId="1" xfId="64" applyFont="1" applyFill="1" applyBorder="1" applyAlignment="1">
      <alignment horizontal="right" vertical="center"/>
    </xf>
    <xf numFmtId="0" fontId="46" fillId="34" borderId="29" xfId="64" applyFont="1" applyFill="1" applyBorder="1" applyAlignment="1">
      <alignment horizontal="right" vertical="center"/>
    </xf>
    <xf numFmtId="3" fontId="46" fillId="34" borderId="1" xfId="64" applyNumberFormat="1" applyFont="1" applyFill="1" applyBorder="1" applyAlignment="1">
      <alignment horizontal="right" vertical="center"/>
    </xf>
    <xf numFmtId="3" fontId="46" fillId="34" borderId="29" xfId="64" applyNumberFormat="1" applyFont="1" applyFill="1" applyBorder="1" applyAlignment="1">
      <alignment horizontal="right" vertical="center"/>
    </xf>
    <xf numFmtId="9" fontId="46" fillId="37" borderId="1" xfId="65" applyFont="1" applyFill="1" applyBorder="1" applyAlignment="1">
      <alignment horizontal="right" vertical="center"/>
    </xf>
    <xf numFmtId="9" fontId="46" fillId="37" borderId="29" xfId="65" applyFont="1" applyFill="1" applyBorder="1" applyAlignment="1">
      <alignment horizontal="right" vertical="center"/>
    </xf>
    <xf numFmtId="0" fontId="50" fillId="34" borderId="1" xfId="64" applyFont="1" applyFill="1" applyBorder="1" applyAlignment="1">
      <alignment horizontal="right" vertical="center"/>
    </xf>
    <xf numFmtId="0" fontId="50" fillId="34" borderId="29" xfId="64" applyFont="1" applyFill="1" applyBorder="1" applyAlignment="1">
      <alignment horizontal="right" vertical="center"/>
    </xf>
    <xf numFmtId="176" fontId="46" fillId="34" borderId="1" xfId="64" applyNumberFormat="1" applyFont="1" applyFill="1" applyBorder="1" applyAlignment="1">
      <alignment horizontal="right" vertical="center"/>
    </xf>
    <xf numFmtId="176" fontId="46" fillId="34" borderId="29" xfId="64" applyNumberFormat="1" applyFont="1" applyFill="1" applyBorder="1" applyAlignment="1">
      <alignment horizontal="right" vertical="center"/>
    </xf>
    <xf numFmtId="0" fontId="47" fillId="35" borderId="9" xfId="64" applyFont="1" applyFill="1" applyBorder="1" applyAlignment="1">
      <alignment horizontal="center" vertical="center"/>
    </xf>
    <xf numFmtId="0" fontId="47" fillId="35" borderId="10" xfId="64" applyFont="1" applyFill="1" applyBorder="1" applyAlignment="1">
      <alignment horizontal="center" vertical="center"/>
    </xf>
    <xf numFmtId="0" fontId="47" fillId="35" borderId="41" xfId="64" applyFont="1" applyFill="1" applyBorder="1" applyAlignment="1">
      <alignment horizontal="center" vertical="center"/>
    </xf>
    <xf numFmtId="0" fontId="48" fillId="36" borderId="62" xfId="64" applyFont="1" applyFill="1" applyBorder="1" applyAlignment="1">
      <alignment vertical="center"/>
    </xf>
    <xf numFmtId="0" fontId="48" fillId="36" borderId="11" xfId="64" applyFont="1" applyFill="1" applyBorder="1" applyAlignment="1">
      <alignment vertical="center"/>
    </xf>
    <xf numFmtId="0" fontId="48" fillId="36" borderId="11" xfId="64" applyFont="1" applyFill="1" applyBorder="1" applyAlignment="1">
      <alignment horizontal="center" vertical="center"/>
    </xf>
    <xf numFmtId="0" fontId="48" fillId="36" borderId="68" xfId="6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5" fillId="9" borderId="24" xfId="0" applyFont="1" applyFill="1" applyBorder="1" applyAlignment="1">
      <alignment horizontal="center" wrapText="1"/>
    </xf>
    <xf numFmtId="0" fontId="6" fillId="0" borderId="25" xfId="0" applyFont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wrapText="1"/>
    </xf>
    <xf numFmtId="0" fontId="5" fillId="9" borderId="31" xfId="0" applyFont="1" applyFill="1" applyBorder="1" applyAlignment="1">
      <alignment horizontal="center" wrapText="1"/>
    </xf>
    <xf numFmtId="0" fontId="6" fillId="0" borderId="32" xfId="0" applyFont="1" applyBorder="1" applyAlignment="1">
      <alignment wrapText="1"/>
    </xf>
    <xf numFmtId="0" fontId="5" fillId="9" borderId="36" xfId="0" applyFont="1" applyFill="1" applyBorder="1" applyAlignment="1">
      <alignment horizontal="center" wrapText="1"/>
    </xf>
    <xf numFmtId="0" fontId="6" fillId="0" borderId="37" xfId="0" applyFont="1" applyBorder="1" applyAlignment="1">
      <alignment wrapText="1"/>
    </xf>
    <xf numFmtId="0" fontId="5" fillId="9" borderId="22" xfId="0" applyFont="1" applyFill="1" applyBorder="1" applyAlignment="1">
      <alignment horizontal="center"/>
    </xf>
    <xf numFmtId="0" fontId="6" fillId="0" borderId="23" xfId="0" applyFont="1" applyBorder="1"/>
    <xf numFmtId="0" fontId="6" fillId="0" borderId="30" xfId="0" applyFont="1" applyBorder="1"/>
    <xf numFmtId="0" fontId="4" fillId="0" borderId="2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2" fontId="4" fillId="0" borderId="13" xfId="0" applyNumberFormat="1" applyFont="1" applyBorder="1" applyAlignment="1" applyProtection="1">
      <alignment horizontal="center" vertical="center" wrapText="1"/>
      <protection locked="0"/>
    </xf>
    <xf numFmtId="2" fontId="4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169" fontId="4" fillId="0" borderId="1" xfId="0" applyNumberFormat="1" applyFont="1" applyBorder="1" applyAlignment="1" applyProtection="1">
      <alignment horizontal="center" vertical="center" wrapText="1"/>
      <protection locked="0"/>
    </xf>
    <xf numFmtId="169" fontId="4" fillId="0" borderId="29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9" fontId="4" fillId="0" borderId="13" xfId="0" applyNumberFormat="1" applyFont="1" applyBorder="1" applyAlignment="1" applyProtection="1">
      <alignment horizontal="right" vertical="center"/>
      <protection locked="0"/>
    </xf>
    <xf numFmtId="169" fontId="4" fillId="0" borderId="14" xfId="0" applyNumberFormat="1" applyFont="1" applyBorder="1" applyAlignment="1" applyProtection="1">
      <alignment horizontal="right" vertical="center"/>
      <protection locked="0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33" xfId="0" applyFont="1" applyBorder="1" applyAlignment="1" applyProtection="1">
      <alignment horizontal="center" vertical="center" wrapText="1"/>
    </xf>
    <xf numFmtId="0" fontId="4" fillId="0" borderId="34" xfId="0" applyFont="1" applyBorder="1" applyAlignment="1" applyProtection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</xf>
    <xf numFmtId="0" fontId="4" fillId="8" borderId="16" xfId="5" applyFont="1" applyFill="1" applyBorder="1" applyAlignment="1">
      <alignment horizontal="left" vertical="center"/>
    </xf>
    <xf numFmtId="0" fontId="4" fillId="8" borderId="6" xfId="5" applyFont="1" applyFill="1" applyBorder="1" applyAlignment="1">
      <alignment horizontal="left" vertical="center"/>
    </xf>
    <xf numFmtId="0" fontId="4" fillId="8" borderId="17" xfId="5" applyFont="1" applyFill="1" applyBorder="1" applyAlignment="1">
      <alignment horizontal="left" vertical="center"/>
    </xf>
    <xf numFmtId="0" fontId="4" fillId="0" borderId="6" xfId="5" applyFont="1" applyBorder="1" applyAlignment="1">
      <alignment horizontal="left" vertical="center"/>
    </xf>
    <xf numFmtId="0" fontId="4" fillId="0" borderId="27" xfId="5" applyFont="1" applyBorder="1" applyAlignment="1">
      <alignment horizontal="left" vertical="center"/>
    </xf>
    <xf numFmtId="0" fontId="4" fillId="0" borderId="18" xfId="5" applyFont="1" applyBorder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4" fillId="0" borderId="19" xfId="5" applyFont="1" applyBorder="1" applyAlignment="1">
      <alignment horizontal="left" vertical="center"/>
    </xf>
    <xf numFmtId="0" fontId="4" fillId="0" borderId="7" xfId="5" applyFont="1" applyBorder="1" applyAlignment="1" applyProtection="1">
      <alignment horizontal="left" vertical="center"/>
      <protection locked="0"/>
    </xf>
    <xf numFmtId="0" fontId="4" fillId="0" borderId="26" xfId="5" applyFont="1" applyBorder="1" applyAlignment="1" applyProtection="1">
      <alignment horizontal="left" vertical="center"/>
      <protection locked="0"/>
    </xf>
    <xf numFmtId="49" fontId="4" fillId="0" borderId="12" xfId="0" applyNumberFormat="1" applyFont="1" applyBorder="1" applyAlignment="1" applyProtection="1">
      <alignment horizontal="center" vertical="center" wrapText="1"/>
      <protection locked="0"/>
    </xf>
    <xf numFmtId="49" fontId="4" fillId="0" borderId="13" xfId="0" applyNumberFormat="1" applyFont="1" applyBorder="1" applyAlignment="1" applyProtection="1">
      <alignment horizontal="center" vertical="center" wrapText="1"/>
      <protection locked="0"/>
    </xf>
    <xf numFmtId="49" fontId="4" fillId="0" borderId="28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4" fillId="0" borderId="5" xfId="5" applyFont="1" applyBorder="1" applyAlignment="1">
      <alignment horizontal="left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0" fillId="7" borderId="1" xfId="4" applyFont="1" applyFill="1" applyBorder="1" applyAlignment="1">
      <alignment horizontal="center"/>
    </xf>
    <xf numFmtId="0" fontId="4" fillId="0" borderId="2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4" xfId="5" applyFont="1" applyBorder="1" applyAlignment="1">
      <alignment horizontal="left" vertical="center"/>
    </xf>
    <xf numFmtId="0" fontId="4" fillId="3" borderId="5" xfId="5" applyFont="1" applyFill="1" applyBorder="1" applyAlignment="1">
      <alignment horizontal="center" vertical="center"/>
    </xf>
    <xf numFmtId="0" fontId="4" fillId="3" borderId="6" xfId="5" applyFont="1" applyFill="1" applyBorder="1" applyAlignment="1">
      <alignment horizontal="center" vertical="center"/>
    </xf>
    <xf numFmtId="0" fontId="4" fillId="5" borderId="7" xfId="5" applyFont="1" applyFill="1" applyBorder="1" applyAlignment="1">
      <alignment horizontal="center" vertical="center"/>
    </xf>
    <xf numFmtId="0" fontId="4" fillId="5" borderId="26" xfId="5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/>
    <xf numFmtId="43" fontId="4" fillId="7" borderId="1" xfId="1" applyFont="1" applyFill="1" applyBorder="1" applyAlignment="1">
      <alignment horizontal="center" vertical="center" wrapText="1"/>
    </xf>
    <xf numFmtId="9" fontId="9" fillId="7" borderId="1" xfId="4" applyFont="1" applyFill="1" applyBorder="1" applyAlignment="1">
      <alignment horizontal="center" vertical="center" wrapText="1"/>
    </xf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0" fontId="52" fillId="40" borderId="12" xfId="0" applyFont="1" applyFill="1" applyBorder="1" applyAlignment="1">
      <alignment horizontal="center"/>
    </xf>
    <xf numFmtId="0" fontId="52" fillId="40" borderId="14" xfId="0" applyFont="1" applyFill="1" applyBorder="1" applyAlignment="1">
      <alignment horizontal="center"/>
    </xf>
    <xf numFmtId="0" fontId="52" fillId="40" borderId="14" xfId="0" applyFont="1" applyFill="1" applyBorder="1" applyAlignment="1">
      <alignment horizontal="center"/>
    </xf>
    <xf numFmtId="166" fontId="52" fillId="0" borderId="1" xfId="0" applyNumberFormat="1" applyFont="1" applyBorder="1" applyProtection="1">
      <protection locked="0"/>
    </xf>
    <xf numFmtId="17" fontId="52" fillId="40" borderId="1" xfId="0" applyNumberFormat="1" applyFont="1" applyFill="1" applyBorder="1"/>
    <xf numFmtId="0" fontId="1" fillId="0" borderId="11" xfId="0" applyFont="1" applyBorder="1" applyAlignment="1" applyProtection="1">
      <alignment horizontal="left"/>
      <protection locked="0"/>
    </xf>
    <xf numFmtId="0" fontId="46" fillId="0" borderId="38" xfId="66" applyFont="1" applyBorder="1" applyAlignment="1" applyProtection="1">
      <alignment vertical="center"/>
      <protection locked="0"/>
    </xf>
    <xf numFmtId="0" fontId="46" fillId="0" borderId="11" xfId="66" applyFont="1" applyBorder="1" applyAlignment="1" applyProtection="1">
      <alignment vertical="center"/>
      <protection locked="0"/>
    </xf>
    <xf numFmtId="15" fontId="52" fillId="0" borderId="1" xfId="0" applyNumberFormat="1" applyFont="1" applyBorder="1" applyAlignment="1" applyProtection="1">
      <alignment horizontal="center"/>
      <protection locked="0"/>
    </xf>
    <xf numFmtId="175" fontId="52" fillId="0" borderId="1" xfId="67" applyNumberFormat="1" applyFont="1" applyBorder="1" applyProtection="1">
      <protection locked="0"/>
    </xf>
    <xf numFmtId="175" fontId="0" fillId="0" borderId="1" xfId="67" applyNumberFormat="1" applyFont="1" applyBorder="1" applyProtection="1">
      <protection locked="0"/>
    </xf>
    <xf numFmtId="0" fontId="0" fillId="41" borderId="1" xfId="0" applyFill="1" applyBorder="1"/>
    <xf numFmtId="0" fontId="1" fillId="0" borderId="1" xfId="0" applyFont="1" applyBorder="1" applyProtection="1">
      <protection locked="0"/>
    </xf>
    <xf numFmtId="175" fontId="0" fillId="41" borderId="1" xfId="0" applyNumberFormat="1" applyFill="1" applyBorder="1"/>
    <xf numFmtId="10" fontId="0" fillId="41" borderId="1" xfId="68" applyNumberFormat="1" applyFont="1" applyFill="1" applyBorder="1" applyProtection="1"/>
    <xf numFmtId="0" fontId="0" fillId="0" borderId="11" xfId="0" applyBorder="1" applyAlignment="1" applyProtection="1">
      <alignment horizontal="left"/>
      <protection locked="0"/>
    </xf>
    <xf numFmtId="175" fontId="0" fillId="0" borderId="1" xfId="67" applyNumberFormat="1" applyFont="1" applyFill="1" applyBorder="1" applyProtection="1">
      <protection locked="0"/>
    </xf>
    <xf numFmtId="0" fontId="52" fillId="0" borderId="1" xfId="0" applyFont="1" applyBorder="1"/>
    <xf numFmtId="175" fontId="0" fillId="0" borderId="1" xfId="67" applyNumberFormat="1" applyFont="1" applyBorder="1"/>
    <xf numFmtId="0" fontId="1" fillId="0" borderId="1" xfId="0" applyFont="1" applyBorder="1"/>
  </cellXfs>
  <cellStyles count="69">
    <cellStyle name="Comma" xfId="1" builtinId="3"/>
    <cellStyle name="Comma 2" xfId="15" xr:uid="{00000000-0005-0000-0000-00003C000000}"/>
    <cellStyle name="Comma 2 2" xfId="13" xr:uid="{00000000-0005-0000-0000-000035000000}"/>
    <cellStyle name="Comma 2 2 2" xfId="16" xr:uid="{00000000-0005-0000-0000-00003D000000}"/>
    <cellStyle name="Comma 2 2 2 2" xfId="17" xr:uid="{00000000-0005-0000-0000-00003E000000}"/>
    <cellStyle name="Comma 2 3" xfId="14" xr:uid="{00000000-0005-0000-0000-000039000000}"/>
    <cellStyle name="Comma 3" xfId="18" xr:uid="{00000000-0005-0000-0000-00003F000000}"/>
    <cellStyle name="Comma 4" xfId="19" xr:uid="{00000000-0005-0000-0000-000040000000}"/>
    <cellStyle name="Comma 4 2" xfId="11" xr:uid="{00000000-0005-0000-0000-000025000000}"/>
    <cellStyle name="Comma 4 2 2" xfId="21" xr:uid="{00000000-0005-0000-0000-000042000000}"/>
    <cellStyle name="Comma 4 3" xfId="22" xr:uid="{00000000-0005-0000-0000-000043000000}"/>
    <cellStyle name="Comma 5" xfId="23" xr:uid="{00000000-0005-0000-0000-000044000000}"/>
    <cellStyle name="Comma 5 2" xfId="25" xr:uid="{00000000-0005-0000-0000-000046000000}"/>
    <cellStyle name="Comma 6" xfId="10" xr:uid="{00000000-0005-0000-0000-000023000000}"/>
    <cellStyle name="Comma 6 2" xfId="9" xr:uid="{00000000-0005-0000-0000-000018000000}"/>
    <cellStyle name="Comma 7" xfId="24" xr:uid="{00000000-0005-0000-0000-000045000000}"/>
    <cellStyle name="Comma 8" xfId="20" xr:uid="{00000000-0005-0000-0000-000041000000}"/>
    <cellStyle name="Comma 9" xfId="67" xr:uid="{30163D26-FD09-401E-B802-F4A2AC751F4F}"/>
    <cellStyle name="Currency" xfId="3" builtinId="4"/>
    <cellStyle name="Excel Built-in Normal" xfId="26" xr:uid="{00000000-0005-0000-0000-000047000000}"/>
    <cellStyle name="Hyperlink 2" xfId="27" xr:uid="{00000000-0005-0000-0000-000048000000}"/>
    <cellStyle name="Hyperlink 2 2" xfId="28" xr:uid="{00000000-0005-0000-0000-000049000000}"/>
    <cellStyle name="Nor}al" xfId="29" xr:uid="{00000000-0005-0000-0000-00004A000000}"/>
    <cellStyle name="Nor}al 2" xfId="30" xr:uid="{00000000-0005-0000-0000-00004B000000}"/>
    <cellStyle name="Normal" xfId="0" builtinId="0"/>
    <cellStyle name="Normal 10" xfId="31" xr:uid="{00000000-0005-0000-0000-00004C000000}"/>
    <cellStyle name="Normal 2" xfId="32" xr:uid="{00000000-0005-0000-0000-00004D000000}"/>
    <cellStyle name="Normal 2 2" xfId="33" xr:uid="{00000000-0005-0000-0000-00004E000000}"/>
    <cellStyle name="Normal 2 2 2" xfId="34" xr:uid="{00000000-0005-0000-0000-00004F000000}"/>
    <cellStyle name="Normal 2 2 2 2" xfId="12" xr:uid="{00000000-0005-0000-0000-000030000000}"/>
    <cellStyle name="Normal 2 2 3" xfId="35" xr:uid="{00000000-0005-0000-0000-000050000000}"/>
    <cellStyle name="Normal 2 2 4" xfId="36" xr:uid="{00000000-0005-0000-0000-000051000000}"/>
    <cellStyle name="Normal 2 3" xfId="37" xr:uid="{00000000-0005-0000-0000-000052000000}"/>
    <cellStyle name="Normal 2 4" xfId="38" xr:uid="{00000000-0005-0000-0000-000053000000}"/>
    <cellStyle name="Normal 2 5" xfId="39" xr:uid="{00000000-0005-0000-0000-000054000000}"/>
    <cellStyle name="Normal 2 6" xfId="40" xr:uid="{00000000-0005-0000-0000-000055000000}"/>
    <cellStyle name="Normal 3" xfId="41" xr:uid="{00000000-0005-0000-0000-000056000000}"/>
    <cellStyle name="Normal 3 2" xfId="42" xr:uid="{00000000-0005-0000-0000-000057000000}"/>
    <cellStyle name="Normal 3 2 2" xfId="43" xr:uid="{00000000-0005-0000-0000-000058000000}"/>
    <cellStyle name="Normal 3 2 3" xfId="44" xr:uid="{00000000-0005-0000-0000-000059000000}"/>
    <cellStyle name="Normal 3 2 4" xfId="64" xr:uid="{9EEDDAEE-EA93-4313-8B64-B47A48B31E37}"/>
    <cellStyle name="Normal 3 2 5" xfId="66" xr:uid="{5B6F5BBD-ADAE-4B7E-8D72-81C2B0F17C8E}"/>
    <cellStyle name="Normal 3 3" xfId="45" xr:uid="{00000000-0005-0000-0000-00005A000000}"/>
    <cellStyle name="Normal 3 4" xfId="46" xr:uid="{00000000-0005-0000-0000-00005B000000}"/>
    <cellStyle name="Normal 4" xfId="47" xr:uid="{00000000-0005-0000-0000-00005C000000}"/>
    <cellStyle name="Normal 4 2" xfId="48" xr:uid="{00000000-0005-0000-0000-00005D000000}"/>
    <cellStyle name="Normal 4 3" xfId="49" xr:uid="{00000000-0005-0000-0000-00005E000000}"/>
    <cellStyle name="Normal 5" xfId="50" xr:uid="{00000000-0005-0000-0000-00005F000000}"/>
    <cellStyle name="Normal 5 2" xfId="51" xr:uid="{00000000-0005-0000-0000-000060000000}"/>
    <cellStyle name="Normal 5 3" xfId="8" xr:uid="{00000000-0005-0000-0000-000017000000}"/>
    <cellStyle name="Normal 58" xfId="7" xr:uid="{00000000-0005-0000-0000-00000F000000}"/>
    <cellStyle name="Normal 58 2" xfId="52" xr:uid="{00000000-0005-0000-0000-000061000000}"/>
    <cellStyle name="Normal 6" xfId="53" xr:uid="{00000000-0005-0000-0000-000062000000}"/>
    <cellStyle name="Normal 7" xfId="54" xr:uid="{00000000-0005-0000-0000-000063000000}"/>
    <cellStyle name="Normal 7 2" xfId="6" xr:uid="{00000000-0005-0000-0000-00000D000000}"/>
    <cellStyle name="Normal 8" xfId="55" xr:uid="{00000000-0005-0000-0000-000064000000}"/>
    <cellStyle name="Normal 9" xfId="56" xr:uid="{00000000-0005-0000-0000-000065000000}"/>
    <cellStyle name="Normal_GPR CAM" xfId="5" xr:uid="{00000000-0005-0000-0000-000009000000}"/>
    <cellStyle name="Percent" xfId="4" builtinId="5"/>
    <cellStyle name="Percent 2" xfId="57" xr:uid="{00000000-0005-0000-0000-000066000000}"/>
    <cellStyle name="Percent 2 2" xfId="58" xr:uid="{00000000-0005-0000-0000-000067000000}"/>
    <cellStyle name="Percent 2 2 2" xfId="2" xr:uid="{00000000-0005-0000-0000-000005000000}"/>
    <cellStyle name="Percent 2 3" xfId="59" xr:uid="{00000000-0005-0000-0000-000068000000}"/>
    <cellStyle name="Percent 3" xfId="60" xr:uid="{00000000-0005-0000-0000-000069000000}"/>
    <cellStyle name="Percent 4" xfId="61" xr:uid="{00000000-0005-0000-0000-00006A000000}"/>
    <cellStyle name="Percent 5" xfId="62" xr:uid="{00000000-0005-0000-0000-00006B000000}"/>
    <cellStyle name="Percent 5 2" xfId="63" xr:uid="{00000000-0005-0000-0000-00006C000000}"/>
    <cellStyle name="Percent 6" xfId="65" xr:uid="{543DA8F5-8F75-43D2-B54D-97D11582C2ED}"/>
    <cellStyle name="Percent 7" xfId="68" xr:uid="{004E0D19-D7AB-432B-AFE3-DB7D5119BE1E}"/>
  </cellStyles>
  <dxfs count="331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theme="7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theme="7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theme="7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8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6A3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Macros/Formats/Financials/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0667D-BEC5-48F4-812B-9D1CA15C30CE}" name="LoanTrack" displayName="LoanTrack" ref="B26:BC30" headerRowCount="0" totalsRowCount="1" headerRowDxfId="245" dataDxfId="243" totalsRowDxfId="241" headerRowBorderDxfId="244" tableBorderDxfId="242" totalsRowBorderDxfId="240">
  <tableColumns count="54">
    <tableColumn id="1" xr3:uid="{D5B9E0E3-482F-4A75-978A-F59D1B1DADE2}" name="Column1" totalsRowLabel="Total" headerRowDxfId="239" dataDxfId="238" totalsRowDxfId="237"/>
    <tableColumn id="2" xr3:uid="{F76C7D1A-8A19-4F7B-B7AF-E4461F6DCAEC}" name="Column2" headerRowDxfId="236" dataDxfId="235" totalsRowDxfId="234"/>
    <tableColumn id="3" xr3:uid="{DE9366BB-BD7B-45ED-A8DC-9301C9066203}" name="Column3" totalsRowFunction="count" headerRowDxfId="233" dataDxfId="232" totalsRowDxfId="231"/>
    <tableColumn id="4" xr3:uid="{0CE48D4E-2E17-4BAC-8B27-EC298AFDB8E1}" name="Column4" totalsRowFunction="sum" headerRowDxfId="230" dataDxfId="229" totalsRowDxfId="228"/>
    <tableColumn id="53" xr3:uid="{B420C1DE-F513-4D6C-8225-C74546EC37D6}" name="Column52" totalsRowFunction="sum" headerRowDxfId="227" dataDxfId="226" totalsRowDxfId="225"/>
    <tableColumn id="5" xr3:uid="{78C31378-56EC-42D4-80F3-5422C71D4845}" name="Column5" totalsRowFunction="sum" headerRowDxfId="224" dataDxfId="223" totalsRowDxfId="222"/>
    <tableColumn id="6" xr3:uid="{7E574A7C-771B-407F-B816-9D21F12A52EE}" name="Column6" headerRowDxfId="221" dataDxfId="220" totalsRowDxfId="219"/>
    <tableColumn id="54" xr3:uid="{486B9B14-83F7-4EB8-B667-BB73F3FC2B2C}" name="Column54" totalsRowFunction="sum" headerRowDxfId="218" dataDxfId="217" totalsRowDxfId="216" dataCellStyle="Normal 3 2"/>
    <tableColumn id="7" xr3:uid="{B72FEEBD-97AD-4411-8A34-73E99ED1F33C}" name="Column7" headerRowDxfId="215" dataDxfId="214" totalsRowDxfId="213"/>
    <tableColumn id="8" xr3:uid="{F160A666-DF83-4406-9284-B444611550A5}" name="Column8" headerRowDxfId="212" dataDxfId="211" totalsRowDxfId="210">
      <calculatedColumnFormula>IFERROR(IF(J26&lt;(TODAY()-H26)/30,"",J26-((TODAY()-H26)/30)+1),"")</calculatedColumnFormula>
    </tableColumn>
    <tableColumn id="9" xr3:uid="{6330D50D-1415-48C5-85B5-99CE22C4CE96}" name="Column9" totalsRowFunction="custom" headerRowDxfId="209" dataDxfId="208" totalsRowDxfId="207">
      <totalsRowFormula>COUNTIF(L26:L29,"Yes")</totalsRowFormula>
    </tableColumn>
    <tableColumn id="10" xr3:uid="{790A7765-66DF-423B-90B6-B5E9C43E9623}" name="Column10" totalsRowFunction="sum" headerRowDxfId="206" dataDxfId="205" totalsRowDxfId="204">
      <calculatedColumnFormula>IF(OR(L26="Yes",AND(K26&gt;1,K26&lt;&gt;"")),G26,"")</calculatedColumnFormula>
    </tableColumn>
    <tableColumn id="11" xr3:uid="{EBF1E0CA-6D77-49DD-BA65-ACEE50081C77}" name="Column11" totalsRowFunction="custom" headerRowDxfId="203" dataDxfId="202" totalsRowDxfId="201">
      <totalsRowFormula>SUMPRODUCT((N26:N29&lt;&gt;"")/COUNTIF(N26:N29,N26:N29&amp;""))</totalsRowFormula>
    </tableColumn>
    <tableColumn id="52" xr3:uid="{B18CE4CB-443E-441B-92B3-C6872D0C5213}" name="Column51" totalsRowFunction="sum" headerRowDxfId="200" dataDxfId="199" totalsRowDxfId="198" dataCellStyle="Normal 3 2">
      <calculatedColumnFormula>IF($G26&lt;&gt;"",COUNT($S26,$V26,$Y26,$AB26,$AE26,$AH26,$AK26,$AN26,$AQ26,$AT26,$AW26,$AZ26),"")</calculatedColumnFormula>
    </tableColumn>
    <tableColumn id="55" xr3:uid="{F87B8B46-BC4F-4799-8ABE-31AE9C7899FC}" name="Column53" headerRowDxfId="197" dataDxfId="196" totalsRowDxfId="195" dataCellStyle="Normal 3 2"/>
    <tableColumn id="51" xr3:uid="{481B550F-2F35-4EFD-B4E3-91D7811764BC}" name="Column50" totalsRowFunction="sum" headerRowDxfId="194" dataDxfId="193" totalsRowDxfId="192" dataCellStyle="Normal 3 2">
      <calculatedColumnFormula>IF($G26&lt;&gt;"",SUM($T26,$W26,$Z26,$AC26,$AF26,$AI26,$AL26,$AO26,$AR26,$AU26,$AX26,$BA26),"")</calculatedColumnFormula>
    </tableColumn>
    <tableColumn id="50" xr3:uid="{1F40A3DB-D83F-43EE-8692-5D7E3A378D43}" name="Column49" totalsRowFunction="custom" headerRowDxfId="191" dataDxfId="190" totalsRowDxfId="189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233D56E8-7111-4265-B691-5C15F5620009}" name="Column12" totalsRowFunction="count" headerRowDxfId="188" dataDxfId="187" totalsRowDxfId="186"/>
    <tableColumn id="13" xr3:uid="{0C690302-E4E2-4D5F-B587-86E28A4588DA}" name="Column13" totalsRowFunction="sum" headerRowDxfId="185" dataDxfId="184" totalsRowDxfId="183"/>
    <tableColumn id="14" xr3:uid="{31A05306-D7B8-4D44-80D1-25CFA068FF5F}" name="Column14" totalsRowFunction="custom" headerRowDxfId="182" dataDxfId="181" totalsRowDxfId="180">
      <totalsRowFormula>IFERROR(SUBTOTAL(101,U26:U29),"")</totalsRowFormula>
    </tableColumn>
    <tableColumn id="15" xr3:uid="{31D37F9B-7D1C-44D6-9449-8B5882ECD149}" name="Column15" totalsRowFunction="count" headerRowDxfId="179" dataDxfId="178" totalsRowDxfId="177"/>
    <tableColumn id="16" xr3:uid="{708552EC-75F9-4FC2-85C9-B19E14C2FE6F}" name="Column16" totalsRowFunction="sum" headerRowDxfId="176" dataDxfId="175" totalsRowDxfId="174"/>
    <tableColumn id="17" xr3:uid="{2DD6AF34-CDB9-405B-A396-E983DCE12B84}" name="Column17" totalsRowFunction="custom" headerRowDxfId="173" dataDxfId="172" totalsRowDxfId="171">
      <totalsRowFormula>IFERROR(SUBTOTAL(101,X26:X29),"")</totalsRowFormula>
    </tableColumn>
    <tableColumn id="18" xr3:uid="{F7C71E52-5584-467C-BCAE-28ACCF16F59E}" name="Column18" totalsRowFunction="count" headerRowDxfId="170" dataDxfId="169" totalsRowDxfId="168"/>
    <tableColumn id="19" xr3:uid="{7864722E-52C3-467A-A0DD-FF1BFE51827A}" name="Column19" totalsRowFunction="sum" headerRowDxfId="167" dataDxfId="166" totalsRowDxfId="165"/>
    <tableColumn id="20" xr3:uid="{2389B495-F285-4980-B37E-1A5E875EDD35}" name="Column20" totalsRowFunction="custom" headerRowDxfId="164" dataDxfId="163" totalsRowDxfId="162">
      <totalsRowFormula>IFERROR(SUBTOTAL(101,AA26:AA29),"")</totalsRowFormula>
    </tableColumn>
    <tableColumn id="21" xr3:uid="{8427DBD2-51F3-41BF-93E2-F8958B107819}" name="Column21" totalsRowFunction="count" headerRowDxfId="161" dataDxfId="160" totalsRowDxfId="159"/>
    <tableColumn id="22" xr3:uid="{1CD0D40C-3CAF-411A-BE77-4F20D1C7E367}" name="Column22" totalsRowFunction="sum" headerRowDxfId="158" dataDxfId="157" totalsRowDxfId="156"/>
    <tableColumn id="23" xr3:uid="{B7DAB447-5A0E-4F29-8A89-FA73D5EFB46A}" name="Column23" totalsRowFunction="custom" headerRowDxfId="155" dataDxfId="154" totalsRowDxfId="153">
      <totalsRowFormula>IFERROR(SUBTOTAL(101,AD26:AD29),"")</totalsRowFormula>
    </tableColumn>
    <tableColumn id="24" xr3:uid="{B659DD2F-3191-44C9-A08D-A0C8F8DBA9E0}" name="Column24" totalsRowFunction="count" headerRowDxfId="152" dataDxfId="151" totalsRowDxfId="150"/>
    <tableColumn id="25" xr3:uid="{0787CEE3-9626-446E-95FC-E11E2FA0588F}" name="Column25" totalsRowFunction="sum" headerRowDxfId="149" dataDxfId="148" totalsRowDxfId="147"/>
    <tableColumn id="26" xr3:uid="{9BD2EAA2-5B0A-49C5-BA57-AAF3A4B89A79}" name="Column26" totalsRowFunction="custom" headerRowDxfId="146" dataDxfId="145" totalsRowDxfId="144">
      <totalsRowFormula>IFERROR(SUBTOTAL(101,AG26:AG29),"")</totalsRowFormula>
    </tableColumn>
    <tableColumn id="27" xr3:uid="{0C383D3B-B611-4A5A-8B40-6F6066723E4A}" name="Column27" totalsRowFunction="count" headerRowDxfId="143" dataDxfId="142" totalsRowDxfId="141"/>
    <tableColumn id="28" xr3:uid="{0B74ACB1-3B60-4824-B342-07CC73F8C8DE}" name="Column28" totalsRowFunction="sum" headerRowDxfId="140" dataDxfId="139" totalsRowDxfId="138"/>
    <tableColumn id="29" xr3:uid="{7E9D8D2E-365D-4272-9FF8-2FF52DD5C6F9}" name="Column29" totalsRowFunction="custom" headerRowDxfId="137" dataDxfId="136" totalsRowDxfId="135">
      <totalsRowFormula>IFERROR(SUBTOTAL(101,AJ26:AJ29),"")</totalsRowFormula>
    </tableColumn>
    <tableColumn id="30" xr3:uid="{3AA9B4A5-6BB2-4A5E-BB13-77045BB209DE}" name="Column30" totalsRowFunction="count" headerRowDxfId="134" dataDxfId="133" totalsRowDxfId="132"/>
    <tableColumn id="31" xr3:uid="{84B9BA64-C8F9-4A67-A055-1A87261A5DAD}" name="Column31" totalsRowFunction="sum" headerRowDxfId="131" dataDxfId="130" totalsRowDxfId="129"/>
    <tableColumn id="32" xr3:uid="{A83CACD3-5535-4FB6-87C5-1E5CF2DFE448}" name="Column32" totalsRowFunction="custom" headerRowDxfId="128" dataDxfId="127" totalsRowDxfId="126">
      <totalsRowFormula>IFERROR(SUBTOTAL(101,AM26:AM29),"")</totalsRowFormula>
    </tableColumn>
    <tableColumn id="33" xr3:uid="{969CB109-E878-4B4D-A2FD-4C4415C1A01F}" name="Column33" totalsRowFunction="count" headerRowDxfId="125" dataDxfId="124" totalsRowDxfId="123"/>
    <tableColumn id="34" xr3:uid="{686FC1AC-B3A1-4269-8787-462367C95C08}" name="Column34" totalsRowFunction="sum" headerRowDxfId="122" dataDxfId="121" totalsRowDxfId="120"/>
    <tableColumn id="35" xr3:uid="{E219003B-6CE1-4F52-9DC6-0487DA90E667}" name="Column35" totalsRowFunction="custom" headerRowDxfId="119" dataDxfId="118" totalsRowDxfId="117">
      <totalsRowFormula>IFERROR(SUBTOTAL(101,AP26:AP29),"")</totalsRowFormula>
    </tableColumn>
    <tableColumn id="36" xr3:uid="{6245B627-8860-4065-B192-7A19E66D09AE}" name="Column36" totalsRowFunction="count" headerRowDxfId="116" dataDxfId="115" totalsRowDxfId="114"/>
    <tableColumn id="37" xr3:uid="{527F5C59-5807-4FCC-95E4-D562EC607A38}" name="Column37" totalsRowFunction="sum" headerRowDxfId="113" dataDxfId="112" totalsRowDxfId="111"/>
    <tableColumn id="38" xr3:uid="{F7E51BE5-AE8B-418C-894E-C5B9C223CAF3}" name="Column38" totalsRowFunction="custom" headerRowDxfId="110" dataDxfId="109" totalsRowDxfId="108">
      <totalsRowFormula>IFERROR(SUBTOTAL(101,AS26:AS29),"")</totalsRowFormula>
    </tableColumn>
    <tableColumn id="39" xr3:uid="{FAB7448A-CE7B-43C6-B4B6-845AA04B57D4}" name="Column39" totalsRowFunction="count" headerRowDxfId="107" dataDxfId="106" totalsRowDxfId="105"/>
    <tableColumn id="40" xr3:uid="{3D50B74D-DEF9-4D43-BE51-F41E55750BCD}" name="Column40" totalsRowFunction="sum" headerRowDxfId="104" dataDxfId="103" totalsRowDxfId="102"/>
    <tableColumn id="41" xr3:uid="{82A868D3-C41D-4722-9FAC-352AD4D59ABC}" name="Column41" totalsRowFunction="custom" headerRowDxfId="101" dataDxfId="100" totalsRowDxfId="99">
      <totalsRowFormula>IFERROR(SUBTOTAL(101,AV26:AV29),"")</totalsRowFormula>
    </tableColumn>
    <tableColumn id="42" xr3:uid="{5C90ACD7-9B60-4C04-A49D-E6F8A1B7CA88}" name="Column42" totalsRowFunction="count" headerRowDxfId="98" dataDxfId="97" totalsRowDxfId="96"/>
    <tableColumn id="43" xr3:uid="{30C4D251-F4C5-43ED-AEBE-8D07AB1C0114}" name="Column43" totalsRowFunction="sum" headerRowDxfId="95" dataDxfId="94" totalsRowDxfId="93"/>
    <tableColumn id="44" xr3:uid="{A7F8A0E2-F30F-4404-8E76-FC4294ED2DCC}" name="Column44" totalsRowFunction="custom" headerRowDxfId="92" dataDxfId="91" totalsRowDxfId="90">
      <totalsRowFormula>IFERROR(SUBTOTAL(101,AY26:AY29),"")</totalsRowFormula>
    </tableColumn>
    <tableColumn id="45" xr3:uid="{AE21FD60-0FB4-45B3-975F-4890C6998BD2}" name="Column45" totalsRowFunction="count" headerRowDxfId="89" dataDxfId="88" totalsRowDxfId="87"/>
    <tableColumn id="46" xr3:uid="{8118E144-4DE5-4411-9F6E-76E68EDE5FDE}" name="Column46" totalsRowFunction="sum" headerRowDxfId="86" dataDxfId="85" totalsRowDxfId="84"/>
    <tableColumn id="47" xr3:uid="{2E755922-A430-4AEE-8A74-65B263F3B98F}" name="Column47" totalsRowFunction="custom" headerRowDxfId="83" dataDxfId="82" totalsRowDxfId="81">
      <totalsRowFormula>IFERROR(SUBTOTAL(101,BB26:BB29),"")</totalsRowFormula>
    </tableColumn>
    <tableColumn id="48" xr3:uid="{FD309A32-47E2-4AAE-A43D-E4857B721234}" name="Column48" totalsRowFunction="count" headerRowDxfId="80" dataDxfId="79" totalsRowDxfId="78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"/>
  <sheetViews>
    <sheetView workbookViewId="0">
      <selection activeCell="A18" sqref="A18"/>
    </sheetView>
  </sheetViews>
  <sheetFormatPr defaultColWidth="0" defaultRowHeight="15"/>
  <cols>
    <col min="1" max="1" width="99.5703125" customWidth="1"/>
    <col min="2" max="2" width="33.85546875" customWidth="1"/>
    <col min="3" max="3" width="10.140625" customWidth="1"/>
    <col min="4" max="4" width="10.85546875" customWidth="1"/>
    <col min="5" max="12" width="9.140625" customWidth="1"/>
    <col min="13" max="13" width="23.7109375" customWidth="1"/>
    <col min="14" max="14" width="30.7109375" customWidth="1"/>
    <col min="15" max="16" width="18.140625" customWidth="1"/>
    <col min="17" max="17" width="19.140625" customWidth="1"/>
    <col min="18" max="18" width="18.7109375" customWidth="1"/>
    <col min="19" max="19" width="35.28515625" customWidth="1"/>
    <col min="20" max="16384" width="9.140625" hidden="1"/>
  </cols>
  <sheetData>
    <row r="1" spans="1:19" ht="18.75">
      <c r="A1" s="454" t="s">
        <v>0</v>
      </c>
      <c r="B1" s="455"/>
      <c r="C1" t="str">
        <f>IF(AND(A1&lt;&gt;"",B1=""),"Input Data","")</f>
        <v>Input Data</v>
      </c>
      <c r="D1" s="456" t="s">
        <v>1</v>
      </c>
      <c r="M1" s="157" t="s">
        <v>2</v>
      </c>
      <c r="N1" s="157" t="s">
        <v>3</v>
      </c>
      <c r="O1" s="157" t="s">
        <v>4</v>
      </c>
      <c r="P1" s="157" t="s">
        <v>5</v>
      </c>
      <c r="Q1" s="157" t="s">
        <v>6</v>
      </c>
      <c r="R1" s="157" t="s">
        <v>7</v>
      </c>
      <c r="S1" s="157" t="s">
        <v>8</v>
      </c>
    </row>
    <row r="2" spans="1:19">
      <c r="A2" s="457" t="s">
        <v>9</v>
      </c>
      <c r="B2" s="458"/>
      <c r="C2" t="str">
        <f t="shared" ref="C2:C17" si="0">IF(AND(A2&lt;&gt;"",B2=""),"Input Data","")</f>
        <v>Input Data</v>
      </c>
      <c r="M2" s="166" t="s">
        <v>10</v>
      </c>
      <c r="N2" s="166" t="s">
        <v>11</v>
      </c>
      <c r="O2" s="166" t="s">
        <v>12</v>
      </c>
      <c r="P2" s="166" t="s">
        <v>13</v>
      </c>
      <c r="Q2" s="166" t="s">
        <v>14</v>
      </c>
      <c r="R2" s="166" t="s">
        <v>15</v>
      </c>
      <c r="S2" s="166" t="s">
        <v>16</v>
      </c>
    </row>
    <row r="3" spans="1:19">
      <c r="A3" s="457" t="s">
        <v>17</v>
      </c>
      <c r="B3" s="458" t="s">
        <v>11</v>
      </c>
      <c r="C3" t="str">
        <f t="shared" si="0"/>
        <v/>
      </c>
      <c r="M3" s="166" t="s">
        <v>18</v>
      </c>
      <c r="N3" s="166" t="s">
        <v>19</v>
      </c>
      <c r="O3" s="166" t="s">
        <v>20</v>
      </c>
      <c r="P3" s="166" t="s">
        <v>21</v>
      </c>
      <c r="Q3" t="s">
        <v>22</v>
      </c>
      <c r="R3" t="s">
        <v>23</v>
      </c>
      <c r="S3" t="s">
        <v>24</v>
      </c>
    </row>
    <row r="4" spans="1:19" ht="30">
      <c r="A4" s="459" t="s">
        <v>25</v>
      </c>
      <c r="B4" s="458" t="s">
        <v>26</v>
      </c>
      <c r="C4" t="str">
        <f t="shared" si="0"/>
        <v/>
      </c>
      <c r="M4" s="166" t="s">
        <v>27</v>
      </c>
      <c r="N4" s="166" t="s">
        <v>28</v>
      </c>
      <c r="O4" s="166" t="s">
        <v>29</v>
      </c>
      <c r="P4" t="s">
        <v>30</v>
      </c>
      <c r="Q4" s="166" t="s">
        <v>31</v>
      </c>
      <c r="R4" s="166" t="s">
        <v>32</v>
      </c>
      <c r="S4" t="s">
        <v>33</v>
      </c>
    </row>
    <row r="5" spans="1:19">
      <c r="A5" s="457" t="s">
        <v>34</v>
      </c>
      <c r="B5" s="458" t="s">
        <v>12</v>
      </c>
      <c r="C5" t="str">
        <f t="shared" si="0"/>
        <v/>
      </c>
      <c r="M5" s="166" t="s">
        <v>35</v>
      </c>
      <c r="O5" s="166" t="s">
        <v>36</v>
      </c>
      <c r="P5" s="166" t="s">
        <v>37</v>
      </c>
      <c r="Q5" s="166" t="s">
        <v>38</v>
      </c>
      <c r="S5" t="s">
        <v>39</v>
      </c>
    </row>
    <row r="6" spans="1:19">
      <c r="A6" s="457" t="s">
        <v>5</v>
      </c>
      <c r="B6" s="458" t="s">
        <v>21</v>
      </c>
      <c r="C6" t="str">
        <f t="shared" si="0"/>
        <v/>
      </c>
      <c r="M6" s="166" t="s">
        <v>40</v>
      </c>
      <c r="P6" s="166" t="s">
        <v>41</v>
      </c>
      <c r="Q6" t="s">
        <v>42</v>
      </c>
      <c r="S6" t="s">
        <v>43</v>
      </c>
    </row>
    <row r="7" spans="1:19">
      <c r="A7" s="459" t="str">
        <f>IF(B6=P6,"Whether Directors/Shareholders holding morethan 51% stake in the company joined as party to the loan",IF(B6=P5,"Whether Designated Partners holding morethan 51% stake in the LLP joined as party to the loan",IF(B6=P4,"Whether all the partners are joined as party to the loan",IF(B6=P7,"Whether all joined as party to loan","Indvidual/Proprietorship"))))</f>
        <v>Indvidual/Proprietorship</v>
      </c>
      <c r="B7" s="458" t="s">
        <v>26</v>
      </c>
      <c r="C7" t="str">
        <f t="shared" si="0"/>
        <v/>
      </c>
      <c r="M7" s="166" t="s">
        <v>44</v>
      </c>
      <c r="P7" s="166" t="s">
        <v>45</v>
      </c>
      <c r="Q7" s="166" t="s">
        <v>46</v>
      </c>
    </row>
    <row r="8" spans="1:19">
      <c r="A8" s="457" t="s">
        <v>47</v>
      </c>
      <c r="B8" s="458" t="s">
        <v>32</v>
      </c>
      <c r="C8" t="str">
        <f t="shared" si="0"/>
        <v/>
      </c>
      <c r="M8" s="166" t="s">
        <v>48</v>
      </c>
      <c r="Q8" s="166" t="s">
        <v>45</v>
      </c>
    </row>
    <row r="9" spans="1:19">
      <c r="A9" s="457" t="s">
        <v>49</v>
      </c>
      <c r="B9" s="458" t="s">
        <v>50</v>
      </c>
      <c r="C9" t="str">
        <f t="shared" si="0"/>
        <v/>
      </c>
      <c r="E9" s="200"/>
      <c r="M9" s="166" t="s">
        <v>51</v>
      </c>
    </row>
    <row r="10" spans="1:19">
      <c r="A10" s="457" t="s">
        <v>6</v>
      </c>
      <c r="B10" s="458" t="s">
        <v>22</v>
      </c>
      <c r="C10" t="str">
        <f t="shared" si="0"/>
        <v/>
      </c>
    </row>
    <row r="11" spans="1:19">
      <c r="A11" s="457" t="s">
        <v>52</v>
      </c>
      <c r="B11" s="458"/>
      <c r="C11" t="str">
        <f t="shared" si="0"/>
        <v>Input Data</v>
      </c>
    </row>
    <row r="12" spans="1:19">
      <c r="A12" s="457" t="s">
        <v>53</v>
      </c>
      <c r="B12" s="458"/>
      <c r="C12" t="str">
        <f t="shared" si="0"/>
        <v>Input Data</v>
      </c>
    </row>
    <row r="13" spans="1:19">
      <c r="A13" s="457" t="str">
        <f>IF(OR(B2=M2,B2=M6,B2=M7,B2=M8,B2=M9),"Consumer CIBIL score &gt;=700",IF(OR(B2=M3,B2=M4,B2=M5),"Consumer CIBIL score &gt;=720",""))</f>
        <v/>
      </c>
      <c r="B13" s="458"/>
      <c r="C13" t="str">
        <f t="shared" si="0"/>
        <v/>
      </c>
    </row>
    <row r="14" spans="1:19">
      <c r="A14" s="457" t="s">
        <v>54</v>
      </c>
      <c r="B14" s="458"/>
      <c r="C14" t="str">
        <f t="shared" si="0"/>
        <v>Input Data</v>
      </c>
    </row>
    <row r="15" spans="1:19">
      <c r="A15" s="457" t="s">
        <v>55</v>
      </c>
      <c r="B15" s="458" t="s">
        <v>33</v>
      </c>
      <c r="C15" t="str">
        <f t="shared" si="0"/>
        <v/>
      </c>
    </row>
    <row r="16" spans="1:19" ht="27" customHeight="1">
      <c r="A16" s="457" t="str">
        <f>IF(OR(B2=M4,B2=M2),"Annualised banking transactions are &gt;=75%",IF(B2=M3,"Annualised banking transactions are &gt;=100%",IF(OR(B5=O4,B5=O5),"Annualised banking transactions are &gt;=70%",IF(OR(B2=M6,B2=M7,B2=M8,B2=M9),"","Annualised banking transactions are &gt;=70%"))))</f>
        <v>Annualised banking transactions are &gt;=70%</v>
      </c>
      <c r="B16" s="458" t="s">
        <v>26</v>
      </c>
      <c r="C16" t="str">
        <f t="shared" si="0"/>
        <v/>
      </c>
    </row>
    <row r="17" spans="1:3">
      <c r="A17" s="459" t="str">
        <f>IF(B2=M4,"Is Current Account vintage &gt;=2 years","")</f>
        <v/>
      </c>
      <c r="B17" s="458"/>
      <c r="C17" t="str">
        <f t="shared" si="0"/>
        <v/>
      </c>
    </row>
    <row r="18" spans="1:3">
      <c r="A18" s="460" t="s">
        <v>56</v>
      </c>
      <c r="B18" s="461" t="s">
        <v>57</v>
      </c>
      <c r="C18" t="str">
        <f>IF(B18="","Mandatory","")</f>
        <v/>
      </c>
    </row>
    <row r="19" spans="1:3">
      <c r="A19" s="460" t="s">
        <v>58</v>
      </c>
      <c r="B19" s="462" t="s">
        <v>57</v>
      </c>
      <c r="C19" t="str">
        <f>IF(B19="","Mandatory","")</f>
        <v/>
      </c>
    </row>
  </sheetData>
  <sheetProtection algorithmName="SHA-512" hashValue="jCKSc2yXMPmKFV/AJ2KEaLhoXc60WSamz7r21bxxbSTQeEYcYsKProVazAfe20ILOTUslwTc8rsFX3YAIY4GZw==" saltValue="dfX0l/Y3oYQ/g+89Q3Uo9A==" spinCount="100000" sheet="1" objects="1" scenarios="1" formatCells="0" formatColumns="0" formatRows="0"/>
  <conditionalFormatting sqref="B4">
    <cfRule type="cellIs" dxfId="330" priority="30" operator="equal">
      <formula>"No"</formula>
    </cfRule>
    <cfRule type="cellIs" dxfId="329" priority="31" operator="equal">
      <formula>"Yes"</formula>
    </cfRule>
    <cfRule type="cellIs" dxfId="328" priority="29" operator="equal">
      <formula>"No Property"</formula>
    </cfRule>
    <cfRule type="cellIs" dxfId="327" priority="28" operator="equal">
      <formula>"Less than 5 years"</formula>
    </cfRule>
    <cfRule type="cellIs" dxfId="326" priority="26" operator="equal">
      <formula>"Lessthan 3 years"</formula>
    </cfRule>
    <cfRule type="cellIs" dxfId="325" priority="27" operator="equal">
      <formula>"Less than 3 years"</formula>
    </cfRule>
    <cfRule type="cellIs" dxfId="324" priority="25" operator="equal">
      <formula>"Not Available"</formula>
    </cfRule>
  </conditionalFormatting>
  <conditionalFormatting sqref="B6">
    <cfRule type="containsText" dxfId="323" priority="3" operator="containsText" text="Others">
      <formula>NOT(ISERROR(SEARCH("Others",B6)))</formula>
    </cfRule>
  </conditionalFormatting>
  <conditionalFormatting sqref="B11">
    <cfRule type="cellIs" dxfId="322" priority="37" operator="equal">
      <formula>"No"</formula>
    </cfRule>
    <cfRule type="cellIs" dxfId="321" priority="38" operator="equal">
      <formula>"Yes"</formula>
    </cfRule>
    <cfRule type="cellIs" dxfId="320" priority="36" operator="equal">
      <formula>"No Property"</formula>
    </cfRule>
    <cfRule type="cellIs" dxfId="319" priority="35" operator="equal">
      <formula>"Less than 5 years"</formula>
    </cfRule>
    <cfRule type="cellIs" dxfId="318" priority="33" operator="equal">
      <formula>"Lessthan 3 years"</formula>
    </cfRule>
    <cfRule type="cellIs" dxfId="317" priority="34" operator="equal">
      <formula>"Less than 3 years"</formula>
    </cfRule>
    <cfRule type="cellIs" dxfId="316" priority="32" operator="equal">
      <formula>"Not Available"</formula>
    </cfRule>
  </conditionalFormatting>
  <conditionalFormatting sqref="B16">
    <cfRule type="cellIs" dxfId="315" priority="16" operator="equal">
      <formula>"No"</formula>
    </cfRule>
    <cfRule type="cellIs" dxfId="314" priority="17" operator="equal">
      <formula>"Yes"</formula>
    </cfRule>
    <cfRule type="cellIs" dxfId="313" priority="15" operator="equal">
      <formula>"No Property"</formula>
    </cfRule>
    <cfRule type="cellIs" dxfId="312" priority="14" operator="equal">
      <formula>"Less than 5 years"</formula>
    </cfRule>
    <cfRule type="cellIs" dxfId="311" priority="12" operator="equal">
      <formula>"Lessthan 3 years"</formula>
    </cfRule>
    <cfRule type="cellIs" dxfId="310" priority="13" operator="equal">
      <formula>"Less than 3 years"</formula>
    </cfRule>
    <cfRule type="cellIs" dxfId="309" priority="11" operator="equal">
      <formula>"Not Available"</formula>
    </cfRule>
  </conditionalFormatting>
  <conditionalFormatting sqref="B17">
    <cfRule type="cellIs" dxfId="308" priority="23" operator="equal">
      <formula>"No"</formula>
    </cfRule>
    <cfRule type="cellIs" dxfId="307" priority="24" operator="equal">
      <formula>"Yes"</formula>
    </cfRule>
    <cfRule type="cellIs" dxfId="306" priority="22" operator="equal">
      <formula>"No Property"</formula>
    </cfRule>
    <cfRule type="cellIs" dxfId="305" priority="21" operator="equal">
      <formula>"Less than 5 years"</formula>
    </cfRule>
    <cfRule type="cellIs" dxfId="304" priority="19" operator="equal">
      <formula>"Lessthan 3 years"</formula>
    </cfRule>
    <cfRule type="cellIs" dxfId="303" priority="20" operator="equal">
      <formula>"Less than 3 years"</formula>
    </cfRule>
    <cfRule type="cellIs" dxfId="302" priority="18" operator="equal">
      <formula>"Not Available"</formula>
    </cfRule>
  </conditionalFormatting>
  <conditionalFormatting sqref="B18">
    <cfRule type="containsText" dxfId="301" priority="2" operator="containsText" text="Yes">
      <formula>NOT(ISERROR(SEARCH("Yes",B18)))</formula>
    </cfRule>
  </conditionalFormatting>
  <conditionalFormatting sqref="B19">
    <cfRule type="containsText" dxfId="300" priority="1" operator="containsText" text="Yes">
      <formula>NOT(ISERROR(SEARCH("Yes",B19)))</formula>
    </cfRule>
  </conditionalFormatting>
  <conditionalFormatting sqref="B12:B15">
    <cfRule type="cellIs" dxfId="299" priority="39" operator="equal">
      <formula>"Not Available"</formula>
    </cfRule>
  </conditionalFormatting>
  <conditionalFormatting sqref="B12:B15 B7:B10">
    <cfRule type="cellIs" dxfId="298" priority="46" operator="equal">
      <formula>"No"</formula>
    </cfRule>
    <cfRule type="cellIs" dxfId="297" priority="47" operator="equal">
      <formula>"Yes"</formula>
    </cfRule>
  </conditionalFormatting>
  <conditionalFormatting sqref="B12:B15 B8:B10">
    <cfRule type="cellIs" dxfId="296" priority="45" operator="equal">
      <formula>"No Property"</formula>
    </cfRule>
  </conditionalFormatting>
  <conditionalFormatting sqref="B8:B9 B12:B15">
    <cfRule type="cellIs" dxfId="295" priority="44" operator="equal">
      <formula>"Less than 5 years"</formula>
    </cfRule>
  </conditionalFormatting>
  <conditionalFormatting sqref="B9 B12:B15">
    <cfRule type="cellIs" dxfId="294" priority="42" operator="equal">
      <formula>"Lessthan 3 years"</formula>
    </cfRule>
    <cfRule type="cellIs" dxfId="293" priority="43" operator="equal">
      <formula>"Less than 3 years"</formula>
    </cfRule>
  </conditionalFormatting>
  <dataValidations count="12">
    <dataValidation type="list" allowBlank="1" showInputMessage="1" showErrorMessage="1" sqref="B4 B13" xr:uid="{00000000-0002-0000-0000-000000000000}">
      <formula1>"Yes, No"</formula1>
    </dataValidation>
    <dataValidation type="list" allowBlank="1" showInputMessage="1" showErrorMessage="1" sqref="B2" xr:uid="{00000000-0002-0000-0000-000001000000}">
      <formula1>$M$2:$M$9</formula1>
    </dataValidation>
    <dataValidation type="list" allowBlank="1" showInputMessage="1" showErrorMessage="1" sqref="B3" xr:uid="{00000000-0002-0000-0000-000002000000}">
      <formula1>$N$2:$N$4</formula1>
    </dataValidation>
    <dataValidation type="list" allowBlank="1" showInputMessage="1" showErrorMessage="1" sqref="B7 B18:B19" xr:uid="{00000000-0002-0000-0000-000003000000}">
      <formula1>"Yes,No"</formula1>
    </dataValidation>
    <dataValidation type="list" allowBlank="1" showInputMessage="1" showErrorMessage="1" sqref="B5" xr:uid="{00000000-0002-0000-0000-000004000000}">
      <formula1>$O$2:$O$5</formula1>
    </dataValidation>
    <dataValidation type="list" allowBlank="1" showInputMessage="1" showErrorMessage="1" sqref="B9" xr:uid="{00000000-0002-0000-0000-000005000000}">
      <formula1>"More than 3 years, Equal to 3 years, Lessthan 3 years"</formula1>
    </dataValidation>
    <dataValidation type="list" allowBlank="1" showInputMessage="1" showErrorMessage="1" sqref="B6" xr:uid="{00000000-0002-0000-0000-000006000000}">
      <formula1>$P$2:$P$7</formula1>
    </dataValidation>
    <dataValidation type="list" allowBlank="1" showInputMessage="1" showErrorMessage="1" sqref="B8" xr:uid="{00000000-0002-0000-0000-000007000000}">
      <formula1>$R$2:$R$4</formula1>
    </dataValidation>
    <dataValidation type="list" allowBlank="1" showInputMessage="1" showErrorMessage="1" sqref="B10" xr:uid="{00000000-0002-0000-0000-000008000000}">
      <formula1>$Q$2:$Q$8</formula1>
    </dataValidation>
    <dataValidation type="list" allowBlank="1" showInputMessage="1" showErrorMessage="1" sqref="B11 B14 B16:B17" xr:uid="{00000000-0002-0000-0000-000009000000}">
      <formula1>"Yes, No, Not Applicable"</formula1>
    </dataValidation>
    <dataValidation type="list" allowBlank="1" showInputMessage="1" showErrorMessage="1" sqref="B12" xr:uid="{00000000-0002-0000-0000-00000A000000}">
      <formula1>"Available, Not Available"</formula1>
    </dataValidation>
    <dataValidation type="list" allowBlank="1" showInputMessage="1" showErrorMessage="1" sqref="B15" xr:uid="{00000000-0002-0000-0000-00000B000000}">
      <formula1>$S$2:$S$6</formula1>
    </dataValidation>
  </dataValidations>
  <pageMargins left="0.69930555555555596" right="0.69930555555555596" top="0.75" bottom="0.75" header="0.3" footer="0.3"/>
  <pageSetup paperSize="9" scale="6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96E9-1010-4F9E-B153-F91CD5421A54}">
  <sheetPr codeName="Sheet20">
    <tabColor theme="3" tint="-0.499984740745262"/>
  </sheetPr>
  <dimension ref="A1:BD30"/>
  <sheetViews>
    <sheetView zoomScale="90" zoomScaleNormal="90" workbookViewId="0">
      <selection activeCell="B13" sqref="B13:D13"/>
    </sheetView>
  </sheetViews>
  <sheetFormatPr defaultRowHeight="15" customHeight="1" outlineLevelRow="1"/>
  <cols>
    <col min="1" max="1" width="1.7109375" style="463" customWidth="1"/>
    <col min="2" max="2" width="4.5703125" style="464" customWidth="1"/>
    <col min="3" max="3" width="22.5703125" style="464" customWidth="1"/>
    <col min="4" max="4" width="20.7109375" style="464" customWidth="1"/>
    <col min="5" max="5" width="14.140625" style="464" customWidth="1"/>
    <col min="6" max="7" width="11.7109375" style="464" customWidth="1"/>
    <col min="8" max="8" width="11.140625" style="464" customWidth="1"/>
    <col min="9" max="9" width="14.140625" style="464" customWidth="1"/>
    <col min="10" max="11" width="7.7109375" style="464" customWidth="1"/>
    <col min="12" max="12" width="4" style="464" customWidth="1"/>
    <col min="13" max="13" width="9.7109375" style="464" customWidth="1"/>
    <col min="14" max="14" width="12" style="464" customWidth="1"/>
    <col min="15" max="15" width="5.7109375" style="464" customWidth="1"/>
    <col min="16" max="16" width="7.28515625" style="464" customWidth="1"/>
    <col min="17" max="17" width="9.7109375" style="464" customWidth="1"/>
    <col min="18" max="18" width="13.7109375" style="464" customWidth="1"/>
    <col min="19" max="19" width="5.140625" style="464" customWidth="1"/>
    <col min="20" max="20" width="9.7109375" style="464" customWidth="1"/>
    <col min="21" max="21" width="12.5703125" style="464" customWidth="1"/>
    <col min="22" max="22" width="5.140625" style="464" customWidth="1"/>
    <col min="23" max="23" width="9.7109375" style="464" customWidth="1"/>
    <col min="24" max="24" width="12.7109375" style="464" customWidth="1"/>
    <col min="25" max="25" width="5.140625" style="464" customWidth="1"/>
    <col min="26" max="26" width="9.7109375" style="464" customWidth="1"/>
    <col min="27" max="27" width="12.7109375" style="464" customWidth="1"/>
    <col min="28" max="28" width="5.140625" style="464" customWidth="1"/>
    <col min="29" max="29" width="9.7109375" style="464" customWidth="1"/>
    <col min="30" max="30" width="12.7109375" style="464" customWidth="1"/>
    <col min="31" max="31" width="5.140625" style="464" customWidth="1"/>
    <col min="32" max="32" width="9.7109375" style="464" customWidth="1"/>
    <col min="33" max="33" width="12.7109375" style="464" customWidth="1"/>
    <col min="34" max="34" width="5.140625" style="464" customWidth="1"/>
    <col min="35" max="35" width="9.7109375" style="464" customWidth="1"/>
    <col min="36" max="36" width="12.7109375" style="464" customWidth="1"/>
    <col min="37" max="37" width="5.140625" style="464" customWidth="1"/>
    <col min="38" max="38" width="9.7109375" style="464" customWidth="1"/>
    <col min="39" max="39" width="12.7109375" style="464" customWidth="1"/>
    <col min="40" max="40" width="5.140625" style="464" customWidth="1"/>
    <col min="41" max="41" width="9.7109375" style="464" customWidth="1"/>
    <col min="42" max="42" width="12.7109375" style="464" customWidth="1"/>
    <col min="43" max="43" width="5.140625" style="464" customWidth="1"/>
    <col min="44" max="44" width="9.7109375" style="464" customWidth="1"/>
    <col min="45" max="45" width="12.7109375" style="464" customWidth="1"/>
    <col min="46" max="46" width="5.140625" style="464" customWidth="1"/>
    <col min="47" max="47" width="9.7109375" style="464" customWidth="1"/>
    <col min="48" max="48" width="12.7109375" style="464" customWidth="1"/>
    <col min="49" max="49" width="5.140625" style="464" customWidth="1"/>
    <col min="50" max="50" width="9.7109375" style="464" customWidth="1"/>
    <col min="51" max="51" width="12.7109375" style="464" customWidth="1"/>
    <col min="52" max="52" width="5.140625" style="464" customWidth="1"/>
    <col min="53" max="53" width="9.7109375" style="464" customWidth="1"/>
    <col min="54" max="54" width="12.7109375" style="464" customWidth="1"/>
    <col min="55" max="55" width="37.7109375" style="464" customWidth="1"/>
    <col min="56" max="56" width="9.140625" style="464"/>
    <col min="57" max="16384" width="9.140625" style="465"/>
  </cols>
  <sheetData>
    <row r="1" spans="1:56" ht="13.5" thickBot="1">
      <c r="A1" s="463">
        <v>130</v>
      </c>
    </row>
    <row r="2" spans="1:56" ht="18.75" customHeight="1" outlineLevel="1" thickBot="1">
      <c r="B2" s="640" t="s">
        <v>405</v>
      </c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  <c r="R2" s="641"/>
      <c r="S2" s="641"/>
      <c r="T2" s="641"/>
      <c r="U2" s="641"/>
      <c r="V2" s="641"/>
      <c r="W2" s="641"/>
      <c r="X2" s="641"/>
      <c r="Y2" s="641"/>
      <c r="Z2" s="642"/>
      <c r="BC2" s="465"/>
      <c r="BD2" s="465"/>
    </row>
    <row r="3" spans="1:56" s="468" customFormat="1" ht="17.25" customHeight="1" outlineLevel="1">
      <c r="A3" s="466"/>
      <c r="B3" s="643" t="s">
        <v>105</v>
      </c>
      <c r="C3" s="644"/>
      <c r="D3" s="644"/>
      <c r="E3" s="645" t="s">
        <v>22</v>
      </c>
      <c r="F3" s="645"/>
      <c r="G3" s="645"/>
      <c r="H3" s="645" t="s">
        <v>406</v>
      </c>
      <c r="I3" s="645"/>
      <c r="J3" s="645"/>
      <c r="K3" s="645" t="s">
        <v>407</v>
      </c>
      <c r="L3" s="645"/>
      <c r="M3" s="645"/>
      <c r="N3" s="645"/>
      <c r="O3" s="645" t="s">
        <v>408</v>
      </c>
      <c r="P3" s="645"/>
      <c r="Q3" s="645"/>
      <c r="R3" s="645"/>
      <c r="S3" s="645" t="s">
        <v>409</v>
      </c>
      <c r="T3" s="645"/>
      <c r="U3" s="645"/>
      <c r="V3" s="645"/>
      <c r="W3" s="645" t="s">
        <v>410</v>
      </c>
      <c r="X3" s="645"/>
      <c r="Y3" s="645"/>
      <c r="Z3" s="646"/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7"/>
      <c r="AQ3" s="467"/>
      <c r="AR3" s="467"/>
      <c r="AS3" s="467"/>
      <c r="AT3" s="467"/>
      <c r="AU3" s="467"/>
      <c r="AV3" s="467"/>
      <c r="AW3" s="467"/>
      <c r="AX3" s="467"/>
      <c r="AY3" s="467"/>
      <c r="AZ3" s="467"/>
      <c r="BA3" s="467"/>
      <c r="BB3" s="467"/>
    </row>
    <row r="4" spans="1:56" ht="15" customHeight="1" outlineLevel="1">
      <c r="B4" s="628" t="s">
        <v>411</v>
      </c>
      <c r="C4" s="629"/>
      <c r="D4" s="629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0"/>
      <c r="X4" s="630"/>
      <c r="Y4" s="630"/>
      <c r="Z4" s="631"/>
      <c r="BA4" s="465"/>
      <c r="BB4" s="465"/>
      <c r="BC4" s="465"/>
      <c r="BD4" s="465"/>
    </row>
    <row r="5" spans="1:56" ht="15" customHeight="1" outlineLevel="1">
      <c r="B5" s="628" t="s">
        <v>412</v>
      </c>
      <c r="C5" s="629"/>
      <c r="D5" s="629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1"/>
      <c r="BA5" s="465"/>
      <c r="BB5" s="465"/>
      <c r="BC5" s="465"/>
      <c r="BD5" s="465"/>
    </row>
    <row r="6" spans="1:56" ht="15" customHeight="1" outlineLevel="1">
      <c r="B6" s="628" t="s">
        <v>413</v>
      </c>
      <c r="C6" s="629"/>
      <c r="D6" s="629"/>
      <c r="E6" s="638"/>
      <c r="F6" s="638"/>
      <c r="G6" s="638"/>
      <c r="H6" s="638"/>
      <c r="I6" s="638"/>
      <c r="J6" s="638"/>
      <c r="K6" s="638"/>
      <c r="L6" s="638"/>
      <c r="M6" s="638"/>
      <c r="N6" s="638"/>
      <c r="O6" s="638"/>
      <c r="P6" s="638"/>
      <c r="Q6" s="638"/>
      <c r="R6" s="638"/>
      <c r="S6" s="638"/>
      <c r="T6" s="638"/>
      <c r="U6" s="638"/>
      <c r="V6" s="638"/>
      <c r="W6" s="638"/>
      <c r="X6" s="638"/>
      <c r="Y6" s="638"/>
      <c r="Z6" s="639"/>
      <c r="BA6" s="465"/>
      <c r="BB6" s="465"/>
      <c r="BC6" s="465"/>
      <c r="BD6" s="465"/>
    </row>
    <row r="7" spans="1:56" ht="15" customHeight="1" outlineLevel="1">
      <c r="B7" s="628" t="s">
        <v>414</v>
      </c>
      <c r="C7" s="629"/>
      <c r="D7" s="629"/>
      <c r="E7" s="630"/>
      <c r="F7" s="630"/>
      <c r="G7" s="630"/>
      <c r="H7" s="630"/>
      <c r="I7" s="630"/>
      <c r="J7" s="630"/>
      <c r="K7" s="630"/>
      <c r="L7" s="630"/>
      <c r="M7" s="630"/>
      <c r="N7" s="630"/>
      <c r="O7" s="630"/>
      <c r="P7" s="630"/>
      <c r="Q7" s="630"/>
      <c r="R7" s="630"/>
      <c r="S7" s="630"/>
      <c r="T7" s="630"/>
      <c r="U7" s="630"/>
      <c r="V7" s="630"/>
      <c r="W7" s="630"/>
      <c r="X7" s="630"/>
      <c r="Y7" s="630"/>
      <c r="Z7" s="631"/>
      <c r="BA7" s="465"/>
      <c r="BB7" s="465"/>
      <c r="BC7" s="465"/>
      <c r="BD7" s="465"/>
    </row>
    <row r="8" spans="1:56" s="471" customFormat="1" ht="21" customHeight="1" outlineLevel="1">
      <c r="A8" s="469"/>
      <c r="B8" s="628" t="s">
        <v>415</v>
      </c>
      <c r="C8" s="629"/>
      <c r="D8" s="629"/>
      <c r="E8" s="636"/>
      <c r="F8" s="636"/>
      <c r="G8" s="636"/>
      <c r="H8" s="636"/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636"/>
      <c r="V8" s="636"/>
      <c r="W8" s="636"/>
      <c r="X8" s="636"/>
      <c r="Y8" s="636"/>
      <c r="Z8" s="637"/>
      <c r="AA8" s="470"/>
      <c r="AB8" s="470"/>
      <c r="AC8" s="470"/>
      <c r="AD8" s="470"/>
      <c r="AE8" s="470"/>
      <c r="AF8" s="470"/>
      <c r="AG8" s="470"/>
      <c r="AH8" s="470"/>
      <c r="AI8" s="470"/>
      <c r="AJ8" s="470"/>
      <c r="AK8" s="470"/>
      <c r="AL8" s="470"/>
      <c r="AM8" s="470"/>
      <c r="AN8" s="470"/>
      <c r="AO8" s="470"/>
      <c r="AP8" s="470"/>
      <c r="AQ8" s="470"/>
      <c r="AR8" s="470"/>
      <c r="AS8" s="470"/>
      <c r="AT8" s="470"/>
      <c r="AU8" s="470"/>
      <c r="AV8" s="470"/>
      <c r="AW8" s="470"/>
      <c r="AX8" s="470"/>
      <c r="AY8" s="470"/>
      <c r="AZ8" s="470"/>
    </row>
    <row r="9" spans="1:56" ht="15" customHeight="1" outlineLevel="1">
      <c r="B9" s="628" t="s">
        <v>416</v>
      </c>
      <c r="C9" s="629"/>
      <c r="D9" s="629"/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  <c r="P9" s="630"/>
      <c r="Q9" s="630"/>
      <c r="R9" s="630"/>
      <c r="S9" s="630"/>
      <c r="T9" s="630"/>
      <c r="U9" s="630"/>
      <c r="V9" s="630"/>
      <c r="W9" s="630"/>
      <c r="X9" s="630"/>
      <c r="Y9" s="630"/>
      <c r="Z9" s="631"/>
      <c r="BA9" s="465"/>
      <c r="BB9" s="465"/>
      <c r="BC9" s="465"/>
      <c r="BD9" s="465"/>
    </row>
    <row r="10" spans="1:56" ht="15" customHeight="1" outlineLevel="1">
      <c r="B10" s="628" t="s">
        <v>417</v>
      </c>
      <c r="C10" s="629"/>
      <c r="D10" s="629"/>
      <c r="E10" s="630"/>
      <c r="F10" s="630"/>
      <c r="G10" s="630"/>
      <c r="H10" s="630"/>
      <c r="I10" s="630"/>
      <c r="J10" s="630"/>
      <c r="K10" s="630"/>
      <c r="L10" s="630"/>
      <c r="M10" s="630"/>
      <c r="N10" s="630"/>
      <c r="O10" s="630"/>
      <c r="P10" s="630"/>
      <c r="Q10" s="630"/>
      <c r="R10" s="630"/>
      <c r="S10" s="630"/>
      <c r="T10" s="630"/>
      <c r="U10" s="630"/>
      <c r="V10" s="630"/>
      <c r="W10" s="630"/>
      <c r="X10" s="630"/>
      <c r="Y10" s="630"/>
      <c r="Z10" s="631"/>
      <c r="BA10" s="465"/>
      <c r="BB10" s="465"/>
      <c r="BC10" s="465"/>
      <c r="BD10" s="465"/>
    </row>
    <row r="11" spans="1:56" ht="15" customHeight="1" outlineLevel="1">
      <c r="B11" s="628" t="s">
        <v>418</v>
      </c>
      <c r="C11" s="629"/>
      <c r="D11" s="629"/>
      <c r="E11" s="632"/>
      <c r="F11" s="632"/>
      <c r="G11" s="632"/>
      <c r="H11" s="632"/>
      <c r="I11" s="632"/>
      <c r="J11" s="632"/>
      <c r="K11" s="632"/>
      <c r="L11" s="632"/>
      <c r="M11" s="632"/>
      <c r="N11" s="632"/>
      <c r="O11" s="632"/>
      <c r="P11" s="632"/>
      <c r="Q11" s="632"/>
      <c r="R11" s="632"/>
      <c r="S11" s="632"/>
      <c r="T11" s="632"/>
      <c r="U11" s="632"/>
      <c r="V11" s="632"/>
      <c r="W11" s="632"/>
      <c r="X11" s="632"/>
      <c r="Y11" s="632"/>
      <c r="Z11" s="633"/>
      <c r="BA11" s="465"/>
      <c r="BB11" s="465"/>
      <c r="BC11" s="465"/>
      <c r="BD11" s="465"/>
    </row>
    <row r="12" spans="1:56" ht="15" customHeight="1" outlineLevel="1">
      <c r="B12" s="628" t="s">
        <v>419</v>
      </c>
      <c r="C12" s="629"/>
      <c r="D12" s="629"/>
      <c r="E12" s="632"/>
      <c r="F12" s="632"/>
      <c r="G12" s="632"/>
      <c r="H12" s="632"/>
      <c r="I12" s="632"/>
      <c r="J12" s="632"/>
      <c r="K12" s="632"/>
      <c r="L12" s="632"/>
      <c r="M12" s="632"/>
      <c r="N12" s="632"/>
      <c r="O12" s="632"/>
      <c r="P12" s="632"/>
      <c r="Q12" s="632"/>
      <c r="R12" s="632"/>
      <c r="S12" s="632"/>
      <c r="T12" s="632"/>
      <c r="U12" s="632"/>
      <c r="V12" s="632"/>
      <c r="W12" s="632"/>
      <c r="X12" s="632"/>
      <c r="Y12" s="632"/>
      <c r="Z12" s="633"/>
      <c r="BA12" s="465"/>
      <c r="BB12" s="465"/>
      <c r="BC12" s="465"/>
      <c r="BD12" s="465"/>
    </row>
    <row r="13" spans="1:56" ht="15" customHeight="1" outlineLevel="1">
      <c r="B13" s="628" t="s">
        <v>420</v>
      </c>
      <c r="C13" s="629"/>
      <c r="D13" s="629"/>
      <c r="E13" s="634" t="str">
        <f>IFERROR(E11/E12,"")</f>
        <v/>
      </c>
      <c r="F13" s="634" t="str">
        <f>IFERROR(F11/F12,"")</f>
        <v/>
      </c>
      <c r="G13" s="634" t="str">
        <f>IFERROR(G11/G12,"")</f>
        <v/>
      </c>
      <c r="H13" s="634" t="str">
        <f>IFERROR(H11/H12,"")</f>
        <v/>
      </c>
      <c r="I13" s="634"/>
      <c r="J13" s="634"/>
      <c r="K13" s="634" t="str">
        <f>IFERROR(K11/K12,"")</f>
        <v/>
      </c>
      <c r="L13" s="634"/>
      <c r="M13" s="634"/>
      <c r="N13" s="634"/>
      <c r="O13" s="634" t="str">
        <f>IFERROR(O11/O12,"")</f>
        <v/>
      </c>
      <c r="P13" s="634"/>
      <c r="Q13" s="634"/>
      <c r="R13" s="634"/>
      <c r="S13" s="634" t="str">
        <f>IFERROR(S11/S12,"")</f>
        <v/>
      </c>
      <c r="T13" s="634"/>
      <c r="U13" s="634"/>
      <c r="V13" s="634"/>
      <c r="W13" s="634" t="str">
        <f>IFERROR(W11/W12,"")</f>
        <v/>
      </c>
      <c r="X13" s="634"/>
      <c r="Y13" s="634"/>
      <c r="Z13" s="635"/>
      <c r="BA13" s="465"/>
      <c r="BB13" s="465"/>
      <c r="BC13" s="465"/>
      <c r="BD13" s="465"/>
    </row>
    <row r="14" spans="1:56" ht="15" customHeight="1" outlineLevel="1">
      <c r="B14" s="628" t="s">
        <v>421</v>
      </c>
      <c r="C14" s="629"/>
      <c r="D14" s="629"/>
      <c r="E14" s="630"/>
      <c r="F14" s="630"/>
      <c r="G14" s="630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0"/>
      <c r="U14" s="630"/>
      <c r="V14" s="630"/>
      <c r="W14" s="630"/>
      <c r="X14" s="630"/>
      <c r="Y14" s="630"/>
      <c r="Z14" s="631"/>
      <c r="BA14" s="465"/>
      <c r="BB14" s="465"/>
      <c r="BC14" s="465"/>
      <c r="BD14" s="465"/>
    </row>
    <row r="15" spans="1:56" ht="15" customHeight="1" outlineLevel="1">
      <c r="B15" s="628" t="s">
        <v>422</v>
      </c>
      <c r="C15" s="629"/>
      <c r="D15" s="629"/>
      <c r="E15" s="630"/>
      <c r="F15" s="630"/>
      <c r="G15" s="630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  <c r="T15" s="630"/>
      <c r="U15" s="630"/>
      <c r="V15" s="630"/>
      <c r="W15" s="630"/>
      <c r="X15" s="630"/>
      <c r="Y15" s="630"/>
      <c r="Z15" s="631"/>
      <c r="BA15" s="465"/>
      <c r="BB15" s="465"/>
      <c r="BC15" s="465"/>
      <c r="BD15" s="465"/>
    </row>
    <row r="16" spans="1:56" ht="15" customHeight="1" outlineLevel="1">
      <c r="B16" s="628" t="s">
        <v>423</v>
      </c>
      <c r="C16" s="629"/>
      <c r="D16" s="629"/>
      <c r="E16" s="622"/>
      <c r="F16" s="622"/>
      <c r="G16" s="622"/>
      <c r="H16" s="622"/>
      <c r="I16" s="622"/>
      <c r="J16" s="622"/>
      <c r="K16" s="622"/>
      <c r="L16" s="622"/>
      <c r="M16" s="622"/>
      <c r="N16" s="622"/>
      <c r="O16" s="622"/>
      <c r="P16" s="622"/>
      <c r="Q16" s="622"/>
      <c r="R16" s="622"/>
      <c r="S16" s="622"/>
      <c r="T16" s="622"/>
      <c r="U16" s="622"/>
      <c r="V16" s="622"/>
      <c r="W16" s="622"/>
      <c r="X16" s="622"/>
      <c r="Y16" s="622"/>
      <c r="Z16" s="623"/>
      <c r="BA16" s="465"/>
      <c r="BB16" s="465"/>
      <c r="BC16" s="465"/>
      <c r="BD16" s="465"/>
    </row>
    <row r="17" spans="1:56" ht="15" customHeight="1" outlineLevel="1">
      <c r="B17" s="628" t="s">
        <v>424</v>
      </c>
      <c r="C17" s="629"/>
      <c r="D17" s="629"/>
      <c r="E17" s="622"/>
      <c r="F17" s="622"/>
      <c r="G17" s="622"/>
      <c r="H17" s="622"/>
      <c r="I17" s="622"/>
      <c r="J17" s="622"/>
      <c r="K17" s="622"/>
      <c r="L17" s="622"/>
      <c r="M17" s="622"/>
      <c r="N17" s="622"/>
      <c r="O17" s="622"/>
      <c r="P17" s="622"/>
      <c r="Q17" s="622"/>
      <c r="R17" s="622"/>
      <c r="S17" s="622"/>
      <c r="T17" s="622"/>
      <c r="U17" s="622"/>
      <c r="V17" s="622"/>
      <c r="W17" s="622"/>
      <c r="X17" s="622"/>
      <c r="Y17" s="622"/>
      <c r="Z17" s="623"/>
      <c r="BA17" s="465"/>
      <c r="BB17" s="465"/>
      <c r="BC17" s="465"/>
      <c r="BD17" s="465"/>
    </row>
    <row r="18" spans="1:56" ht="15" customHeight="1" outlineLevel="1">
      <c r="B18" s="628" t="s">
        <v>425</v>
      </c>
      <c r="C18" s="629"/>
      <c r="D18" s="629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2"/>
      <c r="X18" s="622"/>
      <c r="Y18" s="622"/>
      <c r="Z18" s="623"/>
      <c r="BA18" s="465"/>
      <c r="BB18" s="465"/>
      <c r="BC18" s="465"/>
      <c r="BD18" s="465"/>
    </row>
    <row r="19" spans="1:56" ht="15" customHeight="1" outlineLevel="1">
      <c r="B19" s="628" t="s">
        <v>426</v>
      </c>
      <c r="C19" s="629"/>
      <c r="D19" s="629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3"/>
      <c r="BA19" s="465"/>
      <c r="BB19" s="465"/>
      <c r="BC19" s="465"/>
      <c r="BD19" s="465"/>
    </row>
    <row r="20" spans="1:56" ht="15" customHeight="1" outlineLevel="1">
      <c r="B20" s="628" t="s">
        <v>427</v>
      </c>
      <c r="C20" s="629"/>
      <c r="D20" s="629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3"/>
      <c r="BA20" s="465"/>
      <c r="BB20" s="465"/>
      <c r="BC20" s="465"/>
      <c r="BD20" s="465"/>
    </row>
    <row r="21" spans="1:56" ht="15" customHeight="1" outlineLevel="1" thickBot="1">
      <c r="B21" s="624" t="s">
        <v>68</v>
      </c>
      <c r="C21" s="625"/>
      <c r="D21" s="625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7"/>
      <c r="BA21" s="465"/>
      <c r="BB21" s="465"/>
      <c r="BC21" s="465"/>
      <c r="BD21" s="465"/>
    </row>
    <row r="22" spans="1:56" ht="15" customHeight="1" outlineLevel="1" thickBot="1"/>
    <row r="23" spans="1:56" ht="19.5" thickBot="1">
      <c r="A23" s="464"/>
      <c r="B23" s="613" t="s">
        <v>428</v>
      </c>
      <c r="C23" s="614"/>
      <c r="D23" s="614"/>
      <c r="E23" s="614"/>
      <c r="F23" s="614"/>
      <c r="G23" s="614"/>
      <c r="H23" s="614"/>
      <c r="I23" s="614"/>
      <c r="J23" s="614"/>
      <c r="K23" s="614"/>
      <c r="L23" s="614"/>
      <c r="M23" s="614"/>
      <c r="N23" s="615"/>
      <c r="O23" s="613" t="s">
        <v>429</v>
      </c>
      <c r="P23" s="614"/>
      <c r="Q23" s="614"/>
      <c r="R23" s="614"/>
      <c r="S23" s="614"/>
      <c r="T23" s="614"/>
      <c r="U23" s="614"/>
      <c r="V23" s="614"/>
      <c r="W23" s="614"/>
      <c r="X23" s="614"/>
      <c r="Y23" s="614"/>
      <c r="Z23" s="614"/>
      <c r="AA23" s="614"/>
      <c r="AB23" s="614"/>
      <c r="AC23" s="614"/>
      <c r="AD23" s="614"/>
      <c r="AE23" s="614"/>
      <c r="AF23" s="614"/>
      <c r="AG23" s="614"/>
      <c r="AH23" s="614"/>
      <c r="AI23" s="614"/>
      <c r="AJ23" s="614"/>
      <c r="AK23" s="614"/>
      <c r="AL23" s="614"/>
      <c r="AM23" s="614"/>
      <c r="AN23" s="614"/>
      <c r="AO23" s="614"/>
      <c r="AP23" s="614"/>
      <c r="AQ23" s="614"/>
      <c r="AR23" s="614"/>
      <c r="AS23" s="614"/>
      <c r="AT23" s="614"/>
      <c r="AU23" s="614"/>
      <c r="AV23" s="614"/>
      <c r="AW23" s="614"/>
      <c r="AX23" s="614"/>
      <c r="AY23" s="614"/>
      <c r="AZ23" s="614"/>
      <c r="BA23" s="614"/>
      <c r="BB23" s="614"/>
      <c r="BC23" s="615"/>
    </row>
    <row r="24" spans="1:56" s="468" customFormat="1">
      <c r="A24" s="467"/>
      <c r="B24" s="616" t="s">
        <v>403</v>
      </c>
      <c r="C24" s="601" t="s">
        <v>430</v>
      </c>
      <c r="D24" s="601" t="s">
        <v>431</v>
      </c>
      <c r="E24" s="603" t="s">
        <v>432</v>
      </c>
      <c r="F24" s="618" t="s">
        <v>433</v>
      </c>
      <c r="G24" s="618" t="s">
        <v>345</v>
      </c>
      <c r="H24" s="601" t="s">
        <v>434</v>
      </c>
      <c r="I24" s="620" t="s">
        <v>435</v>
      </c>
      <c r="J24" s="601" t="s">
        <v>436</v>
      </c>
      <c r="K24" s="603" t="s">
        <v>437</v>
      </c>
      <c r="L24" s="605" t="s">
        <v>438</v>
      </c>
      <c r="M24" s="606"/>
      <c r="N24" s="607" t="s">
        <v>439</v>
      </c>
      <c r="O24" s="609" t="s">
        <v>322</v>
      </c>
      <c r="P24" s="609"/>
      <c r="Q24" s="610"/>
      <c r="R24" s="611"/>
      <c r="S24" s="612"/>
      <c r="T24" s="598"/>
      <c r="U24" s="599"/>
      <c r="V24" s="597" t="e">
        <f>EDATE(S24,-1)</f>
        <v>#NUM!</v>
      </c>
      <c r="W24" s="598"/>
      <c r="X24" s="599"/>
      <c r="Y24" s="597" t="e">
        <f>EDATE(V24,-1)</f>
        <v>#NUM!</v>
      </c>
      <c r="Z24" s="598"/>
      <c r="AA24" s="599"/>
      <c r="AB24" s="597" t="e">
        <f>EDATE(Y24,-1)</f>
        <v>#NUM!</v>
      </c>
      <c r="AC24" s="598"/>
      <c r="AD24" s="599"/>
      <c r="AE24" s="597" t="e">
        <f>EDATE(AB24,-1)</f>
        <v>#NUM!</v>
      </c>
      <c r="AF24" s="598"/>
      <c r="AG24" s="599"/>
      <c r="AH24" s="597" t="e">
        <f>EDATE(AE24,-1)</f>
        <v>#NUM!</v>
      </c>
      <c r="AI24" s="598"/>
      <c r="AJ24" s="599"/>
      <c r="AK24" s="597" t="e">
        <f>EDATE(AH24,-1)</f>
        <v>#NUM!</v>
      </c>
      <c r="AL24" s="598"/>
      <c r="AM24" s="599"/>
      <c r="AN24" s="597" t="e">
        <f>EDATE(AK24,-1)</f>
        <v>#NUM!</v>
      </c>
      <c r="AO24" s="598"/>
      <c r="AP24" s="599"/>
      <c r="AQ24" s="597" t="e">
        <f>EDATE(AN24,-1)</f>
        <v>#NUM!</v>
      </c>
      <c r="AR24" s="598"/>
      <c r="AS24" s="599"/>
      <c r="AT24" s="597" t="e">
        <f>EDATE(AQ24,-1)</f>
        <v>#NUM!</v>
      </c>
      <c r="AU24" s="598"/>
      <c r="AV24" s="599"/>
      <c r="AW24" s="597" t="e">
        <f>EDATE(AT24,-1)</f>
        <v>#NUM!</v>
      </c>
      <c r="AX24" s="598"/>
      <c r="AY24" s="599"/>
      <c r="AZ24" s="597" t="e">
        <f>EDATE(AW24,-1)</f>
        <v>#NUM!</v>
      </c>
      <c r="BA24" s="598"/>
      <c r="BB24" s="599"/>
      <c r="BC24" s="600" t="s">
        <v>440</v>
      </c>
      <c r="BD24" s="467"/>
    </row>
    <row r="25" spans="1:56" s="468" customFormat="1" ht="45">
      <c r="A25" s="467"/>
      <c r="B25" s="617"/>
      <c r="C25" s="602"/>
      <c r="D25" s="602"/>
      <c r="E25" s="604"/>
      <c r="F25" s="619"/>
      <c r="G25" s="619"/>
      <c r="H25" s="602"/>
      <c r="I25" s="621"/>
      <c r="J25" s="602"/>
      <c r="K25" s="604"/>
      <c r="L25" s="605"/>
      <c r="M25" s="606"/>
      <c r="N25" s="608"/>
      <c r="O25" s="472" t="s">
        <v>441</v>
      </c>
      <c r="P25" s="472" t="s">
        <v>442</v>
      </c>
      <c r="Q25" s="473" t="s">
        <v>443</v>
      </c>
      <c r="R25" s="474" t="s">
        <v>444</v>
      </c>
      <c r="S25" s="475" t="s">
        <v>445</v>
      </c>
      <c r="T25" s="476" t="s">
        <v>345</v>
      </c>
      <c r="U25" s="474" t="s">
        <v>446</v>
      </c>
      <c r="V25" s="477" t="s">
        <v>445</v>
      </c>
      <c r="W25" s="476" t="s">
        <v>345</v>
      </c>
      <c r="X25" s="474" t="s">
        <v>446</v>
      </c>
      <c r="Y25" s="477" t="s">
        <v>445</v>
      </c>
      <c r="Z25" s="476" t="s">
        <v>345</v>
      </c>
      <c r="AA25" s="474" t="s">
        <v>446</v>
      </c>
      <c r="AB25" s="477" t="s">
        <v>445</v>
      </c>
      <c r="AC25" s="476" t="s">
        <v>345</v>
      </c>
      <c r="AD25" s="474" t="s">
        <v>446</v>
      </c>
      <c r="AE25" s="477" t="s">
        <v>445</v>
      </c>
      <c r="AF25" s="476" t="s">
        <v>345</v>
      </c>
      <c r="AG25" s="478" t="s">
        <v>447</v>
      </c>
      <c r="AH25" s="477" t="s">
        <v>445</v>
      </c>
      <c r="AI25" s="476" t="s">
        <v>345</v>
      </c>
      <c r="AJ25" s="474" t="s">
        <v>446</v>
      </c>
      <c r="AK25" s="477" t="s">
        <v>445</v>
      </c>
      <c r="AL25" s="476" t="s">
        <v>345</v>
      </c>
      <c r="AM25" s="474" t="s">
        <v>446</v>
      </c>
      <c r="AN25" s="477" t="s">
        <v>445</v>
      </c>
      <c r="AO25" s="476" t="s">
        <v>345</v>
      </c>
      <c r="AP25" s="474" t="s">
        <v>446</v>
      </c>
      <c r="AQ25" s="477" t="s">
        <v>445</v>
      </c>
      <c r="AR25" s="476" t="s">
        <v>345</v>
      </c>
      <c r="AS25" s="474" t="s">
        <v>446</v>
      </c>
      <c r="AT25" s="477" t="s">
        <v>445</v>
      </c>
      <c r="AU25" s="476" t="s">
        <v>345</v>
      </c>
      <c r="AV25" s="474" t="s">
        <v>446</v>
      </c>
      <c r="AW25" s="477" t="s">
        <v>445</v>
      </c>
      <c r="AX25" s="476" t="s">
        <v>345</v>
      </c>
      <c r="AY25" s="474" t="s">
        <v>446</v>
      </c>
      <c r="AZ25" s="477" t="s">
        <v>445</v>
      </c>
      <c r="BA25" s="476" t="s">
        <v>345</v>
      </c>
      <c r="BB25" s="474" t="s">
        <v>446</v>
      </c>
      <c r="BC25" s="600"/>
      <c r="BD25" s="467"/>
    </row>
    <row r="26" spans="1:56" ht="15" customHeight="1">
      <c r="B26" s="479"/>
      <c r="C26" s="480"/>
      <c r="D26" s="480"/>
      <c r="E26" s="481"/>
      <c r="F26" s="481"/>
      <c r="G26" s="482"/>
      <c r="H26" s="483"/>
      <c r="I26" s="481"/>
      <c r="J26" s="480"/>
      <c r="K26" s="484" t="str">
        <f ca="1">IFERROR(IF(J26&lt;(TODAY()-H26)/30,"",J26-((TODAY()-H26)/30)+1),"")</f>
        <v/>
      </c>
      <c r="L26" s="485"/>
      <c r="M26" s="486" t="str">
        <f t="shared" ref="M26:M29" ca="1" si="0">IF(OR(L26="Yes",AND(K26&gt;1,K26&lt;&gt;"")),G26,"")</f>
        <v/>
      </c>
      <c r="N26" s="480"/>
      <c r="O26" s="487" t="str">
        <f t="shared" ref="O26:O29" si="1">IF($G26&lt;&gt;"",COUNT($S26,$V26,$Y26,$AB26,$AE26,$AH26,$AK26,$AN26,$AQ26,$AT26,$AW26,$AZ26),"")</f>
        <v/>
      </c>
      <c r="P26" s="487"/>
      <c r="Q26" s="488" t="str">
        <f t="shared" ref="Q26:Q29" si="2">IF($G26&lt;&gt;"",SUM($T26,$W26,$Z26,$AC26,$AF26,$AI26,$AL26,$AO26,$AR26,$AU26,$AX26,$BA26),"")</f>
        <v/>
      </c>
      <c r="R26" s="489" t="str">
        <f t="shared" ref="R26:R29" si="3">IF($G26&lt;&gt;"",IFERROR(AVERAGE($U26,$X26,$AA26,$AD26,$AG26,$AJ26,$AM26,$AP26,$AS26,$AV26,$AY26,$BB26),""),"")</f>
        <v/>
      </c>
      <c r="S26" s="480"/>
      <c r="T26" s="481"/>
      <c r="U26" s="488"/>
      <c r="V26" s="480"/>
      <c r="W26" s="481"/>
      <c r="X26" s="488"/>
      <c r="Y26" s="480"/>
      <c r="Z26" s="481"/>
      <c r="AA26" s="488"/>
      <c r="AB26" s="480"/>
      <c r="AC26" s="481"/>
      <c r="AD26" s="488"/>
      <c r="AE26" s="480"/>
      <c r="AF26" s="481"/>
      <c r="AG26" s="488"/>
      <c r="AH26" s="480"/>
      <c r="AI26" s="481"/>
      <c r="AJ26" s="488"/>
      <c r="AK26" s="480"/>
      <c r="AL26" s="481"/>
      <c r="AM26" s="488"/>
      <c r="AN26" s="480"/>
      <c r="AO26" s="481"/>
      <c r="AP26" s="488"/>
      <c r="AQ26" s="480"/>
      <c r="AR26" s="481"/>
      <c r="AS26" s="488"/>
      <c r="AT26" s="480"/>
      <c r="AU26" s="481"/>
      <c r="AV26" s="488"/>
      <c r="AW26" s="480"/>
      <c r="AX26" s="481"/>
      <c r="AY26" s="488"/>
      <c r="AZ26" s="480"/>
      <c r="BA26" s="481"/>
      <c r="BB26" s="488"/>
      <c r="BC26" s="490"/>
    </row>
    <row r="27" spans="1:56" ht="15" customHeight="1">
      <c r="B27" s="479"/>
      <c r="C27" s="491"/>
      <c r="D27" s="480"/>
      <c r="E27" s="492"/>
      <c r="F27" s="481"/>
      <c r="G27" s="493"/>
      <c r="H27" s="494"/>
      <c r="I27" s="492"/>
      <c r="J27" s="491"/>
      <c r="K27" s="484" t="str">
        <f ca="1">IFERROR(IF(J27&lt;(TODAY()-H27)/30,"",J27-((TODAY()-H27)/30)+1),"")</f>
        <v/>
      </c>
      <c r="L27" s="495"/>
      <c r="M27" s="486" t="str">
        <f t="shared" ca="1" si="0"/>
        <v/>
      </c>
      <c r="N27" s="491"/>
      <c r="O27" s="487" t="str">
        <f t="shared" si="1"/>
        <v/>
      </c>
      <c r="P27" s="487"/>
      <c r="Q27" s="488" t="str">
        <f t="shared" si="2"/>
        <v/>
      </c>
      <c r="R27" s="489" t="str">
        <f t="shared" si="3"/>
        <v/>
      </c>
      <c r="S27" s="480"/>
      <c r="T27" s="481"/>
      <c r="U27" s="488"/>
      <c r="V27" s="480"/>
      <c r="W27" s="481"/>
      <c r="X27" s="488"/>
      <c r="Y27" s="480"/>
      <c r="Z27" s="481"/>
      <c r="AA27" s="488"/>
      <c r="AB27" s="480"/>
      <c r="AC27" s="481"/>
      <c r="AD27" s="488"/>
      <c r="AE27" s="480"/>
      <c r="AF27" s="481"/>
      <c r="AG27" s="488"/>
      <c r="AH27" s="480"/>
      <c r="AI27" s="481"/>
      <c r="AJ27" s="488"/>
      <c r="AK27" s="480"/>
      <c r="AL27" s="481"/>
      <c r="AM27" s="488"/>
      <c r="AN27" s="480"/>
      <c r="AO27" s="481"/>
      <c r="AP27" s="488"/>
      <c r="AQ27" s="480"/>
      <c r="AR27" s="481"/>
      <c r="AS27" s="488"/>
      <c r="AT27" s="480"/>
      <c r="AU27" s="481"/>
      <c r="AV27" s="488"/>
      <c r="AW27" s="480"/>
      <c r="AX27" s="481"/>
      <c r="AY27" s="488"/>
      <c r="AZ27" s="480"/>
      <c r="BA27" s="481"/>
      <c r="BB27" s="488"/>
      <c r="BC27" s="496"/>
    </row>
    <row r="28" spans="1:56" ht="15" customHeight="1">
      <c r="B28" s="479"/>
      <c r="C28" s="491"/>
      <c r="D28" s="480"/>
      <c r="E28" s="492"/>
      <c r="F28" s="481"/>
      <c r="G28" s="493"/>
      <c r="H28" s="494"/>
      <c r="I28" s="492"/>
      <c r="J28" s="491"/>
      <c r="K28" s="484" t="str">
        <f ca="1">IFERROR(IF(J28&lt;(TODAY()-H28)/30,"",J28-((TODAY()-H28)/30)+1),"")</f>
        <v/>
      </c>
      <c r="L28" s="495"/>
      <c r="M28" s="486" t="str">
        <f t="shared" ca="1" si="0"/>
        <v/>
      </c>
      <c r="N28" s="491"/>
      <c r="O28" s="487" t="str">
        <f t="shared" si="1"/>
        <v/>
      </c>
      <c r="P28" s="487"/>
      <c r="Q28" s="488" t="str">
        <f t="shared" si="2"/>
        <v/>
      </c>
      <c r="R28" s="488" t="str">
        <f t="shared" si="3"/>
        <v/>
      </c>
      <c r="S28" s="480"/>
      <c r="T28" s="481"/>
      <c r="U28" s="488"/>
      <c r="V28" s="480"/>
      <c r="W28" s="481"/>
      <c r="X28" s="488"/>
      <c r="Y28" s="480"/>
      <c r="Z28" s="481"/>
      <c r="AA28" s="488"/>
      <c r="AB28" s="480"/>
      <c r="AC28" s="481"/>
      <c r="AD28" s="488"/>
      <c r="AE28" s="480"/>
      <c r="AF28" s="481"/>
      <c r="AG28" s="488"/>
      <c r="AH28" s="480"/>
      <c r="AI28" s="481"/>
      <c r="AJ28" s="488"/>
      <c r="AK28" s="480"/>
      <c r="AL28" s="481"/>
      <c r="AM28" s="488"/>
      <c r="AN28" s="480"/>
      <c r="AO28" s="481"/>
      <c r="AP28" s="488"/>
      <c r="AQ28" s="480"/>
      <c r="AR28" s="481"/>
      <c r="AS28" s="488"/>
      <c r="AT28" s="480"/>
      <c r="AU28" s="481"/>
      <c r="AV28" s="488"/>
      <c r="AW28" s="480"/>
      <c r="AX28" s="481"/>
      <c r="AY28" s="488"/>
      <c r="AZ28" s="480"/>
      <c r="BA28" s="481"/>
      <c r="BB28" s="488"/>
      <c r="BC28" s="496"/>
    </row>
    <row r="29" spans="1:56" ht="15" customHeight="1" thickBot="1">
      <c r="B29" s="479"/>
      <c r="C29" s="491"/>
      <c r="D29" s="480"/>
      <c r="E29" s="492"/>
      <c r="F29" s="481"/>
      <c r="G29" s="493"/>
      <c r="H29" s="494"/>
      <c r="I29" s="492"/>
      <c r="J29" s="491"/>
      <c r="K29" s="484" t="str">
        <f ca="1">IFERROR(IF(J29&lt;(TODAY()-H29)/30,"",J29-((TODAY()-H29)/30)+1),"")</f>
        <v/>
      </c>
      <c r="L29" s="495"/>
      <c r="M29" s="486" t="str">
        <f t="shared" ca="1" si="0"/>
        <v/>
      </c>
      <c r="N29" s="491"/>
      <c r="O29" s="487" t="str">
        <f t="shared" si="1"/>
        <v/>
      </c>
      <c r="P29" s="487"/>
      <c r="Q29" s="488" t="str">
        <f t="shared" si="2"/>
        <v/>
      </c>
      <c r="R29" s="488" t="str">
        <f t="shared" si="3"/>
        <v/>
      </c>
      <c r="S29" s="480"/>
      <c r="T29" s="481"/>
      <c r="U29" s="488"/>
      <c r="V29" s="480"/>
      <c r="W29" s="481"/>
      <c r="X29" s="488"/>
      <c r="Y29" s="480"/>
      <c r="Z29" s="481"/>
      <c r="AA29" s="488"/>
      <c r="AB29" s="480"/>
      <c r="AC29" s="481"/>
      <c r="AD29" s="488"/>
      <c r="AE29" s="480"/>
      <c r="AF29" s="481"/>
      <c r="AG29" s="488"/>
      <c r="AH29" s="480"/>
      <c r="AI29" s="481"/>
      <c r="AJ29" s="488"/>
      <c r="AK29" s="480"/>
      <c r="AL29" s="481"/>
      <c r="AM29" s="488"/>
      <c r="AN29" s="480"/>
      <c r="AO29" s="481"/>
      <c r="AP29" s="488"/>
      <c r="AQ29" s="480"/>
      <c r="AR29" s="481"/>
      <c r="AS29" s="488"/>
      <c r="AT29" s="480"/>
      <c r="AU29" s="481"/>
      <c r="AV29" s="488"/>
      <c r="AW29" s="480"/>
      <c r="AX29" s="481"/>
      <c r="AY29" s="488"/>
      <c r="AZ29" s="480"/>
      <c r="BA29" s="481"/>
      <c r="BB29" s="488"/>
      <c r="BC29" s="496"/>
    </row>
    <row r="30" spans="1:56" ht="15" customHeight="1" thickBot="1">
      <c r="B30" s="497" t="s">
        <v>194</v>
      </c>
      <c r="C30" s="498"/>
      <c r="D30" s="499">
        <f>SUBTOTAL(103,LoanTrack[Column3])</f>
        <v>0</v>
      </c>
      <c r="E30" s="500">
        <f>SUBTOTAL(109,LoanTrack[Column4])</f>
        <v>0</v>
      </c>
      <c r="F30" s="500">
        <f>SUBTOTAL(109,LoanTrack[Column52])</f>
        <v>0</v>
      </c>
      <c r="G30" s="501">
        <f>SUBTOTAL(109,LoanTrack[Column5])</f>
        <v>0</v>
      </c>
      <c r="H30" s="498"/>
      <c r="I30" s="500">
        <f>SUBTOTAL(109,LoanTrack[Column54])</f>
        <v>0</v>
      </c>
      <c r="J30" s="498"/>
      <c r="K30" s="498"/>
      <c r="L30" s="498">
        <f>COUNTIF(L26:L29,"Yes")</f>
        <v>0</v>
      </c>
      <c r="M30" s="500">
        <f ca="1">SUBTOTAL(109,LoanTrack[Column10])</f>
        <v>0</v>
      </c>
      <c r="N30" s="499">
        <f>SUMPRODUCT((N26:N29&lt;&gt;"")/COUNTIF(N26:N29,N26:N29&amp;""))</f>
        <v>0</v>
      </c>
      <c r="O30" s="500">
        <f>SUBTOTAL(109,LoanTrack[Column51])</f>
        <v>0</v>
      </c>
      <c r="P30" s="500"/>
      <c r="Q30" s="500">
        <f>SUBTOTAL(109,LoanTrack[Column50])</f>
        <v>0</v>
      </c>
      <c r="R30" s="500" t="str">
        <f>IFERROR(SUBTOTAL(101,R26:R29),"")</f>
        <v/>
      </c>
      <c r="S30" s="500">
        <f>SUBTOTAL(103,LoanTrack[Column12])</f>
        <v>0</v>
      </c>
      <c r="T30" s="500">
        <f>SUBTOTAL(109,LoanTrack[Column13])</f>
        <v>0</v>
      </c>
      <c r="U30" s="500" t="str">
        <f>IFERROR(SUBTOTAL(101,U26:U29),"")</f>
        <v/>
      </c>
      <c r="V30" s="500">
        <f>SUBTOTAL(103,LoanTrack[Column15])</f>
        <v>0</v>
      </c>
      <c r="W30" s="500">
        <f>SUBTOTAL(109,LoanTrack[Column16])</f>
        <v>0</v>
      </c>
      <c r="X30" s="500" t="str">
        <f>IFERROR(SUBTOTAL(101,X26:X29),"")</f>
        <v/>
      </c>
      <c r="Y30" s="500">
        <f>SUBTOTAL(103,LoanTrack[Column18])</f>
        <v>0</v>
      </c>
      <c r="Z30" s="500">
        <f>SUBTOTAL(109,LoanTrack[Column19])</f>
        <v>0</v>
      </c>
      <c r="AA30" s="500" t="str">
        <f>IFERROR(SUBTOTAL(101,AA26:AA29),"")</f>
        <v/>
      </c>
      <c r="AB30" s="500">
        <f>SUBTOTAL(103,LoanTrack[Column21])</f>
        <v>0</v>
      </c>
      <c r="AC30" s="500">
        <f>SUBTOTAL(109,LoanTrack[Column22])</f>
        <v>0</v>
      </c>
      <c r="AD30" s="500" t="str">
        <f>IFERROR(SUBTOTAL(101,AD26:AD29),"")</f>
        <v/>
      </c>
      <c r="AE30" s="500">
        <f>SUBTOTAL(103,LoanTrack[Column24])</f>
        <v>0</v>
      </c>
      <c r="AF30" s="500">
        <f>SUBTOTAL(109,LoanTrack[Column25])</f>
        <v>0</v>
      </c>
      <c r="AG30" s="500" t="str">
        <f>IFERROR(SUBTOTAL(101,AG26:AG29),"")</f>
        <v/>
      </c>
      <c r="AH30" s="500">
        <f>SUBTOTAL(103,LoanTrack[Column27])</f>
        <v>0</v>
      </c>
      <c r="AI30" s="500">
        <f>SUBTOTAL(109,LoanTrack[Column28])</f>
        <v>0</v>
      </c>
      <c r="AJ30" s="500" t="str">
        <f>IFERROR(SUBTOTAL(101,AJ26:AJ29),"")</f>
        <v/>
      </c>
      <c r="AK30" s="500">
        <f>SUBTOTAL(103,LoanTrack[Column30])</f>
        <v>0</v>
      </c>
      <c r="AL30" s="500">
        <f>SUBTOTAL(109,LoanTrack[Column31])</f>
        <v>0</v>
      </c>
      <c r="AM30" s="500" t="str">
        <f>IFERROR(SUBTOTAL(101,AM26:AM29),"")</f>
        <v/>
      </c>
      <c r="AN30" s="500">
        <f>SUBTOTAL(103,LoanTrack[Column33])</f>
        <v>0</v>
      </c>
      <c r="AO30" s="500">
        <f>SUBTOTAL(109,LoanTrack[Column34])</f>
        <v>0</v>
      </c>
      <c r="AP30" s="500" t="str">
        <f>IFERROR(SUBTOTAL(101,AP26:AP29),"")</f>
        <v/>
      </c>
      <c r="AQ30" s="500">
        <f>SUBTOTAL(103,LoanTrack[Column36])</f>
        <v>0</v>
      </c>
      <c r="AR30" s="500">
        <f>SUBTOTAL(109,LoanTrack[Column37])</f>
        <v>0</v>
      </c>
      <c r="AS30" s="500" t="str">
        <f>IFERROR(SUBTOTAL(101,AS26:AS29),"")</f>
        <v/>
      </c>
      <c r="AT30" s="500">
        <f>SUBTOTAL(103,LoanTrack[Column39])</f>
        <v>0</v>
      </c>
      <c r="AU30" s="500">
        <f>SUBTOTAL(109,LoanTrack[Column40])</f>
        <v>0</v>
      </c>
      <c r="AV30" s="500" t="str">
        <f>IFERROR(SUBTOTAL(101,AV26:AV29),"")</f>
        <v/>
      </c>
      <c r="AW30" s="500">
        <f>SUBTOTAL(103,LoanTrack[Column42])</f>
        <v>0</v>
      </c>
      <c r="AX30" s="500">
        <f>SUBTOTAL(109,LoanTrack[Column43])</f>
        <v>0</v>
      </c>
      <c r="AY30" s="500" t="str">
        <f>IFERROR(SUBTOTAL(101,AY26:AY29),"")</f>
        <v/>
      </c>
      <c r="AZ30" s="500">
        <f>SUBTOTAL(103,LoanTrack[Column45])</f>
        <v>0</v>
      </c>
      <c r="BA30" s="500">
        <f>SUBTOTAL(109,LoanTrack[Column46])</f>
        <v>0</v>
      </c>
      <c r="BB30" s="500" t="str">
        <f>IFERROR(SUBTOTAL(101,BB26:BB29),"")</f>
        <v/>
      </c>
      <c r="BC30" s="502">
        <f>SUBTOTAL(103,LoanTrack[Column48])</f>
        <v>0</v>
      </c>
    </row>
  </sheetData>
  <mergeCells count="162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W20:Z20"/>
    <mergeCell ref="B21:D21"/>
    <mergeCell ref="E21:G21"/>
    <mergeCell ref="H21:J21"/>
    <mergeCell ref="K21:N21"/>
    <mergeCell ref="O21:R21"/>
    <mergeCell ref="S21:V21"/>
    <mergeCell ref="W21:Z21"/>
    <mergeCell ref="B20:D20"/>
    <mergeCell ref="E20:G20"/>
    <mergeCell ref="H20:J20"/>
    <mergeCell ref="K20:N20"/>
    <mergeCell ref="O20:R20"/>
    <mergeCell ref="S20:V20"/>
    <mergeCell ref="J24:J25"/>
    <mergeCell ref="K24:K25"/>
    <mergeCell ref="L24:M25"/>
    <mergeCell ref="N24:N25"/>
    <mergeCell ref="O24:R24"/>
    <mergeCell ref="S24:U24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AN24:AP24"/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H24:AJ24"/>
    <mergeCell ref="AK24:AM24"/>
  </mergeCells>
  <dataValidations count="2"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E193C4DF-B8C0-40F7-8F0A-DA1C4FD50A04}">
      <formula1>"Home Loan, LAP,Vehicle Loan,CVL, Personal Loan,Business Loan, CC/OD,Term Loan,Machinery Loan,Education Loan"</formula1>
    </dataValidation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3E5FA399-4370-4796-82B3-6E8B418B0AB0}">
      <formula1>1</formula1>
      <formula2>31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11CA-14A7-40C6-B8E7-776808ADE64C}">
  <dimension ref="A1:AD118"/>
  <sheetViews>
    <sheetView tabSelected="1" workbookViewId="0">
      <pane xSplit="8" ySplit="1" topLeftCell="V2" activePane="bottomRight" state="frozen"/>
      <selection pane="topRight" activeCell="I1" sqref="I1"/>
      <selection pane="bottomLeft" activeCell="A2" sqref="A2"/>
      <selection pane="bottomRight" activeCell="H20" sqref="H20"/>
    </sheetView>
  </sheetViews>
  <sheetFormatPr defaultColWidth="9" defaultRowHeight="15"/>
  <cols>
    <col min="1" max="1" width="5.42578125" bestFit="1" customWidth="1"/>
    <col min="2" max="2" width="17.28515625" customWidth="1"/>
    <col min="3" max="3" width="13.85546875" bestFit="1" customWidth="1"/>
    <col min="4" max="4" width="20.5703125" customWidth="1"/>
    <col min="5" max="5" width="13.140625" bestFit="1" customWidth="1"/>
    <col min="6" max="6" width="18.42578125" customWidth="1"/>
    <col min="7" max="8" width="15" customWidth="1"/>
    <col min="9" max="9" width="14" customWidth="1"/>
    <col min="10" max="10" width="11.7109375" customWidth="1"/>
    <col min="11" max="11" width="7.28515625" customWidth="1"/>
    <col min="12" max="12" width="4.85546875" bestFit="1" customWidth="1"/>
    <col min="13" max="13" width="11.140625" bestFit="1" customWidth="1"/>
    <col min="14" max="14" width="12" customWidth="1"/>
    <col min="15" max="15" width="10" bestFit="1" customWidth="1"/>
    <col min="16" max="16" width="10" customWidth="1"/>
    <col min="17" max="17" width="19" customWidth="1"/>
    <col min="18" max="18" width="7.5703125" bestFit="1" customWidth="1"/>
    <col min="19" max="29" width="8.5703125" bestFit="1" customWidth="1"/>
    <col min="30" max="30" width="40.5703125" customWidth="1"/>
  </cols>
  <sheetData>
    <row r="1" spans="1:30">
      <c r="A1" s="712" t="s">
        <v>316</v>
      </c>
      <c r="B1" s="712" t="s">
        <v>337</v>
      </c>
      <c r="C1" s="712" t="s">
        <v>338</v>
      </c>
      <c r="D1" s="712" t="s">
        <v>339</v>
      </c>
      <c r="E1" s="712" t="s">
        <v>340</v>
      </c>
      <c r="F1" s="712" t="s">
        <v>341</v>
      </c>
      <c r="G1" s="713" t="s">
        <v>342</v>
      </c>
      <c r="H1" s="712" t="s">
        <v>343</v>
      </c>
      <c r="I1" s="712" t="s">
        <v>344</v>
      </c>
      <c r="J1" s="712" t="s">
        <v>345</v>
      </c>
      <c r="K1" s="712" t="s">
        <v>242</v>
      </c>
      <c r="L1" s="712" t="s">
        <v>346</v>
      </c>
      <c r="M1" s="712" t="s">
        <v>347</v>
      </c>
      <c r="N1" s="714" t="s">
        <v>348</v>
      </c>
      <c r="O1" s="715"/>
      <c r="P1" s="716" t="s">
        <v>349</v>
      </c>
      <c r="Q1" s="716" t="s">
        <v>350</v>
      </c>
      <c r="R1" s="717">
        <v>44317</v>
      </c>
      <c r="S1" s="718">
        <f t="shared" ref="S1:AC1" si="0">EDATE(R1,-1)</f>
        <v>44287</v>
      </c>
      <c r="T1" s="718">
        <f t="shared" si="0"/>
        <v>44256</v>
      </c>
      <c r="U1" s="718">
        <f t="shared" si="0"/>
        <v>44228</v>
      </c>
      <c r="V1" s="718">
        <f t="shared" si="0"/>
        <v>44197</v>
      </c>
      <c r="W1" s="718">
        <f t="shared" si="0"/>
        <v>44166</v>
      </c>
      <c r="X1" s="718">
        <f t="shared" si="0"/>
        <v>44136</v>
      </c>
      <c r="Y1" s="718">
        <f t="shared" si="0"/>
        <v>44105</v>
      </c>
      <c r="Z1" s="718">
        <f t="shared" si="0"/>
        <v>44075</v>
      </c>
      <c r="AA1" s="718">
        <f t="shared" si="0"/>
        <v>44044</v>
      </c>
      <c r="AB1" s="718">
        <f t="shared" si="0"/>
        <v>44013</v>
      </c>
      <c r="AC1" s="718">
        <f t="shared" si="0"/>
        <v>43983</v>
      </c>
      <c r="AD1" s="712" t="s">
        <v>68</v>
      </c>
    </row>
    <row r="2" spans="1:30" ht="14.25" customHeight="1">
      <c r="A2" s="72">
        <v>1</v>
      </c>
      <c r="B2" s="719"/>
      <c r="C2" s="720"/>
      <c r="D2" s="75"/>
      <c r="E2" s="721"/>
      <c r="F2" s="721"/>
      <c r="G2" s="722"/>
      <c r="H2" s="723"/>
      <c r="I2" s="723"/>
      <c r="J2" s="724"/>
      <c r="K2" s="75"/>
      <c r="L2" s="75"/>
      <c r="M2" s="725">
        <f t="shared" ref="M2:M66" si="1">K2-L2</f>
        <v>0</v>
      </c>
      <c r="N2" s="726"/>
      <c r="O2" s="727" t="str">
        <f>IF(AND(N2="Yes",M2&gt;=12),J2,IF(AND(N2="Yes",M2&lt;12),J2*M2/12,""))</f>
        <v/>
      </c>
      <c r="P2" s="728" t="str">
        <f>IFERROR(RATE(K2,J2,-H2)*12,"")</f>
        <v/>
      </c>
      <c r="Q2" s="75"/>
      <c r="R2" s="75"/>
      <c r="S2" s="724"/>
      <c r="T2" s="724"/>
      <c r="U2" s="75"/>
      <c r="V2" s="75"/>
      <c r="W2" s="75"/>
      <c r="X2" s="75"/>
      <c r="Y2" s="724"/>
      <c r="Z2" s="724"/>
      <c r="AA2" s="75"/>
      <c r="AB2" s="75"/>
      <c r="AC2" s="75"/>
      <c r="AD2" s="726"/>
    </row>
    <row r="3" spans="1:30">
      <c r="A3" s="72">
        <v>2</v>
      </c>
      <c r="B3" s="729"/>
      <c r="C3" s="720"/>
      <c r="D3" s="75"/>
      <c r="E3" s="721"/>
      <c r="F3" s="721"/>
      <c r="G3" s="722"/>
      <c r="H3" s="723"/>
      <c r="I3" s="723"/>
      <c r="J3" s="724"/>
      <c r="K3" s="75"/>
      <c r="L3" s="75"/>
      <c r="M3" s="725">
        <f t="shared" si="1"/>
        <v>0</v>
      </c>
      <c r="N3" s="726"/>
      <c r="O3" s="727" t="str">
        <f t="shared" ref="O3:O66" si="2">IF(AND(N3="Yes",M3&gt;=12),J3,IF(AND(N3="Yes",M3&lt;12),J3*M3/12,""))</f>
        <v/>
      </c>
      <c r="P3" s="728" t="str">
        <f t="shared" ref="P3:P66" si="3">IFERROR(RATE(K3,J3,-H3)*12,"")</f>
        <v/>
      </c>
      <c r="Q3" s="75"/>
      <c r="R3" s="75"/>
      <c r="S3" s="724"/>
      <c r="T3" s="724"/>
      <c r="U3" s="75"/>
      <c r="V3" s="75"/>
      <c r="W3" s="75"/>
      <c r="X3" s="75"/>
      <c r="Y3" s="724"/>
      <c r="Z3" s="724"/>
      <c r="AA3" s="75"/>
      <c r="AB3" s="75"/>
      <c r="AC3" s="75"/>
      <c r="AD3" s="726"/>
    </row>
    <row r="4" spans="1:30">
      <c r="A4" s="72">
        <v>3</v>
      </c>
      <c r="B4" s="729"/>
      <c r="C4" s="720"/>
      <c r="D4" s="726"/>
      <c r="E4" s="721"/>
      <c r="F4" s="721"/>
      <c r="G4" s="722"/>
      <c r="H4" s="723"/>
      <c r="I4" s="723"/>
      <c r="J4" s="724"/>
      <c r="K4" s="75"/>
      <c r="L4" s="75"/>
      <c r="M4" s="725">
        <f t="shared" si="1"/>
        <v>0</v>
      </c>
      <c r="N4" s="726"/>
      <c r="O4" s="727" t="str">
        <f t="shared" si="2"/>
        <v/>
      </c>
      <c r="P4" s="728" t="str">
        <f t="shared" si="3"/>
        <v/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26"/>
    </row>
    <row r="5" spans="1:30">
      <c r="A5" s="72">
        <v>4</v>
      </c>
      <c r="B5" s="729"/>
      <c r="C5" s="720"/>
      <c r="D5" s="75"/>
      <c r="E5" s="721"/>
      <c r="F5" s="721"/>
      <c r="G5" s="722"/>
      <c r="H5" s="723"/>
      <c r="I5" s="723"/>
      <c r="J5" s="724"/>
      <c r="K5" s="75"/>
      <c r="L5" s="75"/>
      <c r="M5" s="725">
        <f t="shared" si="1"/>
        <v>0</v>
      </c>
      <c r="N5" s="726"/>
      <c r="O5" s="727" t="str">
        <f t="shared" si="2"/>
        <v/>
      </c>
      <c r="P5" s="728" t="str">
        <f t="shared" si="3"/>
        <v/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26"/>
    </row>
    <row r="6" spans="1:30">
      <c r="A6" s="72">
        <v>5</v>
      </c>
      <c r="B6" s="729"/>
      <c r="C6" s="720"/>
      <c r="D6" s="75"/>
      <c r="E6" s="721"/>
      <c r="F6" s="721"/>
      <c r="G6" s="722"/>
      <c r="H6" s="724"/>
      <c r="I6" s="724"/>
      <c r="J6" s="724"/>
      <c r="K6" s="75"/>
      <c r="L6" s="75"/>
      <c r="M6" s="725">
        <f t="shared" si="1"/>
        <v>0</v>
      </c>
      <c r="N6" s="726"/>
      <c r="O6" s="727" t="str">
        <f t="shared" si="2"/>
        <v/>
      </c>
      <c r="P6" s="728" t="str">
        <f t="shared" si="3"/>
        <v/>
      </c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</row>
    <row r="7" spans="1:30">
      <c r="A7" s="72">
        <v>6</v>
      </c>
      <c r="B7" s="729"/>
      <c r="C7" s="720"/>
      <c r="D7" s="75"/>
      <c r="E7" s="721"/>
      <c r="F7" s="721"/>
      <c r="G7" s="722"/>
      <c r="H7" s="724"/>
      <c r="I7" s="724"/>
      <c r="J7" s="724"/>
      <c r="K7" s="75"/>
      <c r="L7" s="75"/>
      <c r="M7" s="725">
        <f t="shared" si="1"/>
        <v>0</v>
      </c>
      <c r="N7" s="726"/>
      <c r="O7" s="727" t="str">
        <f t="shared" si="2"/>
        <v/>
      </c>
      <c r="P7" s="728" t="str">
        <f t="shared" si="3"/>
        <v/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26"/>
    </row>
    <row r="8" spans="1:30">
      <c r="A8" s="72">
        <v>7</v>
      </c>
      <c r="B8" s="729"/>
      <c r="C8" s="720"/>
      <c r="D8" s="75"/>
      <c r="E8" s="721"/>
      <c r="F8" s="721"/>
      <c r="G8" s="722"/>
      <c r="H8" s="724"/>
      <c r="I8" s="724"/>
      <c r="J8" s="724"/>
      <c r="K8" s="75"/>
      <c r="L8" s="75"/>
      <c r="M8" s="725">
        <f t="shared" si="1"/>
        <v>0</v>
      </c>
      <c r="N8" s="726"/>
      <c r="O8" s="727" t="str">
        <f t="shared" si="2"/>
        <v/>
      </c>
      <c r="P8" s="728" t="str">
        <f t="shared" si="3"/>
        <v/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</row>
    <row r="9" spans="1:30">
      <c r="A9" s="72">
        <v>8</v>
      </c>
      <c r="B9" s="729"/>
      <c r="C9" s="720"/>
      <c r="D9" s="75"/>
      <c r="E9" s="721"/>
      <c r="F9" s="721"/>
      <c r="G9" s="722"/>
      <c r="H9" s="730"/>
      <c r="I9" s="730"/>
      <c r="J9" s="724"/>
      <c r="K9" s="75"/>
      <c r="L9" s="75"/>
      <c r="M9" s="725">
        <f t="shared" si="1"/>
        <v>0</v>
      </c>
      <c r="N9" s="726"/>
      <c r="O9" s="727" t="str">
        <f t="shared" si="2"/>
        <v/>
      </c>
      <c r="P9" s="728" t="str">
        <f t="shared" si="3"/>
        <v/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</row>
    <row r="10" spans="1:30">
      <c r="A10" s="72">
        <v>9</v>
      </c>
      <c r="B10" s="729"/>
      <c r="C10" s="720"/>
      <c r="D10" s="75"/>
      <c r="E10" s="721"/>
      <c r="F10" s="721"/>
      <c r="G10" s="722"/>
      <c r="H10" s="724"/>
      <c r="I10" s="724"/>
      <c r="J10" s="724"/>
      <c r="K10" s="75"/>
      <c r="L10" s="75"/>
      <c r="M10" s="725">
        <f t="shared" si="1"/>
        <v>0</v>
      </c>
      <c r="N10" s="726"/>
      <c r="O10" s="727" t="str">
        <f t="shared" si="2"/>
        <v/>
      </c>
      <c r="P10" s="728" t="str">
        <f t="shared" si="3"/>
        <v/>
      </c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26"/>
    </row>
    <row r="11" spans="1:30">
      <c r="A11" s="72">
        <v>10</v>
      </c>
      <c r="B11" s="729"/>
      <c r="C11" s="720"/>
      <c r="D11" s="75"/>
      <c r="E11" s="721"/>
      <c r="F11" s="721"/>
      <c r="G11" s="722"/>
      <c r="H11" s="724"/>
      <c r="I11" s="724"/>
      <c r="J11" s="724"/>
      <c r="K11" s="75"/>
      <c r="L11" s="75"/>
      <c r="M11" s="725">
        <f t="shared" si="1"/>
        <v>0</v>
      </c>
      <c r="N11" s="726"/>
      <c r="O11" s="727" t="str">
        <f t="shared" si="2"/>
        <v/>
      </c>
      <c r="P11" s="728" t="str">
        <f t="shared" si="3"/>
        <v/>
      </c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</row>
    <row r="12" spans="1:30">
      <c r="A12" s="72">
        <v>11</v>
      </c>
      <c r="B12" s="729"/>
      <c r="C12" s="720"/>
      <c r="D12" s="75"/>
      <c r="E12" s="721"/>
      <c r="F12" s="721"/>
      <c r="G12" s="722"/>
      <c r="H12" s="724"/>
      <c r="I12" s="724"/>
      <c r="J12" s="724"/>
      <c r="K12" s="75"/>
      <c r="L12" s="75"/>
      <c r="M12" s="725">
        <f t="shared" si="1"/>
        <v>0</v>
      </c>
      <c r="N12" s="726"/>
      <c r="O12" s="727" t="str">
        <f t="shared" si="2"/>
        <v/>
      </c>
      <c r="P12" s="728" t="str">
        <f t="shared" si="3"/>
        <v/>
      </c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1:30">
      <c r="A13" s="72">
        <v>12</v>
      </c>
      <c r="B13" s="729"/>
      <c r="C13" s="720"/>
      <c r="D13" s="75"/>
      <c r="E13" s="721"/>
      <c r="F13" s="721"/>
      <c r="G13" s="722"/>
      <c r="H13" s="724"/>
      <c r="I13" s="724"/>
      <c r="J13" s="724"/>
      <c r="K13" s="75"/>
      <c r="L13" s="75"/>
      <c r="M13" s="725">
        <f t="shared" si="1"/>
        <v>0</v>
      </c>
      <c r="N13" s="726"/>
      <c r="O13" s="727" t="str">
        <f t="shared" si="2"/>
        <v/>
      </c>
      <c r="P13" s="728" t="str">
        <f t="shared" si="3"/>
        <v/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</row>
    <row r="14" spans="1:30">
      <c r="A14" s="72">
        <v>13</v>
      </c>
      <c r="B14" s="729"/>
      <c r="C14" s="720"/>
      <c r="D14" s="75"/>
      <c r="E14" s="721"/>
      <c r="F14" s="721"/>
      <c r="G14" s="722"/>
      <c r="H14" s="724"/>
      <c r="I14" s="724"/>
      <c r="J14" s="724"/>
      <c r="K14" s="75"/>
      <c r="L14" s="75"/>
      <c r="M14" s="725">
        <f t="shared" si="1"/>
        <v>0</v>
      </c>
      <c r="N14" s="726"/>
      <c r="O14" s="727" t="str">
        <f t="shared" si="2"/>
        <v/>
      </c>
      <c r="P14" s="728" t="str">
        <f t="shared" si="3"/>
        <v/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5" spans="1:30">
      <c r="A15" s="72">
        <v>14</v>
      </c>
      <c r="B15" s="729"/>
      <c r="C15" s="720"/>
      <c r="D15" s="75"/>
      <c r="E15" s="721"/>
      <c r="F15" s="721"/>
      <c r="G15" s="722"/>
      <c r="H15" s="724"/>
      <c r="I15" s="724"/>
      <c r="J15" s="724"/>
      <c r="K15" s="75"/>
      <c r="L15" s="75"/>
      <c r="M15" s="725">
        <f t="shared" si="1"/>
        <v>0</v>
      </c>
      <c r="N15" s="726"/>
      <c r="O15" s="727" t="str">
        <f t="shared" si="2"/>
        <v/>
      </c>
      <c r="P15" s="728" t="str">
        <f t="shared" si="3"/>
        <v/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</row>
    <row r="16" spans="1:30">
      <c r="A16" s="72">
        <v>15</v>
      </c>
      <c r="B16" s="729"/>
      <c r="C16" s="720"/>
      <c r="D16" s="75"/>
      <c r="E16" s="721"/>
      <c r="F16" s="721"/>
      <c r="G16" s="722"/>
      <c r="H16" s="724"/>
      <c r="I16" s="724"/>
      <c r="J16" s="724"/>
      <c r="K16" s="75"/>
      <c r="L16" s="75"/>
      <c r="M16" s="725">
        <f t="shared" si="1"/>
        <v>0</v>
      </c>
      <c r="N16" s="726"/>
      <c r="O16" s="727" t="str">
        <f t="shared" si="2"/>
        <v/>
      </c>
      <c r="P16" s="728" t="str">
        <f t="shared" si="3"/>
        <v/>
      </c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</row>
    <row r="17" spans="1:30">
      <c r="A17" s="72">
        <v>16</v>
      </c>
      <c r="B17" s="729"/>
      <c r="C17" s="720"/>
      <c r="D17" s="75"/>
      <c r="E17" s="721"/>
      <c r="F17" s="721"/>
      <c r="G17" s="722"/>
      <c r="H17" s="724"/>
      <c r="I17" s="724"/>
      <c r="J17" s="724"/>
      <c r="K17" s="75"/>
      <c r="L17" s="75"/>
      <c r="M17" s="725">
        <f t="shared" si="1"/>
        <v>0</v>
      </c>
      <c r="N17" s="726"/>
      <c r="O17" s="727" t="str">
        <f t="shared" si="2"/>
        <v/>
      </c>
      <c r="P17" s="728" t="str">
        <f t="shared" si="3"/>
        <v/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</row>
    <row r="18" spans="1:30">
      <c r="A18" s="72">
        <v>17</v>
      </c>
      <c r="B18" s="729"/>
      <c r="C18" s="720"/>
      <c r="D18" s="75"/>
      <c r="E18" s="721"/>
      <c r="F18" s="721"/>
      <c r="G18" s="722"/>
      <c r="H18" s="724"/>
      <c r="I18" s="724"/>
      <c r="J18" s="724"/>
      <c r="K18" s="75"/>
      <c r="L18" s="75"/>
      <c r="M18" s="725">
        <f t="shared" si="1"/>
        <v>0</v>
      </c>
      <c r="N18" s="726"/>
      <c r="O18" s="727" t="str">
        <f t="shared" si="2"/>
        <v/>
      </c>
      <c r="P18" s="728" t="str">
        <f t="shared" si="3"/>
        <v/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19" spans="1:30">
      <c r="A19" s="72">
        <v>18</v>
      </c>
      <c r="B19" s="729"/>
      <c r="C19" s="720"/>
      <c r="D19" s="75"/>
      <c r="E19" s="721"/>
      <c r="F19" s="721"/>
      <c r="G19" s="722"/>
      <c r="H19" s="724"/>
      <c r="I19" s="724"/>
      <c r="J19" s="724"/>
      <c r="K19" s="75"/>
      <c r="L19" s="75"/>
      <c r="M19" s="725">
        <f t="shared" si="1"/>
        <v>0</v>
      </c>
      <c r="N19" s="726"/>
      <c r="O19" s="727" t="str">
        <f t="shared" si="2"/>
        <v/>
      </c>
      <c r="P19" s="728" t="str">
        <f t="shared" si="3"/>
        <v/>
      </c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</row>
    <row r="20" spans="1:30">
      <c r="A20" s="72">
        <v>19</v>
      </c>
      <c r="B20" s="729"/>
      <c r="C20" s="720"/>
      <c r="D20" s="75"/>
      <c r="E20" s="721"/>
      <c r="F20" s="721"/>
      <c r="G20" s="722"/>
      <c r="H20" s="724"/>
      <c r="I20" s="724"/>
      <c r="J20" s="724"/>
      <c r="K20" s="75"/>
      <c r="L20" s="75"/>
      <c r="M20" s="725">
        <f t="shared" si="1"/>
        <v>0</v>
      </c>
      <c r="N20" s="726"/>
      <c r="O20" s="727" t="str">
        <f t="shared" si="2"/>
        <v/>
      </c>
      <c r="P20" s="728" t="str">
        <f t="shared" si="3"/>
        <v/>
      </c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</row>
    <row r="21" spans="1:30">
      <c r="A21" s="72">
        <v>20</v>
      </c>
      <c r="B21" s="729"/>
      <c r="C21" s="720"/>
      <c r="D21" s="75"/>
      <c r="E21" s="721"/>
      <c r="F21" s="721"/>
      <c r="G21" s="722"/>
      <c r="H21" s="724"/>
      <c r="I21" s="724"/>
      <c r="J21" s="724"/>
      <c r="K21" s="75"/>
      <c r="L21" s="75"/>
      <c r="M21" s="725">
        <f t="shared" si="1"/>
        <v>0</v>
      </c>
      <c r="N21" s="726"/>
      <c r="O21" s="727" t="str">
        <f t="shared" si="2"/>
        <v/>
      </c>
      <c r="P21" s="728" t="str">
        <f t="shared" si="3"/>
        <v/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</row>
    <row r="22" spans="1:30">
      <c r="A22" s="72">
        <v>21</v>
      </c>
      <c r="B22" s="729"/>
      <c r="C22" s="720"/>
      <c r="D22" s="75"/>
      <c r="E22" s="721"/>
      <c r="F22" s="721"/>
      <c r="G22" s="722"/>
      <c r="H22" s="724"/>
      <c r="I22" s="724"/>
      <c r="J22" s="724"/>
      <c r="K22" s="75"/>
      <c r="L22" s="75"/>
      <c r="M22" s="725">
        <f t="shared" si="1"/>
        <v>0</v>
      </c>
      <c r="N22" s="726"/>
      <c r="O22" s="727" t="str">
        <f t="shared" si="2"/>
        <v/>
      </c>
      <c r="P22" s="728" t="str">
        <f t="shared" si="3"/>
        <v/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</row>
    <row r="23" spans="1:30">
      <c r="A23" s="72">
        <v>22</v>
      </c>
      <c r="B23" s="729"/>
      <c r="C23" s="720"/>
      <c r="D23" s="75"/>
      <c r="E23" s="721"/>
      <c r="F23" s="721"/>
      <c r="G23" s="722"/>
      <c r="H23" s="724"/>
      <c r="I23" s="724"/>
      <c r="J23" s="724"/>
      <c r="K23" s="75"/>
      <c r="L23" s="75"/>
      <c r="M23" s="725">
        <f t="shared" si="1"/>
        <v>0</v>
      </c>
      <c r="N23" s="726"/>
      <c r="O23" s="727" t="str">
        <f t="shared" si="2"/>
        <v/>
      </c>
      <c r="P23" s="728" t="str">
        <f t="shared" si="3"/>
        <v/>
      </c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</row>
    <row r="24" spans="1:30">
      <c r="A24" s="72">
        <v>23</v>
      </c>
      <c r="B24" s="729"/>
      <c r="C24" s="720"/>
      <c r="D24" s="75"/>
      <c r="E24" s="721"/>
      <c r="F24" s="721"/>
      <c r="G24" s="722"/>
      <c r="H24" s="724"/>
      <c r="I24" s="724"/>
      <c r="J24" s="724"/>
      <c r="K24" s="75"/>
      <c r="L24" s="75"/>
      <c r="M24" s="725">
        <f t="shared" si="1"/>
        <v>0</v>
      </c>
      <c r="N24" s="726"/>
      <c r="O24" s="727" t="str">
        <f t="shared" si="2"/>
        <v/>
      </c>
      <c r="P24" s="728" t="str">
        <f t="shared" si="3"/>
        <v/>
      </c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</row>
    <row r="25" spans="1:30">
      <c r="A25" s="72">
        <v>24</v>
      </c>
      <c r="B25" s="729"/>
      <c r="C25" s="720"/>
      <c r="D25" s="75"/>
      <c r="E25" s="721"/>
      <c r="F25" s="721"/>
      <c r="G25" s="722"/>
      <c r="H25" s="724"/>
      <c r="I25" s="724"/>
      <c r="J25" s="724"/>
      <c r="K25" s="75"/>
      <c r="L25" s="75"/>
      <c r="M25" s="725">
        <f t="shared" si="1"/>
        <v>0</v>
      </c>
      <c r="N25" s="726"/>
      <c r="O25" s="727" t="str">
        <f t="shared" si="2"/>
        <v/>
      </c>
      <c r="P25" s="728" t="str">
        <f t="shared" si="3"/>
        <v/>
      </c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</row>
    <row r="26" spans="1:30">
      <c r="A26" s="72">
        <v>25</v>
      </c>
      <c r="B26" s="729"/>
      <c r="C26" s="720"/>
      <c r="D26" s="75"/>
      <c r="E26" s="721"/>
      <c r="F26" s="721"/>
      <c r="G26" s="722"/>
      <c r="H26" s="724"/>
      <c r="I26" s="724"/>
      <c r="J26" s="724"/>
      <c r="K26" s="75"/>
      <c r="L26" s="75"/>
      <c r="M26" s="725">
        <f t="shared" si="1"/>
        <v>0</v>
      </c>
      <c r="N26" s="726"/>
      <c r="O26" s="727" t="str">
        <f t="shared" si="2"/>
        <v/>
      </c>
      <c r="P26" s="728" t="str">
        <f t="shared" si="3"/>
        <v/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</row>
    <row r="27" spans="1:30">
      <c r="A27" s="72">
        <v>26</v>
      </c>
      <c r="B27" s="729"/>
      <c r="C27" s="720"/>
      <c r="D27" s="75"/>
      <c r="E27" s="721"/>
      <c r="F27" s="721"/>
      <c r="G27" s="722"/>
      <c r="H27" s="724"/>
      <c r="I27" s="724"/>
      <c r="J27" s="724"/>
      <c r="K27" s="75"/>
      <c r="L27" s="75"/>
      <c r="M27" s="725">
        <f t="shared" si="1"/>
        <v>0</v>
      </c>
      <c r="N27" s="726"/>
      <c r="O27" s="727" t="str">
        <f t="shared" si="2"/>
        <v/>
      </c>
      <c r="P27" s="728" t="str">
        <f t="shared" si="3"/>
        <v/>
      </c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</row>
    <row r="28" spans="1:30">
      <c r="A28" s="72">
        <v>27</v>
      </c>
      <c r="B28" s="729"/>
      <c r="C28" s="720"/>
      <c r="D28" s="75"/>
      <c r="E28" s="721"/>
      <c r="F28" s="721"/>
      <c r="G28" s="722"/>
      <c r="H28" s="724"/>
      <c r="I28" s="724"/>
      <c r="J28" s="724"/>
      <c r="K28" s="75"/>
      <c r="L28" s="75"/>
      <c r="M28" s="725">
        <f t="shared" si="1"/>
        <v>0</v>
      </c>
      <c r="N28" s="726"/>
      <c r="O28" s="727" t="str">
        <f t="shared" si="2"/>
        <v/>
      </c>
      <c r="P28" s="728" t="str">
        <f t="shared" si="3"/>
        <v/>
      </c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</row>
    <row r="29" spans="1:30">
      <c r="A29" s="72">
        <v>28</v>
      </c>
      <c r="B29" s="729"/>
      <c r="C29" s="720"/>
      <c r="D29" s="75"/>
      <c r="E29" s="721"/>
      <c r="F29" s="721"/>
      <c r="G29" s="722"/>
      <c r="H29" s="724"/>
      <c r="I29" s="724"/>
      <c r="J29" s="724"/>
      <c r="K29" s="75"/>
      <c r="L29" s="75"/>
      <c r="M29" s="725">
        <f t="shared" si="1"/>
        <v>0</v>
      </c>
      <c r="N29" s="726"/>
      <c r="O29" s="727" t="str">
        <f t="shared" si="2"/>
        <v/>
      </c>
      <c r="P29" s="728" t="str">
        <f t="shared" si="3"/>
        <v/>
      </c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</row>
    <row r="30" spans="1:30">
      <c r="A30" s="72">
        <v>29</v>
      </c>
      <c r="B30" s="729"/>
      <c r="C30" s="720"/>
      <c r="D30" s="75"/>
      <c r="E30" s="721"/>
      <c r="F30" s="721"/>
      <c r="G30" s="722"/>
      <c r="H30" s="724"/>
      <c r="I30" s="724"/>
      <c r="J30" s="724"/>
      <c r="K30" s="75"/>
      <c r="L30" s="75"/>
      <c r="M30" s="725">
        <f t="shared" si="1"/>
        <v>0</v>
      </c>
      <c r="N30" s="726"/>
      <c r="O30" s="727" t="str">
        <f t="shared" si="2"/>
        <v/>
      </c>
      <c r="P30" s="728" t="str">
        <f t="shared" si="3"/>
        <v/>
      </c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</row>
    <row r="31" spans="1:30">
      <c r="A31" s="72">
        <v>30</v>
      </c>
      <c r="B31" s="729"/>
      <c r="C31" s="720"/>
      <c r="D31" s="75"/>
      <c r="E31" s="721"/>
      <c r="F31" s="721"/>
      <c r="G31" s="722"/>
      <c r="H31" s="724"/>
      <c r="I31" s="724"/>
      <c r="J31" s="724"/>
      <c r="K31" s="75"/>
      <c r="L31" s="75"/>
      <c r="M31" s="725">
        <f t="shared" si="1"/>
        <v>0</v>
      </c>
      <c r="N31" s="726"/>
      <c r="O31" s="727" t="str">
        <f t="shared" si="2"/>
        <v/>
      </c>
      <c r="P31" s="728" t="str">
        <f t="shared" si="3"/>
        <v/>
      </c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</row>
    <row r="32" spans="1:30">
      <c r="A32" s="72">
        <v>31</v>
      </c>
      <c r="B32" s="729"/>
      <c r="C32" s="720"/>
      <c r="D32" s="75"/>
      <c r="E32" s="721"/>
      <c r="F32" s="721"/>
      <c r="G32" s="722"/>
      <c r="H32" s="724"/>
      <c r="I32" s="724"/>
      <c r="J32" s="724"/>
      <c r="K32" s="75"/>
      <c r="L32" s="75"/>
      <c r="M32" s="725">
        <f t="shared" si="1"/>
        <v>0</v>
      </c>
      <c r="N32" s="726"/>
      <c r="O32" s="727" t="str">
        <f t="shared" si="2"/>
        <v/>
      </c>
      <c r="P32" s="728" t="str">
        <f t="shared" si="3"/>
        <v/>
      </c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</row>
    <row r="33" spans="1:30">
      <c r="A33" s="72">
        <v>32</v>
      </c>
      <c r="B33" s="729"/>
      <c r="C33" s="720"/>
      <c r="D33" s="75"/>
      <c r="E33" s="721"/>
      <c r="F33" s="721"/>
      <c r="G33" s="722"/>
      <c r="H33" s="724"/>
      <c r="I33" s="724"/>
      <c r="J33" s="724"/>
      <c r="K33" s="75"/>
      <c r="L33" s="75"/>
      <c r="M33" s="725">
        <f t="shared" si="1"/>
        <v>0</v>
      </c>
      <c r="N33" s="726"/>
      <c r="O33" s="727" t="str">
        <f t="shared" si="2"/>
        <v/>
      </c>
      <c r="P33" s="728" t="str">
        <f t="shared" si="3"/>
        <v/>
      </c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</row>
    <row r="34" spans="1:30">
      <c r="A34" s="72">
        <v>33</v>
      </c>
      <c r="B34" s="729"/>
      <c r="C34" s="720"/>
      <c r="D34" s="75"/>
      <c r="E34" s="721"/>
      <c r="F34" s="721"/>
      <c r="G34" s="722"/>
      <c r="H34" s="724"/>
      <c r="I34" s="724"/>
      <c r="J34" s="724"/>
      <c r="K34" s="75"/>
      <c r="L34" s="75"/>
      <c r="M34" s="725">
        <f t="shared" si="1"/>
        <v>0</v>
      </c>
      <c r="N34" s="726"/>
      <c r="O34" s="727" t="str">
        <f t="shared" si="2"/>
        <v/>
      </c>
      <c r="P34" s="728" t="str">
        <f t="shared" si="3"/>
        <v/>
      </c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</row>
    <row r="35" spans="1:30">
      <c r="A35" s="72">
        <v>34</v>
      </c>
      <c r="B35" s="729"/>
      <c r="C35" s="720"/>
      <c r="D35" s="75"/>
      <c r="E35" s="721"/>
      <c r="F35" s="721"/>
      <c r="G35" s="722"/>
      <c r="H35" s="724"/>
      <c r="I35" s="724"/>
      <c r="J35" s="724"/>
      <c r="K35" s="75"/>
      <c r="L35" s="75"/>
      <c r="M35" s="725">
        <f t="shared" si="1"/>
        <v>0</v>
      </c>
      <c r="N35" s="726"/>
      <c r="O35" s="727" t="str">
        <f t="shared" si="2"/>
        <v/>
      </c>
      <c r="P35" s="728" t="str">
        <f t="shared" si="3"/>
        <v/>
      </c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</row>
    <row r="36" spans="1:30">
      <c r="A36" s="72">
        <v>35</v>
      </c>
      <c r="B36" s="729"/>
      <c r="C36" s="720"/>
      <c r="D36" s="75"/>
      <c r="E36" s="721"/>
      <c r="F36" s="721"/>
      <c r="G36" s="722"/>
      <c r="H36" s="724"/>
      <c r="I36" s="724"/>
      <c r="J36" s="724"/>
      <c r="K36" s="75"/>
      <c r="L36" s="75"/>
      <c r="M36" s="725">
        <f t="shared" si="1"/>
        <v>0</v>
      </c>
      <c r="N36" s="726"/>
      <c r="O36" s="727" t="str">
        <f t="shared" si="2"/>
        <v/>
      </c>
      <c r="P36" s="728" t="str">
        <f t="shared" si="3"/>
        <v/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</row>
    <row r="37" spans="1:30">
      <c r="A37" s="72">
        <v>36</v>
      </c>
      <c r="B37" s="729"/>
      <c r="C37" s="720"/>
      <c r="D37" s="75"/>
      <c r="E37" s="721"/>
      <c r="F37" s="721"/>
      <c r="G37" s="722"/>
      <c r="H37" s="724"/>
      <c r="I37" s="724"/>
      <c r="J37" s="724"/>
      <c r="K37" s="75"/>
      <c r="L37" s="75"/>
      <c r="M37" s="725">
        <f t="shared" si="1"/>
        <v>0</v>
      </c>
      <c r="N37" s="726"/>
      <c r="O37" s="727" t="str">
        <f t="shared" si="2"/>
        <v/>
      </c>
      <c r="P37" s="728" t="str">
        <f t="shared" si="3"/>
        <v/>
      </c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</row>
    <row r="38" spans="1:30">
      <c r="A38" s="72">
        <v>37</v>
      </c>
      <c r="B38" s="729"/>
      <c r="C38" s="720"/>
      <c r="D38" s="75"/>
      <c r="E38" s="721"/>
      <c r="F38" s="721"/>
      <c r="G38" s="722"/>
      <c r="H38" s="724"/>
      <c r="I38" s="724"/>
      <c r="J38" s="724"/>
      <c r="K38" s="75"/>
      <c r="L38" s="75"/>
      <c r="M38" s="725">
        <f t="shared" si="1"/>
        <v>0</v>
      </c>
      <c r="N38" s="726"/>
      <c r="O38" s="727" t="str">
        <f t="shared" si="2"/>
        <v/>
      </c>
      <c r="P38" s="728" t="str">
        <f t="shared" si="3"/>
        <v/>
      </c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</row>
    <row r="39" spans="1:30">
      <c r="A39" s="72">
        <v>38</v>
      </c>
      <c r="B39" s="729"/>
      <c r="C39" s="720"/>
      <c r="D39" s="75"/>
      <c r="E39" s="721"/>
      <c r="F39" s="721"/>
      <c r="G39" s="722"/>
      <c r="H39" s="724"/>
      <c r="I39" s="724"/>
      <c r="J39" s="724"/>
      <c r="K39" s="75"/>
      <c r="L39" s="75"/>
      <c r="M39" s="725">
        <f t="shared" si="1"/>
        <v>0</v>
      </c>
      <c r="N39" s="726"/>
      <c r="O39" s="727" t="str">
        <f t="shared" si="2"/>
        <v/>
      </c>
      <c r="P39" s="728" t="str">
        <f t="shared" si="3"/>
        <v/>
      </c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spans="1:30">
      <c r="A40" s="72">
        <v>39</v>
      </c>
      <c r="B40" s="729"/>
      <c r="C40" s="720"/>
      <c r="D40" s="75"/>
      <c r="E40" s="721"/>
      <c r="F40" s="721"/>
      <c r="G40" s="722"/>
      <c r="H40" s="724"/>
      <c r="I40" s="724"/>
      <c r="J40" s="724"/>
      <c r="K40" s="75"/>
      <c r="L40" s="75"/>
      <c r="M40" s="725">
        <f t="shared" si="1"/>
        <v>0</v>
      </c>
      <c r="N40" s="726"/>
      <c r="O40" s="727" t="str">
        <f t="shared" si="2"/>
        <v/>
      </c>
      <c r="P40" s="728" t="str">
        <f t="shared" si="3"/>
        <v/>
      </c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</row>
    <row r="41" spans="1:30">
      <c r="A41" s="72">
        <v>40</v>
      </c>
      <c r="B41" s="729"/>
      <c r="C41" s="720"/>
      <c r="D41" s="75"/>
      <c r="E41" s="721"/>
      <c r="F41" s="721"/>
      <c r="G41" s="722"/>
      <c r="H41" s="724"/>
      <c r="I41" s="724"/>
      <c r="J41" s="724"/>
      <c r="K41" s="75"/>
      <c r="L41" s="75"/>
      <c r="M41" s="725">
        <f t="shared" si="1"/>
        <v>0</v>
      </c>
      <c r="N41" s="726"/>
      <c r="O41" s="727" t="str">
        <f t="shared" si="2"/>
        <v/>
      </c>
      <c r="P41" s="728" t="str">
        <f t="shared" si="3"/>
        <v/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</row>
    <row r="42" spans="1:30">
      <c r="A42" s="72">
        <v>41</v>
      </c>
      <c r="B42" s="729"/>
      <c r="C42" s="720"/>
      <c r="D42" s="75"/>
      <c r="E42" s="721"/>
      <c r="F42" s="721"/>
      <c r="G42" s="722"/>
      <c r="H42" s="724"/>
      <c r="I42" s="724"/>
      <c r="J42" s="724"/>
      <c r="K42" s="75"/>
      <c r="L42" s="75"/>
      <c r="M42" s="725">
        <f t="shared" si="1"/>
        <v>0</v>
      </c>
      <c r="N42" s="726"/>
      <c r="O42" s="727" t="str">
        <f t="shared" si="2"/>
        <v/>
      </c>
      <c r="P42" s="728" t="str">
        <f t="shared" si="3"/>
        <v/>
      </c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</row>
    <row r="43" spans="1:30">
      <c r="A43" s="72">
        <v>42</v>
      </c>
      <c r="B43" s="729"/>
      <c r="C43" s="720"/>
      <c r="D43" s="75"/>
      <c r="E43" s="721"/>
      <c r="F43" s="721"/>
      <c r="G43" s="722"/>
      <c r="H43" s="724"/>
      <c r="I43" s="724"/>
      <c r="J43" s="724"/>
      <c r="K43" s="75"/>
      <c r="L43" s="75"/>
      <c r="M43" s="725">
        <f t="shared" si="1"/>
        <v>0</v>
      </c>
      <c r="N43" s="726"/>
      <c r="O43" s="727" t="str">
        <f t="shared" si="2"/>
        <v/>
      </c>
      <c r="P43" s="728" t="str">
        <f t="shared" si="3"/>
        <v/>
      </c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</row>
    <row r="44" spans="1:30">
      <c r="A44" s="72">
        <v>43</v>
      </c>
      <c r="B44" s="729"/>
      <c r="C44" s="720"/>
      <c r="D44" s="75"/>
      <c r="E44" s="721"/>
      <c r="F44" s="721"/>
      <c r="G44" s="722"/>
      <c r="H44" s="724"/>
      <c r="I44" s="724"/>
      <c r="J44" s="724"/>
      <c r="K44" s="75"/>
      <c r="L44" s="75"/>
      <c r="M44" s="725">
        <f t="shared" si="1"/>
        <v>0</v>
      </c>
      <c r="N44" s="726"/>
      <c r="O44" s="727" t="str">
        <f t="shared" si="2"/>
        <v/>
      </c>
      <c r="P44" s="728" t="str">
        <f t="shared" si="3"/>
        <v/>
      </c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30">
      <c r="A45" s="72">
        <v>44</v>
      </c>
      <c r="B45" s="729"/>
      <c r="C45" s="720"/>
      <c r="D45" s="75"/>
      <c r="E45" s="721"/>
      <c r="F45" s="721"/>
      <c r="G45" s="722"/>
      <c r="H45" s="724"/>
      <c r="I45" s="724"/>
      <c r="J45" s="724"/>
      <c r="K45" s="75"/>
      <c r="L45" s="75"/>
      <c r="M45" s="725">
        <f t="shared" si="1"/>
        <v>0</v>
      </c>
      <c r="N45" s="726"/>
      <c r="O45" s="727" t="str">
        <f t="shared" si="2"/>
        <v/>
      </c>
      <c r="P45" s="728" t="str">
        <f t="shared" si="3"/>
        <v/>
      </c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</row>
    <row r="46" spans="1:30">
      <c r="A46" s="72">
        <v>45</v>
      </c>
      <c r="B46" s="729"/>
      <c r="C46" s="720"/>
      <c r="D46" s="75"/>
      <c r="E46" s="721"/>
      <c r="F46" s="721"/>
      <c r="G46" s="722"/>
      <c r="H46" s="724"/>
      <c r="I46" s="724"/>
      <c r="J46" s="724"/>
      <c r="K46" s="75"/>
      <c r="L46" s="75"/>
      <c r="M46" s="725">
        <f t="shared" si="1"/>
        <v>0</v>
      </c>
      <c r="N46" s="726"/>
      <c r="O46" s="727" t="str">
        <f t="shared" si="2"/>
        <v/>
      </c>
      <c r="P46" s="728" t="str">
        <f t="shared" si="3"/>
        <v/>
      </c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</row>
    <row r="47" spans="1:30">
      <c r="A47" s="72">
        <v>46</v>
      </c>
      <c r="B47" s="729"/>
      <c r="C47" s="720"/>
      <c r="D47" s="75"/>
      <c r="E47" s="721"/>
      <c r="F47" s="721"/>
      <c r="G47" s="722"/>
      <c r="H47" s="724"/>
      <c r="I47" s="724"/>
      <c r="J47" s="724"/>
      <c r="K47" s="75"/>
      <c r="L47" s="75"/>
      <c r="M47" s="725">
        <f t="shared" si="1"/>
        <v>0</v>
      </c>
      <c r="N47" s="726"/>
      <c r="O47" s="727" t="str">
        <f t="shared" si="2"/>
        <v/>
      </c>
      <c r="P47" s="728" t="str">
        <f t="shared" si="3"/>
        <v/>
      </c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</row>
    <row r="48" spans="1:30">
      <c r="A48" s="72">
        <v>47</v>
      </c>
      <c r="B48" s="729"/>
      <c r="C48" s="720"/>
      <c r="D48" s="75"/>
      <c r="E48" s="721"/>
      <c r="F48" s="721"/>
      <c r="G48" s="722"/>
      <c r="H48" s="724"/>
      <c r="I48" s="724"/>
      <c r="J48" s="724"/>
      <c r="K48" s="75"/>
      <c r="L48" s="75"/>
      <c r="M48" s="725">
        <f t="shared" si="1"/>
        <v>0</v>
      </c>
      <c r="N48" s="726"/>
      <c r="O48" s="727" t="str">
        <f t="shared" si="2"/>
        <v/>
      </c>
      <c r="P48" s="728" t="str">
        <f t="shared" si="3"/>
        <v/>
      </c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</row>
    <row r="49" spans="1:30">
      <c r="A49" s="72">
        <v>48</v>
      </c>
      <c r="B49" s="729"/>
      <c r="C49" s="720"/>
      <c r="D49" s="75"/>
      <c r="E49" s="721"/>
      <c r="F49" s="721"/>
      <c r="G49" s="722"/>
      <c r="H49" s="724"/>
      <c r="I49" s="724"/>
      <c r="J49" s="724"/>
      <c r="K49" s="75"/>
      <c r="L49" s="75"/>
      <c r="M49" s="725">
        <f t="shared" si="1"/>
        <v>0</v>
      </c>
      <c r="N49" s="726"/>
      <c r="O49" s="727" t="str">
        <f t="shared" si="2"/>
        <v/>
      </c>
      <c r="P49" s="728" t="str">
        <f t="shared" si="3"/>
        <v/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0">
      <c r="A50" s="72">
        <v>49</v>
      </c>
      <c r="B50" s="729"/>
      <c r="C50" s="720"/>
      <c r="D50" s="75"/>
      <c r="E50" s="721"/>
      <c r="F50" s="721"/>
      <c r="G50" s="722"/>
      <c r="H50" s="724"/>
      <c r="I50" s="724"/>
      <c r="J50" s="724"/>
      <c r="K50" s="75"/>
      <c r="L50" s="75"/>
      <c r="M50" s="725">
        <f t="shared" si="1"/>
        <v>0</v>
      </c>
      <c r="N50" s="726"/>
      <c r="O50" s="727" t="str">
        <f t="shared" si="2"/>
        <v/>
      </c>
      <c r="P50" s="728" t="str">
        <f t="shared" si="3"/>
        <v/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</row>
    <row r="51" spans="1:30">
      <c r="A51" s="72">
        <v>50</v>
      </c>
      <c r="B51" s="729"/>
      <c r="C51" s="720"/>
      <c r="D51" s="75"/>
      <c r="E51" s="721"/>
      <c r="F51" s="721"/>
      <c r="G51" s="722"/>
      <c r="H51" s="724"/>
      <c r="I51" s="724"/>
      <c r="J51" s="724"/>
      <c r="K51" s="75"/>
      <c r="L51" s="75"/>
      <c r="M51" s="725">
        <f t="shared" si="1"/>
        <v>0</v>
      </c>
      <c r="N51" s="726"/>
      <c r="O51" s="727" t="str">
        <f t="shared" si="2"/>
        <v/>
      </c>
      <c r="P51" s="728" t="str">
        <f t="shared" si="3"/>
        <v/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</row>
    <row r="52" spans="1:30">
      <c r="A52" s="72">
        <v>51</v>
      </c>
      <c r="B52" s="729"/>
      <c r="C52" s="720"/>
      <c r="D52" s="75"/>
      <c r="E52" s="721"/>
      <c r="F52" s="721"/>
      <c r="G52" s="722"/>
      <c r="H52" s="724"/>
      <c r="I52" s="724"/>
      <c r="J52" s="724"/>
      <c r="K52" s="75"/>
      <c r="L52" s="75"/>
      <c r="M52" s="725">
        <f t="shared" si="1"/>
        <v>0</v>
      </c>
      <c r="N52" s="726"/>
      <c r="O52" s="727" t="str">
        <f t="shared" si="2"/>
        <v/>
      </c>
      <c r="P52" s="728" t="str">
        <f t="shared" si="3"/>
        <v/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</row>
    <row r="53" spans="1:30">
      <c r="A53" s="72">
        <v>52</v>
      </c>
      <c r="B53" s="729"/>
      <c r="C53" s="720"/>
      <c r="D53" s="75"/>
      <c r="E53" s="721"/>
      <c r="F53" s="721"/>
      <c r="G53" s="722"/>
      <c r="H53" s="724"/>
      <c r="I53" s="724"/>
      <c r="J53" s="724"/>
      <c r="K53" s="75"/>
      <c r="L53" s="75"/>
      <c r="M53" s="725">
        <f t="shared" si="1"/>
        <v>0</v>
      </c>
      <c r="N53" s="726"/>
      <c r="O53" s="727" t="str">
        <f t="shared" si="2"/>
        <v/>
      </c>
      <c r="P53" s="728" t="str">
        <f t="shared" si="3"/>
        <v/>
      </c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</row>
    <row r="54" spans="1:30">
      <c r="A54" s="72">
        <v>53</v>
      </c>
      <c r="B54" s="729"/>
      <c r="C54" s="720"/>
      <c r="D54" s="75"/>
      <c r="E54" s="721"/>
      <c r="F54" s="721"/>
      <c r="G54" s="722"/>
      <c r="H54" s="724"/>
      <c r="I54" s="724"/>
      <c r="J54" s="724"/>
      <c r="K54" s="75"/>
      <c r="L54" s="75"/>
      <c r="M54" s="725">
        <f t="shared" si="1"/>
        <v>0</v>
      </c>
      <c r="N54" s="726"/>
      <c r="O54" s="727" t="str">
        <f t="shared" si="2"/>
        <v/>
      </c>
      <c r="P54" s="728" t="str">
        <f t="shared" si="3"/>
        <v/>
      </c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</row>
    <row r="55" spans="1:30">
      <c r="A55" s="72">
        <v>54</v>
      </c>
      <c r="B55" s="729"/>
      <c r="C55" s="720"/>
      <c r="D55" s="75"/>
      <c r="E55" s="721"/>
      <c r="F55" s="721"/>
      <c r="G55" s="722"/>
      <c r="H55" s="724"/>
      <c r="I55" s="724"/>
      <c r="J55" s="724"/>
      <c r="K55" s="75"/>
      <c r="L55" s="75"/>
      <c r="M55" s="725">
        <f t="shared" si="1"/>
        <v>0</v>
      </c>
      <c r="N55" s="726"/>
      <c r="O55" s="727" t="str">
        <f t="shared" si="2"/>
        <v/>
      </c>
      <c r="P55" s="728" t="str">
        <f t="shared" si="3"/>
        <v/>
      </c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</row>
    <row r="56" spans="1:30">
      <c r="A56" s="72">
        <v>55</v>
      </c>
      <c r="B56" s="729"/>
      <c r="C56" s="720"/>
      <c r="D56" s="75"/>
      <c r="E56" s="721"/>
      <c r="F56" s="721"/>
      <c r="G56" s="722"/>
      <c r="H56" s="724"/>
      <c r="I56" s="724"/>
      <c r="J56" s="724"/>
      <c r="K56" s="75"/>
      <c r="L56" s="75"/>
      <c r="M56" s="725">
        <f t="shared" si="1"/>
        <v>0</v>
      </c>
      <c r="N56" s="726"/>
      <c r="O56" s="727" t="str">
        <f t="shared" si="2"/>
        <v/>
      </c>
      <c r="P56" s="728" t="str">
        <f t="shared" si="3"/>
        <v/>
      </c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</row>
    <row r="57" spans="1:30">
      <c r="A57" s="72">
        <v>56</v>
      </c>
      <c r="B57" s="729"/>
      <c r="C57" s="720"/>
      <c r="D57" s="75"/>
      <c r="E57" s="721"/>
      <c r="F57" s="721"/>
      <c r="G57" s="722"/>
      <c r="H57" s="724"/>
      <c r="I57" s="724"/>
      <c r="J57" s="724"/>
      <c r="K57" s="75"/>
      <c r="L57" s="75"/>
      <c r="M57" s="725">
        <f t="shared" si="1"/>
        <v>0</v>
      </c>
      <c r="N57" s="726"/>
      <c r="O57" s="727" t="str">
        <f t="shared" si="2"/>
        <v/>
      </c>
      <c r="P57" s="728" t="str">
        <f t="shared" si="3"/>
        <v/>
      </c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30">
      <c r="A58" s="72">
        <v>57</v>
      </c>
      <c r="B58" s="729"/>
      <c r="C58" s="720"/>
      <c r="D58" s="75"/>
      <c r="E58" s="721"/>
      <c r="F58" s="721"/>
      <c r="G58" s="722"/>
      <c r="H58" s="724"/>
      <c r="I58" s="724"/>
      <c r="J58" s="724"/>
      <c r="K58" s="75"/>
      <c r="L58" s="75"/>
      <c r="M58" s="725">
        <f t="shared" si="1"/>
        <v>0</v>
      </c>
      <c r="N58" s="726"/>
      <c r="O58" s="727" t="str">
        <f t="shared" si="2"/>
        <v/>
      </c>
      <c r="P58" s="728" t="str">
        <f t="shared" si="3"/>
        <v/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</row>
    <row r="59" spans="1:30">
      <c r="A59" s="72">
        <v>58</v>
      </c>
      <c r="B59" s="729"/>
      <c r="C59" s="720"/>
      <c r="D59" s="75"/>
      <c r="E59" s="721"/>
      <c r="F59" s="721"/>
      <c r="G59" s="722"/>
      <c r="H59" s="724"/>
      <c r="I59" s="724"/>
      <c r="J59" s="724"/>
      <c r="K59" s="75"/>
      <c r="L59" s="75"/>
      <c r="M59" s="725">
        <f t="shared" si="1"/>
        <v>0</v>
      </c>
      <c r="N59" s="726"/>
      <c r="O59" s="727" t="str">
        <f t="shared" si="2"/>
        <v/>
      </c>
      <c r="P59" s="728" t="str">
        <f t="shared" si="3"/>
        <v/>
      </c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</row>
    <row r="60" spans="1:30">
      <c r="A60" s="72">
        <v>59</v>
      </c>
      <c r="B60" s="729"/>
      <c r="C60" s="720"/>
      <c r="D60" s="75"/>
      <c r="E60" s="721"/>
      <c r="F60" s="721"/>
      <c r="G60" s="722"/>
      <c r="H60" s="724"/>
      <c r="I60" s="724"/>
      <c r="J60" s="724"/>
      <c r="K60" s="75"/>
      <c r="L60" s="75"/>
      <c r="M60" s="725">
        <f t="shared" si="1"/>
        <v>0</v>
      </c>
      <c r="N60" s="726"/>
      <c r="O60" s="727" t="str">
        <f t="shared" si="2"/>
        <v/>
      </c>
      <c r="P60" s="728" t="str">
        <f t="shared" si="3"/>
        <v/>
      </c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0">
      <c r="A61" s="72">
        <v>60</v>
      </c>
      <c r="B61" s="729"/>
      <c r="C61" s="720"/>
      <c r="D61" s="75"/>
      <c r="E61" s="721"/>
      <c r="F61" s="721"/>
      <c r="G61" s="722"/>
      <c r="H61" s="724"/>
      <c r="I61" s="724"/>
      <c r="J61" s="724"/>
      <c r="K61" s="75"/>
      <c r="L61" s="75"/>
      <c r="M61" s="725">
        <f t="shared" si="1"/>
        <v>0</v>
      </c>
      <c r="N61" s="726"/>
      <c r="O61" s="727" t="str">
        <f t="shared" si="2"/>
        <v/>
      </c>
      <c r="P61" s="728" t="str">
        <f t="shared" si="3"/>
        <v/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1:30">
      <c r="A62" s="72">
        <v>61</v>
      </c>
      <c r="B62" s="729"/>
      <c r="C62" s="720"/>
      <c r="D62" s="75"/>
      <c r="E62" s="721"/>
      <c r="F62" s="721"/>
      <c r="G62" s="722"/>
      <c r="H62" s="724"/>
      <c r="I62" s="724"/>
      <c r="J62" s="724"/>
      <c r="K62" s="75"/>
      <c r="L62" s="75"/>
      <c r="M62" s="725">
        <f t="shared" si="1"/>
        <v>0</v>
      </c>
      <c r="N62" s="726"/>
      <c r="O62" s="727" t="str">
        <f t="shared" si="2"/>
        <v/>
      </c>
      <c r="P62" s="728" t="str">
        <f t="shared" si="3"/>
        <v/>
      </c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3" spans="1:30">
      <c r="A63" s="72">
        <v>62</v>
      </c>
      <c r="B63" s="729"/>
      <c r="C63" s="720"/>
      <c r="D63" s="75"/>
      <c r="E63" s="721"/>
      <c r="F63" s="721"/>
      <c r="G63" s="722"/>
      <c r="H63" s="724"/>
      <c r="I63" s="724"/>
      <c r="J63" s="724"/>
      <c r="K63" s="75"/>
      <c r="L63" s="75"/>
      <c r="M63" s="725">
        <f t="shared" si="1"/>
        <v>0</v>
      </c>
      <c r="N63" s="726"/>
      <c r="O63" s="727" t="str">
        <f t="shared" si="2"/>
        <v/>
      </c>
      <c r="P63" s="728" t="str">
        <f t="shared" si="3"/>
        <v/>
      </c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</row>
    <row r="64" spans="1:30">
      <c r="A64" s="72">
        <v>63</v>
      </c>
      <c r="B64" s="729"/>
      <c r="C64" s="720"/>
      <c r="D64" s="75"/>
      <c r="E64" s="721"/>
      <c r="F64" s="721"/>
      <c r="G64" s="722"/>
      <c r="H64" s="724"/>
      <c r="I64" s="724"/>
      <c r="J64" s="724"/>
      <c r="K64" s="75"/>
      <c r="L64" s="75"/>
      <c r="M64" s="725">
        <f t="shared" si="1"/>
        <v>0</v>
      </c>
      <c r="N64" s="726"/>
      <c r="O64" s="727" t="str">
        <f t="shared" si="2"/>
        <v/>
      </c>
      <c r="P64" s="728" t="str">
        <f t="shared" si="3"/>
        <v/>
      </c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</row>
    <row r="65" spans="1:30">
      <c r="A65" s="72">
        <v>64</v>
      </c>
      <c r="B65" s="729"/>
      <c r="C65" s="720"/>
      <c r="D65" s="75"/>
      <c r="E65" s="721"/>
      <c r="F65" s="721"/>
      <c r="G65" s="722"/>
      <c r="H65" s="724"/>
      <c r="I65" s="724"/>
      <c r="J65" s="724"/>
      <c r="K65" s="75"/>
      <c r="L65" s="75"/>
      <c r="M65" s="725">
        <f t="shared" si="1"/>
        <v>0</v>
      </c>
      <c r="N65" s="726"/>
      <c r="O65" s="727" t="str">
        <f t="shared" si="2"/>
        <v/>
      </c>
      <c r="P65" s="728" t="str">
        <f t="shared" si="3"/>
        <v/>
      </c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</row>
    <row r="66" spans="1:30">
      <c r="A66" s="72">
        <v>65</v>
      </c>
      <c r="B66" s="729"/>
      <c r="C66" s="720"/>
      <c r="D66" s="75"/>
      <c r="E66" s="721"/>
      <c r="F66" s="721"/>
      <c r="G66" s="722"/>
      <c r="H66" s="724"/>
      <c r="I66" s="724"/>
      <c r="J66" s="724"/>
      <c r="K66" s="75"/>
      <c r="L66" s="75"/>
      <c r="M66" s="725">
        <f t="shared" si="1"/>
        <v>0</v>
      </c>
      <c r="N66" s="726"/>
      <c r="O66" s="727" t="str">
        <f t="shared" si="2"/>
        <v/>
      </c>
      <c r="P66" s="728" t="str">
        <f t="shared" si="3"/>
        <v/>
      </c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</row>
    <row r="67" spans="1:30">
      <c r="A67" s="72">
        <v>66</v>
      </c>
      <c r="B67" s="729"/>
      <c r="C67" s="720"/>
      <c r="D67" s="75"/>
      <c r="E67" s="721"/>
      <c r="F67" s="721"/>
      <c r="G67" s="722"/>
      <c r="H67" s="724"/>
      <c r="I67" s="724"/>
      <c r="J67" s="724"/>
      <c r="K67" s="75"/>
      <c r="L67" s="75"/>
      <c r="M67" s="725">
        <f t="shared" ref="M67:M101" si="4">K67-L67</f>
        <v>0</v>
      </c>
      <c r="N67" s="726"/>
      <c r="O67" s="727" t="str">
        <f t="shared" ref="O67:O101" si="5">IF(AND(N67="Yes",M67&gt;=12),J67,IF(AND(N67="Yes",M67&lt;12),J67*M67/12,""))</f>
        <v/>
      </c>
      <c r="P67" s="728" t="str">
        <f t="shared" ref="P67:P101" si="6">IFERROR(RATE(K67,J67,-H67)*12,"")</f>
        <v/>
      </c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</row>
    <row r="68" spans="1:30">
      <c r="A68" s="72">
        <v>67</v>
      </c>
      <c r="B68" s="729"/>
      <c r="C68" s="720"/>
      <c r="D68" s="75"/>
      <c r="E68" s="721"/>
      <c r="F68" s="721"/>
      <c r="G68" s="722"/>
      <c r="H68" s="724"/>
      <c r="I68" s="724"/>
      <c r="J68" s="724"/>
      <c r="K68" s="75"/>
      <c r="L68" s="75"/>
      <c r="M68" s="725">
        <f t="shared" si="4"/>
        <v>0</v>
      </c>
      <c r="N68" s="726"/>
      <c r="O68" s="727" t="str">
        <f t="shared" si="5"/>
        <v/>
      </c>
      <c r="P68" s="728" t="str">
        <f t="shared" si="6"/>
        <v/>
      </c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</row>
    <row r="69" spans="1:30">
      <c r="A69" s="72">
        <v>68</v>
      </c>
      <c r="B69" s="729"/>
      <c r="C69" s="720"/>
      <c r="D69" s="75"/>
      <c r="E69" s="721"/>
      <c r="F69" s="721"/>
      <c r="G69" s="722"/>
      <c r="H69" s="724"/>
      <c r="I69" s="724"/>
      <c r="J69" s="724"/>
      <c r="K69" s="75"/>
      <c r="L69" s="75"/>
      <c r="M69" s="725">
        <f t="shared" si="4"/>
        <v>0</v>
      </c>
      <c r="N69" s="726"/>
      <c r="O69" s="727" t="str">
        <f t="shared" si="5"/>
        <v/>
      </c>
      <c r="P69" s="728" t="str">
        <f t="shared" si="6"/>
        <v/>
      </c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</row>
    <row r="70" spans="1:30">
      <c r="A70" s="72">
        <v>69</v>
      </c>
      <c r="B70" s="729"/>
      <c r="C70" s="720"/>
      <c r="D70" s="75"/>
      <c r="E70" s="721"/>
      <c r="F70" s="721"/>
      <c r="G70" s="722"/>
      <c r="H70" s="724"/>
      <c r="I70" s="724"/>
      <c r="J70" s="724"/>
      <c r="K70" s="75"/>
      <c r="L70" s="75"/>
      <c r="M70" s="725">
        <f t="shared" si="4"/>
        <v>0</v>
      </c>
      <c r="N70" s="726"/>
      <c r="O70" s="727" t="str">
        <f t="shared" si="5"/>
        <v/>
      </c>
      <c r="P70" s="728" t="str">
        <f t="shared" si="6"/>
        <v/>
      </c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</row>
    <row r="71" spans="1:30">
      <c r="A71" s="72">
        <v>70</v>
      </c>
      <c r="B71" s="729"/>
      <c r="C71" s="720"/>
      <c r="D71" s="75"/>
      <c r="E71" s="721"/>
      <c r="F71" s="721"/>
      <c r="G71" s="722"/>
      <c r="H71" s="724"/>
      <c r="I71" s="724"/>
      <c r="J71" s="724"/>
      <c r="K71" s="75"/>
      <c r="L71" s="75"/>
      <c r="M71" s="725">
        <f t="shared" si="4"/>
        <v>0</v>
      </c>
      <c r="N71" s="726"/>
      <c r="O71" s="727" t="str">
        <f t="shared" si="5"/>
        <v/>
      </c>
      <c r="P71" s="728" t="str">
        <f t="shared" si="6"/>
        <v/>
      </c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</row>
    <row r="72" spans="1:30">
      <c r="A72" s="72">
        <v>71</v>
      </c>
      <c r="B72" s="729"/>
      <c r="C72" s="720"/>
      <c r="D72" s="75"/>
      <c r="E72" s="721"/>
      <c r="F72" s="721"/>
      <c r="G72" s="722"/>
      <c r="H72" s="724"/>
      <c r="I72" s="724"/>
      <c r="J72" s="724"/>
      <c r="K72" s="75"/>
      <c r="L72" s="75"/>
      <c r="M72" s="725">
        <f t="shared" si="4"/>
        <v>0</v>
      </c>
      <c r="N72" s="726"/>
      <c r="O72" s="727" t="str">
        <f t="shared" si="5"/>
        <v/>
      </c>
      <c r="P72" s="728" t="str">
        <f t="shared" si="6"/>
        <v/>
      </c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</row>
    <row r="73" spans="1:30">
      <c r="A73" s="72">
        <v>72</v>
      </c>
      <c r="B73" s="729"/>
      <c r="C73" s="720"/>
      <c r="D73" s="75"/>
      <c r="E73" s="721"/>
      <c r="F73" s="721"/>
      <c r="G73" s="722"/>
      <c r="H73" s="724"/>
      <c r="I73" s="724"/>
      <c r="J73" s="724"/>
      <c r="K73" s="75"/>
      <c r="L73" s="75"/>
      <c r="M73" s="725">
        <f t="shared" si="4"/>
        <v>0</v>
      </c>
      <c r="N73" s="726"/>
      <c r="O73" s="727" t="str">
        <f t="shared" si="5"/>
        <v/>
      </c>
      <c r="P73" s="728" t="str">
        <f t="shared" si="6"/>
        <v/>
      </c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</row>
    <row r="74" spans="1:30">
      <c r="A74" s="72">
        <v>73</v>
      </c>
      <c r="B74" s="729"/>
      <c r="C74" s="720"/>
      <c r="D74" s="75"/>
      <c r="E74" s="721"/>
      <c r="F74" s="721"/>
      <c r="G74" s="722"/>
      <c r="H74" s="724"/>
      <c r="I74" s="724"/>
      <c r="J74" s="724"/>
      <c r="K74" s="75"/>
      <c r="L74" s="75"/>
      <c r="M74" s="725">
        <f t="shared" si="4"/>
        <v>0</v>
      </c>
      <c r="N74" s="726"/>
      <c r="O74" s="727" t="str">
        <f t="shared" si="5"/>
        <v/>
      </c>
      <c r="P74" s="728" t="str">
        <f t="shared" si="6"/>
        <v/>
      </c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>
      <c r="A75" s="72">
        <v>74</v>
      </c>
      <c r="B75" s="729"/>
      <c r="C75" s="720"/>
      <c r="D75" s="75"/>
      <c r="E75" s="721"/>
      <c r="F75" s="721"/>
      <c r="G75" s="722"/>
      <c r="H75" s="724"/>
      <c r="I75" s="724"/>
      <c r="J75" s="724"/>
      <c r="K75" s="75"/>
      <c r="L75" s="75"/>
      <c r="M75" s="725">
        <f t="shared" si="4"/>
        <v>0</v>
      </c>
      <c r="N75" s="726"/>
      <c r="O75" s="727" t="str">
        <f t="shared" si="5"/>
        <v/>
      </c>
      <c r="P75" s="728" t="str">
        <f t="shared" si="6"/>
        <v/>
      </c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>
      <c r="A76" s="72">
        <v>75</v>
      </c>
      <c r="B76" s="729"/>
      <c r="C76" s="720"/>
      <c r="D76" s="75"/>
      <c r="E76" s="721"/>
      <c r="F76" s="721"/>
      <c r="G76" s="722"/>
      <c r="H76" s="724"/>
      <c r="I76" s="724"/>
      <c r="J76" s="724"/>
      <c r="K76" s="75"/>
      <c r="L76" s="75"/>
      <c r="M76" s="725">
        <f t="shared" si="4"/>
        <v>0</v>
      </c>
      <c r="N76" s="726"/>
      <c r="O76" s="727" t="str">
        <f t="shared" si="5"/>
        <v/>
      </c>
      <c r="P76" s="728" t="str">
        <f t="shared" si="6"/>
        <v/>
      </c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>
      <c r="A77" s="72">
        <v>76</v>
      </c>
      <c r="B77" s="729"/>
      <c r="C77" s="720"/>
      <c r="D77" s="75"/>
      <c r="E77" s="721"/>
      <c r="F77" s="721"/>
      <c r="G77" s="722"/>
      <c r="H77" s="724"/>
      <c r="I77" s="724"/>
      <c r="J77" s="724"/>
      <c r="K77" s="75"/>
      <c r="L77" s="75"/>
      <c r="M77" s="725">
        <f t="shared" si="4"/>
        <v>0</v>
      </c>
      <c r="N77" s="726"/>
      <c r="O77" s="727" t="str">
        <f t="shared" si="5"/>
        <v/>
      </c>
      <c r="P77" s="728" t="str">
        <f t="shared" si="6"/>
        <v/>
      </c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>
      <c r="A78" s="72">
        <v>77</v>
      </c>
      <c r="B78" s="729"/>
      <c r="C78" s="720"/>
      <c r="D78" s="75"/>
      <c r="E78" s="721"/>
      <c r="F78" s="721"/>
      <c r="G78" s="722"/>
      <c r="H78" s="724"/>
      <c r="I78" s="724"/>
      <c r="J78" s="724"/>
      <c r="K78" s="75"/>
      <c r="L78" s="75"/>
      <c r="M78" s="725">
        <f t="shared" si="4"/>
        <v>0</v>
      </c>
      <c r="N78" s="726"/>
      <c r="O78" s="727" t="str">
        <f t="shared" si="5"/>
        <v/>
      </c>
      <c r="P78" s="728" t="str">
        <f t="shared" si="6"/>
        <v/>
      </c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>
      <c r="A79" s="72">
        <v>78</v>
      </c>
      <c r="B79" s="729"/>
      <c r="C79" s="720"/>
      <c r="D79" s="75"/>
      <c r="E79" s="721"/>
      <c r="F79" s="721"/>
      <c r="G79" s="722"/>
      <c r="H79" s="724"/>
      <c r="I79" s="724"/>
      <c r="J79" s="724"/>
      <c r="K79" s="75"/>
      <c r="L79" s="75"/>
      <c r="M79" s="725">
        <f t="shared" si="4"/>
        <v>0</v>
      </c>
      <c r="N79" s="726"/>
      <c r="O79" s="727" t="str">
        <f t="shared" si="5"/>
        <v/>
      </c>
      <c r="P79" s="728" t="str">
        <f t="shared" si="6"/>
        <v/>
      </c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>
      <c r="A80" s="72">
        <v>79</v>
      </c>
      <c r="B80" s="729"/>
      <c r="C80" s="720"/>
      <c r="D80" s="75"/>
      <c r="E80" s="721"/>
      <c r="F80" s="721"/>
      <c r="G80" s="722"/>
      <c r="H80" s="724"/>
      <c r="I80" s="724"/>
      <c r="J80" s="724"/>
      <c r="K80" s="75"/>
      <c r="L80" s="75"/>
      <c r="M80" s="725">
        <f t="shared" si="4"/>
        <v>0</v>
      </c>
      <c r="N80" s="726"/>
      <c r="O80" s="727" t="str">
        <f t="shared" si="5"/>
        <v/>
      </c>
      <c r="P80" s="728" t="str">
        <f t="shared" si="6"/>
        <v/>
      </c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>
      <c r="A81" s="72">
        <v>80</v>
      </c>
      <c r="B81" s="729"/>
      <c r="C81" s="720"/>
      <c r="D81" s="75"/>
      <c r="E81" s="721"/>
      <c r="F81" s="721"/>
      <c r="G81" s="722"/>
      <c r="H81" s="724"/>
      <c r="I81" s="724"/>
      <c r="J81" s="724"/>
      <c r="K81" s="75"/>
      <c r="L81" s="75"/>
      <c r="M81" s="725">
        <f t="shared" si="4"/>
        <v>0</v>
      </c>
      <c r="N81" s="726"/>
      <c r="O81" s="727" t="str">
        <f t="shared" si="5"/>
        <v/>
      </c>
      <c r="P81" s="728" t="str">
        <f t="shared" si="6"/>
        <v/>
      </c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>
      <c r="A82" s="72">
        <v>81</v>
      </c>
      <c r="B82" s="729"/>
      <c r="C82" s="720"/>
      <c r="D82" s="75"/>
      <c r="E82" s="721"/>
      <c r="F82" s="721"/>
      <c r="G82" s="722"/>
      <c r="H82" s="724"/>
      <c r="I82" s="724"/>
      <c r="J82" s="724"/>
      <c r="K82" s="75"/>
      <c r="L82" s="75"/>
      <c r="M82" s="725">
        <f t="shared" si="4"/>
        <v>0</v>
      </c>
      <c r="N82" s="726"/>
      <c r="O82" s="727" t="str">
        <f t="shared" si="5"/>
        <v/>
      </c>
      <c r="P82" s="728" t="str">
        <f t="shared" si="6"/>
        <v/>
      </c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>
      <c r="A83" s="72">
        <v>82</v>
      </c>
      <c r="B83" s="729"/>
      <c r="C83" s="720"/>
      <c r="D83" s="75"/>
      <c r="E83" s="721"/>
      <c r="F83" s="721"/>
      <c r="G83" s="722"/>
      <c r="H83" s="724"/>
      <c r="I83" s="724"/>
      <c r="J83" s="724"/>
      <c r="K83" s="75"/>
      <c r="L83" s="75"/>
      <c r="M83" s="725">
        <f t="shared" si="4"/>
        <v>0</v>
      </c>
      <c r="N83" s="726"/>
      <c r="O83" s="727" t="str">
        <f t="shared" si="5"/>
        <v/>
      </c>
      <c r="P83" s="728" t="str">
        <f t="shared" si="6"/>
        <v/>
      </c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>
      <c r="A84" s="72">
        <v>83</v>
      </c>
      <c r="B84" s="729"/>
      <c r="C84" s="720"/>
      <c r="D84" s="75"/>
      <c r="E84" s="721"/>
      <c r="F84" s="721"/>
      <c r="G84" s="722"/>
      <c r="H84" s="724"/>
      <c r="I84" s="724"/>
      <c r="J84" s="724"/>
      <c r="K84" s="75"/>
      <c r="L84" s="75"/>
      <c r="M84" s="725">
        <f t="shared" si="4"/>
        <v>0</v>
      </c>
      <c r="N84" s="726"/>
      <c r="O84" s="727" t="str">
        <f t="shared" si="5"/>
        <v/>
      </c>
      <c r="P84" s="728" t="str">
        <f t="shared" si="6"/>
        <v/>
      </c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>
      <c r="A85" s="72">
        <v>84</v>
      </c>
      <c r="B85" s="729"/>
      <c r="C85" s="720"/>
      <c r="D85" s="75"/>
      <c r="E85" s="721"/>
      <c r="F85" s="721"/>
      <c r="G85" s="722"/>
      <c r="H85" s="724"/>
      <c r="I85" s="724"/>
      <c r="J85" s="724"/>
      <c r="K85" s="75"/>
      <c r="L85" s="75"/>
      <c r="M85" s="725">
        <f t="shared" si="4"/>
        <v>0</v>
      </c>
      <c r="N85" s="726"/>
      <c r="O85" s="727" t="str">
        <f t="shared" si="5"/>
        <v/>
      </c>
      <c r="P85" s="728" t="str">
        <f t="shared" si="6"/>
        <v/>
      </c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>
      <c r="A86" s="72">
        <v>85</v>
      </c>
      <c r="B86" s="729"/>
      <c r="C86" s="720"/>
      <c r="D86" s="75"/>
      <c r="E86" s="721"/>
      <c r="F86" s="721"/>
      <c r="G86" s="722"/>
      <c r="H86" s="724"/>
      <c r="I86" s="724"/>
      <c r="J86" s="724"/>
      <c r="K86" s="75"/>
      <c r="L86" s="75"/>
      <c r="M86" s="725">
        <f t="shared" si="4"/>
        <v>0</v>
      </c>
      <c r="N86" s="726"/>
      <c r="O86" s="727" t="str">
        <f t="shared" si="5"/>
        <v/>
      </c>
      <c r="P86" s="728" t="str">
        <f t="shared" si="6"/>
        <v/>
      </c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>
      <c r="A87" s="72">
        <v>86</v>
      </c>
      <c r="B87" s="729"/>
      <c r="C87" s="720"/>
      <c r="D87" s="75"/>
      <c r="E87" s="721"/>
      <c r="F87" s="721"/>
      <c r="G87" s="722"/>
      <c r="H87" s="724"/>
      <c r="I87" s="724"/>
      <c r="J87" s="724"/>
      <c r="K87" s="75"/>
      <c r="L87" s="75"/>
      <c r="M87" s="725">
        <f t="shared" si="4"/>
        <v>0</v>
      </c>
      <c r="N87" s="726"/>
      <c r="O87" s="727" t="str">
        <f t="shared" si="5"/>
        <v/>
      </c>
      <c r="P87" s="728" t="str">
        <f t="shared" si="6"/>
        <v/>
      </c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>
      <c r="A88" s="72">
        <v>87</v>
      </c>
      <c r="B88" s="729"/>
      <c r="C88" s="720"/>
      <c r="D88" s="75"/>
      <c r="E88" s="721"/>
      <c r="F88" s="721"/>
      <c r="G88" s="722"/>
      <c r="H88" s="724"/>
      <c r="I88" s="724"/>
      <c r="J88" s="724"/>
      <c r="K88" s="75"/>
      <c r="L88" s="75"/>
      <c r="M88" s="725">
        <f t="shared" si="4"/>
        <v>0</v>
      </c>
      <c r="N88" s="726"/>
      <c r="O88" s="727" t="str">
        <f t="shared" si="5"/>
        <v/>
      </c>
      <c r="P88" s="728" t="str">
        <f t="shared" si="6"/>
        <v/>
      </c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</row>
    <row r="89" spans="1:30">
      <c r="A89" s="72">
        <v>88</v>
      </c>
      <c r="B89" s="729"/>
      <c r="C89" s="720"/>
      <c r="D89" s="75"/>
      <c r="E89" s="721"/>
      <c r="F89" s="721"/>
      <c r="G89" s="722"/>
      <c r="H89" s="724"/>
      <c r="I89" s="724"/>
      <c r="J89" s="724"/>
      <c r="K89" s="75"/>
      <c r="L89" s="75"/>
      <c r="M89" s="725">
        <f t="shared" si="4"/>
        <v>0</v>
      </c>
      <c r="N89" s="726"/>
      <c r="O89" s="727" t="str">
        <f t="shared" si="5"/>
        <v/>
      </c>
      <c r="P89" s="728" t="str">
        <f t="shared" si="6"/>
        <v/>
      </c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</row>
    <row r="90" spans="1:30">
      <c r="A90" s="72">
        <v>89</v>
      </c>
      <c r="B90" s="729"/>
      <c r="C90" s="720"/>
      <c r="D90" s="75"/>
      <c r="E90" s="721"/>
      <c r="F90" s="721"/>
      <c r="G90" s="722"/>
      <c r="H90" s="724"/>
      <c r="I90" s="724"/>
      <c r="J90" s="724"/>
      <c r="K90" s="75"/>
      <c r="L90" s="75"/>
      <c r="M90" s="725">
        <f t="shared" si="4"/>
        <v>0</v>
      </c>
      <c r="N90" s="726"/>
      <c r="O90" s="727" t="str">
        <f t="shared" si="5"/>
        <v/>
      </c>
      <c r="P90" s="728" t="str">
        <f t="shared" si="6"/>
        <v/>
      </c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</row>
    <row r="91" spans="1:30">
      <c r="A91" s="72">
        <v>90</v>
      </c>
      <c r="B91" s="729"/>
      <c r="C91" s="720"/>
      <c r="D91" s="75"/>
      <c r="E91" s="721"/>
      <c r="F91" s="721"/>
      <c r="G91" s="722"/>
      <c r="H91" s="724"/>
      <c r="I91" s="724"/>
      <c r="J91" s="724"/>
      <c r="K91" s="75"/>
      <c r="L91" s="75"/>
      <c r="M91" s="725">
        <f t="shared" si="4"/>
        <v>0</v>
      </c>
      <c r="N91" s="726"/>
      <c r="O91" s="727" t="str">
        <f t="shared" si="5"/>
        <v/>
      </c>
      <c r="P91" s="728" t="str">
        <f t="shared" si="6"/>
        <v/>
      </c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</row>
    <row r="92" spans="1:30">
      <c r="A92" s="72">
        <v>91</v>
      </c>
      <c r="B92" s="729"/>
      <c r="C92" s="720"/>
      <c r="D92" s="75"/>
      <c r="E92" s="721"/>
      <c r="F92" s="721"/>
      <c r="G92" s="722"/>
      <c r="H92" s="724"/>
      <c r="I92" s="724"/>
      <c r="J92" s="724"/>
      <c r="K92" s="75"/>
      <c r="L92" s="75"/>
      <c r="M92" s="725">
        <f t="shared" si="4"/>
        <v>0</v>
      </c>
      <c r="N92" s="726"/>
      <c r="O92" s="727" t="str">
        <f t="shared" si="5"/>
        <v/>
      </c>
      <c r="P92" s="728" t="str">
        <f t="shared" si="6"/>
        <v/>
      </c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</row>
    <row r="93" spans="1:30">
      <c r="A93" s="72">
        <v>92</v>
      </c>
      <c r="B93" s="729"/>
      <c r="C93" s="720"/>
      <c r="D93" s="75"/>
      <c r="E93" s="721"/>
      <c r="F93" s="721"/>
      <c r="G93" s="722"/>
      <c r="H93" s="724"/>
      <c r="I93" s="724"/>
      <c r="J93" s="724"/>
      <c r="K93" s="75"/>
      <c r="L93" s="75"/>
      <c r="M93" s="725">
        <f t="shared" si="4"/>
        <v>0</v>
      </c>
      <c r="N93" s="726"/>
      <c r="O93" s="727" t="str">
        <f t="shared" si="5"/>
        <v/>
      </c>
      <c r="P93" s="728" t="str">
        <f t="shared" si="6"/>
        <v/>
      </c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</row>
    <row r="94" spans="1:30">
      <c r="A94" s="72">
        <v>93</v>
      </c>
      <c r="B94" s="729"/>
      <c r="C94" s="720"/>
      <c r="D94" s="75"/>
      <c r="E94" s="721"/>
      <c r="F94" s="721"/>
      <c r="G94" s="722"/>
      <c r="H94" s="724"/>
      <c r="I94" s="724"/>
      <c r="J94" s="724"/>
      <c r="K94" s="75"/>
      <c r="L94" s="75"/>
      <c r="M94" s="725">
        <f t="shared" si="4"/>
        <v>0</v>
      </c>
      <c r="N94" s="726"/>
      <c r="O94" s="727" t="str">
        <f t="shared" si="5"/>
        <v/>
      </c>
      <c r="P94" s="728" t="str">
        <f t="shared" si="6"/>
        <v/>
      </c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</row>
    <row r="95" spans="1:30">
      <c r="A95" s="72">
        <v>94</v>
      </c>
      <c r="B95" s="729"/>
      <c r="C95" s="720"/>
      <c r="D95" s="75"/>
      <c r="E95" s="721"/>
      <c r="F95" s="721"/>
      <c r="G95" s="722"/>
      <c r="H95" s="724"/>
      <c r="I95" s="724"/>
      <c r="J95" s="724"/>
      <c r="K95" s="75"/>
      <c r="L95" s="75"/>
      <c r="M95" s="725">
        <f t="shared" si="4"/>
        <v>0</v>
      </c>
      <c r="N95" s="726"/>
      <c r="O95" s="727" t="str">
        <f t="shared" si="5"/>
        <v/>
      </c>
      <c r="P95" s="728" t="str">
        <f t="shared" si="6"/>
        <v/>
      </c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</row>
    <row r="96" spans="1:30">
      <c r="A96" s="72">
        <v>95</v>
      </c>
      <c r="B96" s="729"/>
      <c r="C96" s="720"/>
      <c r="D96" s="75"/>
      <c r="E96" s="721"/>
      <c r="F96" s="721"/>
      <c r="G96" s="722"/>
      <c r="H96" s="724"/>
      <c r="I96" s="724"/>
      <c r="J96" s="724"/>
      <c r="K96" s="75"/>
      <c r="L96" s="75"/>
      <c r="M96" s="725">
        <f t="shared" si="4"/>
        <v>0</v>
      </c>
      <c r="N96" s="726"/>
      <c r="O96" s="727" t="str">
        <f t="shared" si="5"/>
        <v/>
      </c>
      <c r="P96" s="728" t="str">
        <f t="shared" si="6"/>
        <v/>
      </c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</row>
    <row r="97" spans="1:30">
      <c r="A97" s="72">
        <v>96</v>
      </c>
      <c r="B97" s="729"/>
      <c r="C97" s="720"/>
      <c r="D97" s="75"/>
      <c r="E97" s="721"/>
      <c r="F97" s="721"/>
      <c r="G97" s="722"/>
      <c r="H97" s="724"/>
      <c r="I97" s="724"/>
      <c r="J97" s="724"/>
      <c r="K97" s="75"/>
      <c r="L97" s="75"/>
      <c r="M97" s="725">
        <f t="shared" si="4"/>
        <v>0</v>
      </c>
      <c r="N97" s="726"/>
      <c r="O97" s="727" t="str">
        <f t="shared" si="5"/>
        <v/>
      </c>
      <c r="P97" s="728" t="str">
        <f t="shared" si="6"/>
        <v/>
      </c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</row>
    <row r="98" spans="1:30">
      <c r="A98" s="72">
        <v>97</v>
      </c>
      <c r="B98" s="729"/>
      <c r="C98" s="720"/>
      <c r="D98" s="75"/>
      <c r="E98" s="721"/>
      <c r="F98" s="721"/>
      <c r="G98" s="722"/>
      <c r="H98" s="724"/>
      <c r="I98" s="724"/>
      <c r="J98" s="724"/>
      <c r="K98" s="75"/>
      <c r="L98" s="75"/>
      <c r="M98" s="725">
        <f t="shared" si="4"/>
        <v>0</v>
      </c>
      <c r="N98" s="726"/>
      <c r="O98" s="727" t="str">
        <f t="shared" si="5"/>
        <v/>
      </c>
      <c r="P98" s="728" t="str">
        <f t="shared" si="6"/>
        <v/>
      </c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</row>
    <row r="99" spans="1:30">
      <c r="A99" s="72">
        <v>98</v>
      </c>
      <c r="B99" s="729"/>
      <c r="C99" s="720"/>
      <c r="D99" s="75"/>
      <c r="E99" s="721"/>
      <c r="F99" s="721"/>
      <c r="G99" s="722"/>
      <c r="H99" s="724"/>
      <c r="I99" s="724"/>
      <c r="J99" s="724"/>
      <c r="K99" s="75"/>
      <c r="L99" s="75"/>
      <c r="M99" s="725">
        <f t="shared" si="4"/>
        <v>0</v>
      </c>
      <c r="N99" s="726"/>
      <c r="O99" s="727" t="str">
        <f t="shared" si="5"/>
        <v/>
      </c>
      <c r="P99" s="728" t="str">
        <f t="shared" si="6"/>
        <v/>
      </c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</row>
    <row r="100" spans="1:30">
      <c r="A100" s="72">
        <v>99</v>
      </c>
      <c r="B100" s="729"/>
      <c r="C100" s="720"/>
      <c r="D100" s="75"/>
      <c r="E100" s="721"/>
      <c r="F100" s="721"/>
      <c r="G100" s="722"/>
      <c r="H100" s="724"/>
      <c r="I100" s="724"/>
      <c r="J100" s="724"/>
      <c r="K100" s="75"/>
      <c r="L100" s="75"/>
      <c r="M100" s="725">
        <f t="shared" si="4"/>
        <v>0</v>
      </c>
      <c r="N100" s="726"/>
      <c r="O100" s="727" t="str">
        <f t="shared" si="5"/>
        <v/>
      </c>
      <c r="P100" s="728" t="str">
        <f t="shared" si="6"/>
        <v/>
      </c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</row>
    <row r="101" spans="1:30">
      <c r="A101" s="72">
        <v>100</v>
      </c>
      <c r="B101" s="729"/>
      <c r="C101" s="720"/>
      <c r="D101" s="75"/>
      <c r="E101" s="721"/>
      <c r="F101" s="721"/>
      <c r="G101" s="722"/>
      <c r="H101" s="724"/>
      <c r="I101" s="724"/>
      <c r="J101" s="724"/>
      <c r="K101" s="75"/>
      <c r="L101" s="75"/>
      <c r="M101" s="725">
        <f t="shared" si="4"/>
        <v>0</v>
      </c>
      <c r="N101" s="726"/>
      <c r="O101" s="727" t="str">
        <f t="shared" si="5"/>
        <v/>
      </c>
      <c r="P101" s="728" t="str">
        <f t="shared" si="6"/>
        <v/>
      </c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</row>
    <row r="102" spans="1:30">
      <c r="A102" s="2"/>
      <c r="B102" s="2"/>
      <c r="C102" s="2"/>
      <c r="D102" s="2"/>
      <c r="E102" s="2"/>
      <c r="F102" s="2"/>
      <c r="G102" s="731" t="s">
        <v>194</v>
      </c>
      <c r="H102" s="732">
        <f>SUM(H2:H101)</f>
        <v>0</v>
      </c>
      <c r="I102" s="732"/>
      <c r="J102" s="732">
        <f>SUM(J2:J101)</f>
        <v>0</v>
      </c>
      <c r="K102" s="2"/>
      <c r="L102" s="2"/>
      <c r="M102" s="2"/>
      <c r="N102" s="733"/>
      <c r="O102" s="89">
        <f>SUM(O2:O101)</f>
        <v>0</v>
      </c>
      <c r="P102" s="89"/>
      <c r="Q102" s="89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8" spans="1:30">
      <c r="AD108" s="90"/>
    </row>
    <row r="109" spans="1:30">
      <c r="T109" s="91"/>
    </row>
    <row r="110" spans="1:30">
      <c r="K110" s="90"/>
      <c r="AD110" s="90"/>
    </row>
    <row r="118" spans="22:22">
      <c r="V118">
        <f>0.18</f>
        <v>0.18</v>
      </c>
    </row>
  </sheetData>
  <sheetProtection algorithmName="SHA-512" hashValue="NAJ9jt/E1pNObgMUYsdOdGCAXyJQKSeI7DABynoumDESfSRfVB+CELpknlJv437ySt1iA9tIH0vWaIUvNf1aFA==" saltValue="++UoWFEVwzs2snRpBvnn7Q==" spinCount="100000" sheet="1" objects="1" scenarios="1" formatColumns="0" formatRows="0" insertRows="0" autoFilter="0"/>
  <protectedRanges>
    <protectedRange sqref="G2" name="Range5_1" securityDescriptor=""/>
  </protectedRanges>
  <autoFilter ref="A1:AE1" xr:uid="{00000000-0009-0000-0000-000008000000}">
    <filterColumn colId="13" showButton="0"/>
  </autoFilter>
  <dataConsolidate/>
  <mergeCells count="1">
    <mergeCell ref="N1:O1"/>
  </mergeCells>
  <conditionalFormatting sqref="O2:P2 P3:P101">
    <cfRule type="containsText" dxfId="13" priority="14" operator="containsText" text="Yes,No">
      <formula>NOT(ISERROR(SEARCH("Yes,No",O2)))</formula>
    </cfRule>
  </conditionalFormatting>
  <conditionalFormatting sqref="N2:N69">
    <cfRule type="containsText" dxfId="12" priority="13" operator="containsText" text="Yes,No">
      <formula>NOT(ISERROR(SEARCH("Yes,No",N2)))</formula>
    </cfRule>
  </conditionalFormatting>
  <conditionalFormatting sqref="N102">
    <cfRule type="containsText" dxfId="11" priority="12" operator="containsText" text="No">
      <formula>NOT(ISERROR(SEARCH("No",N102)))</formula>
    </cfRule>
  </conditionalFormatting>
  <conditionalFormatting sqref="N2:N69">
    <cfRule type="cellIs" dxfId="10" priority="10" operator="equal">
      <formula>"No"</formula>
    </cfRule>
    <cfRule type="cellIs" dxfId="9" priority="11" operator="equal">
      <formula>"Yes"</formula>
    </cfRule>
  </conditionalFormatting>
  <conditionalFormatting sqref="O3:P69">
    <cfRule type="containsText" dxfId="8" priority="9" operator="containsText" text="Yes,No">
      <formula>NOT(ISERROR(SEARCH("Yes,No",O3)))</formula>
    </cfRule>
  </conditionalFormatting>
  <conditionalFormatting sqref="N70">
    <cfRule type="containsText" dxfId="7" priority="8" operator="containsText" text="Yes,No">
      <formula>NOT(ISERROR(SEARCH("Yes,No",N70)))</formula>
    </cfRule>
  </conditionalFormatting>
  <conditionalFormatting sqref="N70">
    <cfRule type="cellIs" dxfId="6" priority="6" operator="equal">
      <formula>"No"</formula>
    </cfRule>
    <cfRule type="cellIs" dxfId="5" priority="7" operator="equal">
      <formula>"Yes"</formula>
    </cfRule>
  </conditionalFormatting>
  <conditionalFormatting sqref="O70:P70">
    <cfRule type="containsText" dxfId="4" priority="5" operator="containsText" text="Yes,No">
      <formula>NOT(ISERROR(SEARCH("Yes,No",O70)))</formula>
    </cfRule>
  </conditionalFormatting>
  <conditionalFormatting sqref="N71:N101">
    <cfRule type="containsText" dxfId="3" priority="4" operator="containsText" text="Yes,No">
      <formula>NOT(ISERROR(SEARCH("Yes,No",N71)))</formula>
    </cfRule>
  </conditionalFormatting>
  <conditionalFormatting sqref="N71:N101">
    <cfRule type="cellIs" dxfId="2" priority="2" operator="equal">
      <formula>"No"</formula>
    </cfRule>
    <cfRule type="cellIs" dxfId="1" priority="3" operator="equal">
      <formula>"Yes"</formula>
    </cfRule>
  </conditionalFormatting>
  <conditionalFormatting sqref="O71:P101">
    <cfRule type="containsText" dxfId="0" priority="1" operator="containsText" text="Yes,No">
      <formula>NOT(ISERROR(SEARCH("Yes,No",O71)))</formula>
    </cfRule>
  </conditionalFormatting>
  <dataValidations count="4">
    <dataValidation type="list" allowBlank="1" showInputMessage="1" showErrorMessage="1" sqref="D8" xr:uid="{AD27C2A3-3799-4DD9-A69E-CEAA1015D335}">
      <formula1>"Home Loan, LAP,OTHERS,Vehicle Loan,PROPERTY LOAN,DEMAND LOAN,CVL,AUTO LOAN, Personal Loan,Business Loan, CC/OD,Term Loan,Machinery Loan,Education Loan,Consumer Loan"</formula1>
    </dataValidation>
    <dataValidation type="list" allowBlank="1" showInputMessage="1" showErrorMessage="1" sqref="N2:N101" xr:uid="{23BCEFBB-0F1C-43AF-88B1-F12628A804A5}">
      <formula1>"Yes, No"</formula1>
    </dataValidation>
    <dataValidation type="list" allowBlank="1" showInputMessage="1" showErrorMessage="1" sqref="C2:C101" xr:uid="{D292852B-57BC-41E3-A7FB-2697675676B6}">
      <formula1>"AL,CV/CE,HL,LAP,Consumer loan, Agri loan,Two wheeler loan,Gold loan,Professional Loan,OD/CC,TL,Flexy Loan,Machinery Loan,Educational loan,Business loan,Personal Loan,Card Swipes loan,Medical Equipment loan,Other loan"</formula1>
    </dataValidation>
    <dataValidation type="list" allowBlank="1" showInputMessage="1" showErrorMessage="1" sqref="B2:B101" xr:uid="{DA1377E9-A637-4082-867E-AE48EFD6AD54}">
      <formula1>"Consumer CIBIL,Internal dedupe, Commercial CIBIL, SOA, Banking, Customer declaration"</formula1>
    </dataValidation>
  </dataValidations>
  <pageMargins left="0.69930555555555596" right="0.69930555555555596" top="0.75" bottom="0.75" header="0.3" footer="0.3"/>
  <pageSetup scale="3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S251"/>
  <sheetViews>
    <sheetView topLeftCell="B1" zoomScale="90" zoomScaleNormal="90" workbookViewId="0">
      <selection activeCell="H1" sqref="H1:O1"/>
    </sheetView>
  </sheetViews>
  <sheetFormatPr defaultColWidth="9" defaultRowHeight="15"/>
  <cols>
    <col min="2" max="2" width="17.85546875" customWidth="1"/>
    <col min="3" max="3" width="16.5703125" customWidth="1"/>
    <col min="4" max="4" width="9.42578125" customWidth="1"/>
    <col min="5" max="5" width="15.140625" customWidth="1"/>
    <col min="7" max="7" width="21.140625" customWidth="1"/>
    <col min="9" max="9" width="15.85546875" customWidth="1"/>
    <col min="10" max="15" width="15.28515625" customWidth="1"/>
    <col min="16" max="17" width="18.140625" customWidth="1"/>
    <col min="18" max="18" width="9.140625" hidden="1" customWidth="1"/>
    <col min="19" max="19" width="13.5703125" hidden="1" customWidth="1"/>
  </cols>
  <sheetData>
    <row r="1" spans="1:19">
      <c r="A1" s="701" t="s">
        <v>351</v>
      </c>
      <c r="B1" s="702"/>
      <c r="C1" s="703"/>
      <c r="D1" s="704" t="s">
        <v>352</v>
      </c>
      <c r="E1" s="705"/>
      <c r="F1" s="705"/>
      <c r="G1" s="5" t="s">
        <v>353</v>
      </c>
      <c r="H1" s="706" t="s">
        <v>354</v>
      </c>
      <c r="I1" s="706"/>
      <c r="J1" s="706"/>
      <c r="K1" s="706"/>
      <c r="L1" s="706"/>
      <c r="M1" s="706"/>
      <c r="N1" s="706"/>
      <c r="O1" s="707"/>
    </row>
    <row r="2" spans="1:19" ht="24.75" customHeight="1">
      <c r="A2" s="6" t="s">
        <v>355</v>
      </c>
      <c r="B2" s="708" t="s">
        <v>356</v>
      </c>
      <c r="C2" s="709"/>
      <c r="D2" s="708" t="s">
        <v>357</v>
      </c>
      <c r="E2" s="709"/>
      <c r="F2" s="651" t="s">
        <v>358</v>
      </c>
      <c r="G2" s="651" t="s">
        <v>359</v>
      </c>
      <c r="H2" s="651" t="s">
        <v>360</v>
      </c>
      <c r="I2" s="651" t="s">
        <v>361</v>
      </c>
      <c r="J2" s="708" t="s">
        <v>362</v>
      </c>
      <c r="K2" s="709"/>
      <c r="L2" s="709"/>
      <c r="M2" s="709"/>
      <c r="N2" s="709"/>
      <c r="O2" s="709"/>
      <c r="P2" s="651" t="s">
        <v>232</v>
      </c>
      <c r="Q2" s="57"/>
    </row>
    <row r="3" spans="1:19" ht="34.5" customHeight="1">
      <c r="A3" s="6" t="s">
        <v>363</v>
      </c>
      <c r="B3" s="7" t="s">
        <v>364</v>
      </c>
      <c r="C3" s="7" t="s">
        <v>365</v>
      </c>
      <c r="D3" s="7" t="s">
        <v>364</v>
      </c>
      <c r="E3" s="7" t="s">
        <v>365</v>
      </c>
      <c r="F3" s="652"/>
      <c r="G3" s="652"/>
      <c r="H3" s="652"/>
      <c r="I3" s="652"/>
      <c r="J3" s="7" t="s">
        <v>366</v>
      </c>
      <c r="K3" s="7" t="s">
        <v>367</v>
      </c>
      <c r="L3" s="7" t="s">
        <v>368</v>
      </c>
      <c r="M3" s="7" t="s">
        <v>369</v>
      </c>
      <c r="N3" s="7" t="s">
        <v>370</v>
      </c>
      <c r="O3" s="7" t="s">
        <v>371</v>
      </c>
      <c r="P3" s="652"/>
      <c r="Q3" s="58"/>
      <c r="S3" s="59" t="s">
        <v>372</v>
      </c>
    </row>
    <row r="4" spans="1:19">
      <c r="A4" s="8">
        <f>A30</f>
        <v>44531</v>
      </c>
      <c r="B4" s="9">
        <f>SUM(B30+B53+B76+B99+B122+B145+B168+B191+B214+B237)</f>
        <v>0</v>
      </c>
      <c r="C4" s="9">
        <f>SUM(C30+C53+C76+C99+C122+C145+C168+C191+C214+C237)</f>
        <v>0</v>
      </c>
      <c r="D4" s="10">
        <f t="shared" ref="D4:E15" ca="1" si="0">IFERROR(SUM(D30+D53+D76+D99+D122),"")</f>
        <v>0</v>
      </c>
      <c r="E4" s="10">
        <f t="shared" ca="1" si="0"/>
        <v>0</v>
      </c>
      <c r="F4" s="10">
        <f t="shared" ref="F4:H15" si="1">SUM(F30+F53+F76+F99+F122)</f>
        <v>0</v>
      </c>
      <c r="G4" s="10">
        <f t="shared" si="1"/>
        <v>0</v>
      </c>
      <c r="H4" s="10">
        <f t="shared" si="1"/>
        <v>0</v>
      </c>
      <c r="I4" s="10"/>
      <c r="J4" s="9">
        <f>SUM(J30+J53)</f>
        <v>0</v>
      </c>
      <c r="K4" s="9">
        <f t="shared" ref="K4:O4" si="2">SUM(K30+K53)</f>
        <v>0</v>
      </c>
      <c r="L4" s="9">
        <f t="shared" si="2"/>
        <v>0</v>
      </c>
      <c r="M4" s="9">
        <f t="shared" si="2"/>
        <v>0</v>
      </c>
      <c r="N4" s="9">
        <f t="shared" si="2"/>
        <v>0</v>
      </c>
      <c r="O4" s="9">
        <f t="shared" si="2"/>
        <v>0</v>
      </c>
      <c r="P4" s="9">
        <f t="shared" ref="P4:P15" si="3">SUM(J4:O4)/COUNT(J4:O4)</f>
        <v>0</v>
      </c>
      <c r="Q4" s="60"/>
      <c r="S4" s="647">
        <f>S30+S53</f>
        <v>0</v>
      </c>
    </row>
    <row r="5" spans="1:19">
      <c r="A5" s="8">
        <f>EDATE(A4,-1)</f>
        <v>44501</v>
      </c>
      <c r="B5" s="9">
        <f t="shared" ref="B5:C5" si="4">SUM(B31+B54+B77+B100+B123+B146+B169+B192+B215+B238)</f>
        <v>0</v>
      </c>
      <c r="C5" s="9">
        <f t="shared" si="4"/>
        <v>0</v>
      </c>
      <c r="D5" s="10">
        <f t="shared" ca="1" si="0"/>
        <v>0</v>
      </c>
      <c r="E5" s="10">
        <f t="shared" ca="1" si="0"/>
        <v>0</v>
      </c>
      <c r="F5" s="10">
        <f t="shared" si="1"/>
        <v>0</v>
      </c>
      <c r="G5" s="10">
        <f t="shared" si="1"/>
        <v>0</v>
      </c>
      <c r="H5" s="10">
        <f t="shared" si="1"/>
        <v>0</v>
      </c>
      <c r="I5" s="10"/>
      <c r="J5" s="9">
        <f t="shared" ref="J5:O5" si="5">SUM(J31+J54)</f>
        <v>0</v>
      </c>
      <c r="K5" s="9">
        <f t="shared" si="5"/>
        <v>0</v>
      </c>
      <c r="L5" s="9">
        <f t="shared" si="5"/>
        <v>0</v>
      </c>
      <c r="M5" s="9">
        <f t="shared" si="5"/>
        <v>0</v>
      </c>
      <c r="N5" s="9">
        <f t="shared" si="5"/>
        <v>0</v>
      </c>
      <c r="O5" s="9">
        <f t="shared" si="5"/>
        <v>0</v>
      </c>
      <c r="P5" s="9">
        <f t="shared" si="3"/>
        <v>0</v>
      </c>
      <c r="Q5" s="60"/>
      <c r="S5" s="647"/>
    </row>
    <row r="6" spans="1:19">
      <c r="A6" s="8">
        <f t="shared" ref="A6:A15" si="6">EDATE(A5,-1)</f>
        <v>44470</v>
      </c>
      <c r="B6" s="9">
        <f t="shared" ref="B6:C6" si="7">SUM(B32+B55+B78+B101+B124+B147+B170+B193+B216+B239)</f>
        <v>0</v>
      </c>
      <c r="C6" s="9">
        <f t="shared" si="7"/>
        <v>0</v>
      </c>
      <c r="D6" s="10">
        <f t="shared" ca="1" si="0"/>
        <v>0</v>
      </c>
      <c r="E6" s="10">
        <f t="shared" ca="1" si="0"/>
        <v>0</v>
      </c>
      <c r="F6" s="10">
        <f t="shared" si="1"/>
        <v>0</v>
      </c>
      <c r="G6" s="10">
        <f t="shared" si="1"/>
        <v>0</v>
      </c>
      <c r="H6" s="10">
        <f t="shared" si="1"/>
        <v>0</v>
      </c>
      <c r="I6" s="10"/>
      <c r="J6" s="9">
        <f t="shared" ref="J6:O6" si="8">SUM(J32+J55)</f>
        <v>0</v>
      </c>
      <c r="K6" s="9">
        <f t="shared" si="8"/>
        <v>0</v>
      </c>
      <c r="L6" s="9">
        <f t="shared" si="8"/>
        <v>0</v>
      </c>
      <c r="M6" s="9">
        <f t="shared" si="8"/>
        <v>0</v>
      </c>
      <c r="N6" s="9">
        <f t="shared" si="8"/>
        <v>0</v>
      </c>
      <c r="O6" s="9">
        <f t="shared" si="8"/>
        <v>0</v>
      </c>
      <c r="P6" s="9">
        <f t="shared" si="3"/>
        <v>0</v>
      </c>
      <c r="Q6" s="60"/>
      <c r="S6" s="647"/>
    </row>
    <row r="7" spans="1:19">
      <c r="A7" s="8">
        <f t="shared" si="6"/>
        <v>44440</v>
      </c>
      <c r="B7" s="9">
        <f t="shared" ref="B7:C7" si="9">SUM(B33+B56+B79+B102+B125+B148+B171+B194+B217+B240)</f>
        <v>0</v>
      </c>
      <c r="C7" s="9">
        <f t="shared" si="9"/>
        <v>0</v>
      </c>
      <c r="D7" s="10">
        <f t="shared" ca="1" si="0"/>
        <v>0</v>
      </c>
      <c r="E7" s="10">
        <f t="shared" ca="1" si="0"/>
        <v>0</v>
      </c>
      <c r="F7" s="10">
        <f t="shared" si="1"/>
        <v>0</v>
      </c>
      <c r="G7" s="10">
        <f t="shared" si="1"/>
        <v>0</v>
      </c>
      <c r="H7" s="10">
        <f t="shared" si="1"/>
        <v>0</v>
      </c>
      <c r="I7" s="10"/>
      <c r="J7" s="9">
        <f t="shared" ref="J7:O7" si="10">SUM(J33+J56)</f>
        <v>0</v>
      </c>
      <c r="K7" s="9">
        <f t="shared" si="10"/>
        <v>0</v>
      </c>
      <c r="L7" s="9">
        <f t="shared" si="10"/>
        <v>0</v>
      </c>
      <c r="M7" s="9">
        <f t="shared" si="10"/>
        <v>0</v>
      </c>
      <c r="N7" s="9">
        <f t="shared" si="10"/>
        <v>0</v>
      </c>
      <c r="O7" s="9">
        <f t="shared" si="10"/>
        <v>0</v>
      </c>
      <c r="P7" s="9">
        <f t="shared" si="3"/>
        <v>0</v>
      </c>
      <c r="Q7" s="60"/>
      <c r="S7" s="647"/>
    </row>
    <row r="8" spans="1:19">
      <c r="A8" s="8">
        <f t="shared" si="6"/>
        <v>44409</v>
      </c>
      <c r="B8" s="9">
        <f t="shared" ref="B8:C8" si="11">SUM(B34+B57+B80+B103+B126+B149+B172+B195+B218+B241)</f>
        <v>0</v>
      </c>
      <c r="C8" s="9">
        <f t="shared" si="11"/>
        <v>0</v>
      </c>
      <c r="D8" s="10">
        <f t="shared" ca="1" si="0"/>
        <v>0</v>
      </c>
      <c r="E8" s="10">
        <f t="shared" ca="1" si="0"/>
        <v>0</v>
      </c>
      <c r="F8" s="10">
        <f t="shared" si="1"/>
        <v>0</v>
      </c>
      <c r="G8" s="10">
        <f t="shared" si="1"/>
        <v>0</v>
      </c>
      <c r="H8" s="10">
        <f t="shared" si="1"/>
        <v>0</v>
      </c>
      <c r="I8" s="10"/>
      <c r="J8" s="9">
        <f t="shared" ref="J8:O8" si="12">SUM(J34+J57)</f>
        <v>0</v>
      </c>
      <c r="K8" s="9">
        <f t="shared" si="12"/>
        <v>0</v>
      </c>
      <c r="L8" s="9">
        <f t="shared" si="12"/>
        <v>0</v>
      </c>
      <c r="M8" s="9">
        <f t="shared" si="12"/>
        <v>0</v>
      </c>
      <c r="N8" s="9">
        <f t="shared" si="12"/>
        <v>0</v>
      </c>
      <c r="O8" s="9">
        <f t="shared" si="12"/>
        <v>0</v>
      </c>
      <c r="P8" s="9">
        <f t="shared" si="3"/>
        <v>0</v>
      </c>
      <c r="Q8" s="60"/>
      <c r="S8" s="647"/>
    </row>
    <row r="9" spans="1:19">
      <c r="A9" s="8">
        <f t="shared" si="6"/>
        <v>44378</v>
      </c>
      <c r="B9" s="9">
        <f t="shared" ref="B9:C9" si="13">SUM(B35+B58+B81+B104+B127+B150+B173+B196+B219+B242)</f>
        <v>0</v>
      </c>
      <c r="C9" s="9">
        <f t="shared" si="13"/>
        <v>0</v>
      </c>
      <c r="D9" s="10">
        <f t="shared" ca="1" si="0"/>
        <v>0</v>
      </c>
      <c r="E9" s="10">
        <f t="shared" ca="1" si="0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/>
      <c r="J9" s="9">
        <f t="shared" ref="J9:O9" si="14">SUM(J35+J58)</f>
        <v>0</v>
      </c>
      <c r="K9" s="9">
        <f t="shared" si="14"/>
        <v>0</v>
      </c>
      <c r="L9" s="9">
        <f t="shared" si="14"/>
        <v>0</v>
      </c>
      <c r="M9" s="9">
        <f t="shared" si="14"/>
        <v>0</v>
      </c>
      <c r="N9" s="9">
        <f t="shared" si="14"/>
        <v>0</v>
      </c>
      <c r="O9" s="9">
        <f t="shared" si="14"/>
        <v>0</v>
      </c>
      <c r="P9" s="9">
        <f t="shared" si="3"/>
        <v>0</v>
      </c>
      <c r="Q9" s="60"/>
      <c r="S9" s="647"/>
    </row>
    <row r="10" spans="1:19">
      <c r="A10" s="8">
        <f t="shared" si="6"/>
        <v>44348</v>
      </c>
      <c r="B10" s="9">
        <f t="shared" ref="B10:C10" si="15">SUM(B36+B59+B82+B105+B128+B151+B174+B197+B220+B243)</f>
        <v>0</v>
      </c>
      <c r="C10" s="9">
        <f t="shared" si="15"/>
        <v>0</v>
      </c>
      <c r="D10" s="10">
        <f t="shared" ca="1" si="0"/>
        <v>0</v>
      </c>
      <c r="E10" s="10">
        <f t="shared" ca="1" si="0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/>
      <c r="J10" s="9">
        <f t="shared" ref="J10:O10" si="16">SUM(J36+J59)</f>
        <v>0</v>
      </c>
      <c r="K10" s="9">
        <f t="shared" si="16"/>
        <v>0</v>
      </c>
      <c r="L10" s="9">
        <f t="shared" si="16"/>
        <v>0</v>
      </c>
      <c r="M10" s="9">
        <f t="shared" si="16"/>
        <v>0</v>
      </c>
      <c r="N10" s="9">
        <f t="shared" si="16"/>
        <v>0</v>
      </c>
      <c r="O10" s="9">
        <f t="shared" si="16"/>
        <v>0</v>
      </c>
      <c r="P10" s="9">
        <f t="shared" si="3"/>
        <v>0</v>
      </c>
      <c r="Q10" s="60"/>
      <c r="S10" s="647">
        <f>S36+S59</f>
        <v>0</v>
      </c>
    </row>
    <row r="11" spans="1:19">
      <c r="A11" s="8">
        <f t="shared" si="6"/>
        <v>44317</v>
      </c>
      <c r="B11" s="9">
        <f t="shared" ref="B11:C11" si="17">SUM(B37+B60+B83+B106+B129+B152+B175+B198+B221+B244)</f>
        <v>0</v>
      </c>
      <c r="C11" s="9">
        <f t="shared" si="17"/>
        <v>0</v>
      </c>
      <c r="D11" s="10">
        <f t="shared" ca="1" si="0"/>
        <v>0</v>
      </c>
      <c r="E11" s="10">
        <f t="shared" ca="1" si="0"/>
        <v>0</v>
      </c>
      <c r="F11" s="10">
        <f t="shared" si="1"/>
        <v>0</v>
      </c>
      <c r="G11" s="10">
        <f t="shared" si="1"/>
        <v>0</v>
      </c>
      <c r="H11" s="10">
        <f t="shared" si="1"/>
        <v>0</v>
      </c>
      <c r="I11" s="10"/>
      <c r="J11" s="9">
        <f t="shared" ref="J11:O11" si="18">SUM(J37+J60)</f>
        <v>0</v>
      </c>
      <c r="K11" s="9">
        <f t="shared" si="18"/>
        <v>0</v>
      </c>
      <c r="L11" s="9">
        <f t="shared" si="18"/>
        <v>0</v>
      </c>
      <c r="M11" s="9">
        <f t="shared" si="18"/>
        <v>0</v>
      </c>
      <c r="N11" s="9">
        <f t="shared" si="18"/>
        <v>0</v>
      </c>
      <c r="O11" s="9">
        <f t="shared" si="18"/>
        <v>0</v>
      </c>
      <c r="P11" s="9">
        <f t="shared" si="3"/>
        <v>0</v>
      </c>
      <c r="Q11" s="60"/>
      <c r="S11" s="647"/>
    </row>
    <row r="12" spans="1:19">
      <c r="A12" s="8">
        <f t="shared" si="6"/>
        <v>44287</v>
      </c>
      <c r="B12" s="9">
        <f t="shared" ref="B12:C12" si="19">SUM(B38+B61+B84+B107+B130+B153+B176+B199+B222+B245)</f>
        <v>0</v>
      </c>
      <c r="C12" s="9">
        <f t="shared" si="19"/>
        <v>0</v>
      </c>
      <c r="D12" s="10">
        <f t="shared" ca="1" si="0"/>
        <v>0</v>
      </c>
      <c r="E12" s="10">
        <f t="shared" ca="1" si="0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/>
      <c r="J12" s="9">
        <f t="shared" ref="J12:O12" si="20">SUM(J38+J61)</f>
        <v>0</v>
      </c>
      <c r="K12" s="9">
        <f t="shared" si="20"/>
        <v>0</v>
      </c>
      <c r="L12" s="9">
        <f t="shared" si="20"/>
        <v>0</v>
      </c>
      <c r="M12" s="9">
        <f t="shared" si="20"/>
        <v>0</v>
      </c>
      <c r="N12" s="9">
        <f t="shared" si="20"/>
        <v>0</v>
      </c>
      <c r="O12" s="9">
        <f t="shared" si="20"/>
        <v>0</v>
      </c>
      <c r="P12" s="9">
        <f t="shared" si="3"/>
        <v>0</v>
      </c>
      <c r="Q12" s="60"/>
      <c r="S12" s="647"/>
    </row>
    <row r="13" spans="1:19">
      <c r="A13" s="8">
        <f t="shared" si="6"/>
        <v>44256</v>
      </c>
      <c r="B13" s="9">
        <f t="shared" ref="B13:C13" si="21">SUM(B39+B62+B85+B108+B131+B154+B177+B200+B223+B246)</f>
        <v>0</v>
      </c>
      <c r="C13" s="9">
        <f t="shared" si="21"/>
        <v>0</v>
      </c>
      <c r="D13" s="10">
        <f t="shared" ca="1" si="0"/>
        <v>0</v>
      </c>
      <c r="E13" s="10">
        <f t="shared" ca="1" si="0"/>
        <v>0</v>
      </c>
      <c r="F13" s="10">
        <f t="shared" si="1"/>
        <v>0</v>
      </c>
      <c r="G13" s="10">
        <f t="shared" si="1"/>
        <v>0</v>
      </c>
      <c r="H13" s="10">
        <f t="shared" si="1"/>
        <v>0</v>
      </c>
      <c r="I13" s="10"/>
      <c r="J13" s="9">
        <f t="shared" ref="J13:O13" si="22">SUM(J39+J62)</f>
        <v>0</v>
      </c>
      <c r="K13" s="9">
        <f t="shared" si="22"/>
        <v>0</v>
      </c>
      <c r="L13" s="9">
        <f t="shared" si="22"/>
        <v>0</v>
      </c>
      <c r="M13" s="9">
        <f t="shared" si="22"/>
        <v>0</v>
      </c>
      <c r="N13" s="9">
        <f t="shared" si="22"/>
        <v>0</v>
      </c>
      <c r="O13" s="9">
        <f t="shared" si="22"/>
        <v>0</v>
      </c>
      <c r="P13" s="9">
        <f t="shared" si="3"/>
        <v>0</v>
      </c>
      <c r="Q13" s="60"/>
      <c r="S13" s="647"/>
    </row>
    <row r="14" spans="1:19">
      <c r="A14" s="8">
        <f t="shared" si="6"/>
        <v>44228</v>
      </c>
      <c r="B14" s="9">
        <f t="shared" ref="B14:C14" si="23">SUM(B40+B63+B86+B109+B132+B155+B178+B201+B224+B247)</f>
        <v>0</v>
      </c>
      <c r="C14" s="9">
        <f t="shared" si="23"/>
        <v>0</v>
      </c>
      <c r="D14" s="10">
        <f t="shared" ca="1" si="0"/>
        <v>0</v>
      </c>
      <c r="E14" s="10">
        <f t="shared" ca="1" si="0"/>
        <v>0</v>
      </c>
      <c r="F14" s="10">
        <f t="shared" si="1"/>
        <v>0</v>
      </c>
      <c r="G14" s="10">
        <f t="shared" si="1"/>
        <v>0</v>
      </c>
      <c r="H14" s="10">
        <f t="shared" si="1"/>
        <v>0</v>
      </c>
      <c r="I14" s="10"/>
      <c r="J14" s="9">
        <f t="shared" ref="J14:O14" si="24">SUM(J40+J63)</f>
        <v>0</v>
      </c>
      <c r="K14" s="9">
        <f t="shared" si="24"/>
        <v>0</v>
      </c>
      <c r="L14" s="9">
        <f t="shared" si="24"/>
        <v>0</v>
      </c>
      <c r="M14" s="9">
        <f t="shared" si="24"/>
        <v>0</v>
      </c>
      <c r="N14" s="9">
        <f t="shared" si="24"/>
        <v>0</v>
      </c>
      <c r="O14" s="9">
        <f t="shared" si="24"/>
        <v>0</v>
      </c>
      <c r="P14" s="9">
        <f t="shared" si="3"/>
        <v>0</v>
      </c>
      <c r="Q14" s="60"/>
      <c r="S14" s="647"/>
    </row>
    <row r="15" spans="1:19">
      <c r="A15" s="11">
        <f t="shared" si="6"/>
        <v>44197</v>
      </c>
      <c r="B15" s="9">
        <f t="shared" ref="B15:C15" si="25">SUM(B41+B64+B87+B110+B133+B156+B179+B202+B225+B248)</f>
        <v>0</v>
      </c>
      <c r="C15" s="9">
        <f t="shared" si="25"/>
        <v>0</v>
      </c>
      <c r="D15" s="10">
        <f t="shared" ca="1" si="0"/>
        <v>0</v>
      </c>
      <c r="E15" s="10">
        <f t="shared" ca="1" si="0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/>
      <c r="J15" s="9">
        <f t="shared" ref="J15:O15" si="26">SUM(J41+J64)</f>
        <v>0</v>
      </c>
      <c r="K15" s="9">
        <f t="shared" si="26"/>
        <v>0</v>
      </c>
      <c r="L15" s="9">
        <f t="shared" si="26"/>
        <v>0</v>
      </c>
      <c r="M15" s="9">
        <f t="shared" si="26"/>
        <v>0</v>
      </c>
      <c r="N15" s="9">
        <f t="shared" si="26"/>
        <v>0</v>
      </c>
      <c r="O15" s="9">
        <f t="shared" si="26"/>
        <v>0</v>
      </c>
      <c r="P15" s="34">
        <f t="shared" si="3"/>
        <v>0</v>
      </c>
      <c r="Q15" s="60"/>
      <c r="S15" s="647"/>
    </row>
    <row r="16" spans="1:19">
      <c r="A16" s="13" t="s">
        <v>194</v>
      </c>
      <c r="B16" s="14">
        <f t="shared" ref="B16:H16" si="27">SUM(B4:B15)</f>
        <v>0</v>
      </c>
      <c r="C16" s="14">
        <f t="shared" si="27"/>
        <v>0</v>
      </c>
      <c r="D16" s="15">
        <f t="shared" ca="1" si="27"/>
        <v>0</v>
      </c>
      <c r="E16" s="15">
        <f t="shared" ca="1" si="27"/>
        <v>0</v>
      </c>
      <c r="F16" s="15">
        <f t="shared" si="27"/>
        <v>0</v>
      </c>
      <c r="G16" s="16">
        <f t="shared" si="27"/>
        <v>0</v>
      </c>
      <c r="H16" s="15">
        <f t="shared" si="27"/>
        <v>0</v>
      </c>
      <c r="I16" s="15"/>
      <c r="J16" s="14">
        <f>AVERAGE(J4:J15)</f>
        <v>0</v>
      </c>
      <c r="K16" s="14">
        <f t="shared" ref="K16:P16" si="28">AVERAGE(K4:K15)</f>
        <v>0</v>
      </c>
      <c r="L16" s="14">
        <f t="shared" si="28"/>
        <v>0</v>
      </c>
      <c r="M16" s="14">
        <f t="shared" si="28"/>
        <v>0</v>
      </c>
      <c r="N16" s="14">
        <f t="shared" si="28"/>
        <v>0</v>
      </c>
      <c r="O16" s="14">
        <f t="shared" si="28"/>
        <v>0</v>
      </c>
      <c r="P16" s="14">
        <f t="shared" si="28"/>
        <v>0</v>
      </c>
      <c r="Q16" s="61"/>
      <c r="S16" s="2"/>
    </row>
    <row r="17" spans="1:19">
      <c r="A17" s="17" t="s">
        <v>373</v>
      </c>
      <c r="B17" s="18">
        <f t="shared" ref="B17:H17" si="29">+AVERAGE(B4:B15)</f>
        <v>0</v>
      </c>
      <c r="C17" s="18">
        <f t="shared" si="29"/>
        <v>0</v>
      </c>
      <c r="D17" s="19">
        <f ca="1">IFERROR(+AVERAGE(D4:D15),"")</f>
        <v>0</v>
      </c>
      <c r="E17" s="19">
        <f ca="1">IFERROR(+AVERAGE(E4:E15),"")</f>
        <v>0</v>
      </c>
      <c r="F17" s="19">
        <f t="shared" si="29"/>
        <v>0</v>
      </c>
      <c r="G17" s="19">
        <f t="shared" si="29"/>
        <v>0</v>
      </c>
      <c r="H17" s="19">
        <f t="shared" si="29"/>
        <v>0</v>
      </c>
      <c r="I17" s="35"/>
      <c r="J17" s="35"/>
      <c r="K17" s="36"/>
      <c r="L17" s="36"/>
      <c r="M17" s="37"/>
      <c r="N17" s="36"/>
      <c r="O17" s="38" t="s">
        <v>373</v>
      </c>
      <c r="P17" s="39">
        <f>AVERAGE(J4:O15)</f>
        <v>0</v>
      </c>
      <c r="Q17" s="62"/>
    </row>
    <row r="18" spans="1:19" ht="36">
      <c r="A18" s="20" t="s">
        <v>374</v>
      </c>
      <c r="B18" s="21">
        <f>SUM(B4:B15)</f>
        <v>0</v>
      </c>
      <c r="C18" s="21">
        <f>SUM(C4:C15)</f>
        <v>0</v>
      </c>
      <c r="D18" s="710" t="s">
        <v>375</v>
      </c>
      <c r="E18" s="710"/>
      <c r="F18" s="710" t="s">
        <v>376</v>
      </c>
      <c r="G18" s="710"/>
      <c r="H18" s="22"/>
      <c r="I18" s="22"/>
      <c r="J18" s="40"/>
      <c r="K18" s="41"/>
      <c r="L18" s="41"/>
      <c r="M18" s="41"/>
      <c r="N18" s="41"/>
      <c r="O18" s="41"/>
      <c r="P18" s="42"/>
      <c r="Q18" s="63"/>
    </row>
    <row r="19" spans="1:19" ht="45">
      <c r="A19" s="23" t="s">
        <v>377</v>
      </c>
      <c r="B19" s="24">
        <f>'Consolidated Financial Spread'!C6</f>
        <v>0</v>
      </c>
      <c r="C19" s="24"/>
      <c r="D19" s="711" t="str">
        <f>IFERROR(IF(G1="absolute",C18/'Consolidated Financial Spread'!C6,IF(G1="Lacs",C18*10^5/'Consolidated Financial Spread'!C6,"")),"")</f>
        <v/>
      </c>
      <c r="E19" s="711"/>
      <c r="F19" s="711" t="str">
        <f>IFERROR(IF(G1="absolute",SUM(C4:C9)*2/'Consolidated Financial Spread'!C6,IF(G1="Lacs",SUM(C4:C9)*2*10^5/'Consolidated Financial Spread'!C6,"")),"")</f>
        <v/>
      </c>
      <c r="G19" s="711"/>
      <c r="H19" s="22" t="s">
        <v>378</v>
      </c>
      <c r="I19" s="43" t="str">
        <f ca="1">IFERROR(F16/D16,"")</f>
        <v/>
      </c>
      <c r="J19" s="22" t="s">
        <v>379</v>
      </c>
      <c r="K19" s="22" t="str">
        <f ca="1">IFERROR(G16/E16,"")</f>
        <v/>
      </c>
      <c r="L19" s="22"/>
      <c r="M19" s="44"/>
      <c r="N19" s="44"/>
      <c r="O19" s="45"/>
      <c r="P19" s="42"/>
      <c r="Q19" s="63"/>
    </row>
    <row r="20" spans="1:19" ht="45">
      <c r="A20" s="697" t="s">
        <v>380</v>
      </c>
      <c r="B20" s="698"/>
      <c r="C20" s="699"/>
      <c r="D20" s="700" t="str">
        <f>IFERROR(IF(G1="absolute",C18/'GST '!O10,IF(G1="Lacs",C18*10^5/'GST '!O10,"")),"")</f>
        <v/>
      </c>
      <c r="E20" s="700"/>
      <c r="F20" s="700" t="str">
        <f>IFERROR(IF(G1="absolute",SUM(C4:C9)*2/'GST '!O10,IF(G1="Lacs",SUM(C4:C9)*2*10^5/'GST '!O10,"")),"")</f>
        <v/>
      </c>
      <c r="G20" s="700"/>
      <c r="H20" s="22" t="s">
        <v>381</v>
      </c>
      <c r="I20" s="46">
        <f>IFERROR(IF('Policy Parameters'!B2="ABB Scheme",S10,AVERAGE(J4:O15)),"")</f>
        <v>0</v>
      </c>
      <c r="J20" s="22" t="s">
        <v>382</v>
      </c>
      <c r="K20" s="46">
        <f>IFERROR(IF('Policy Parameters'!B2="ABB Scheme",S4,AVERAGE(J4:O9)),"")</f>
        <v>0</v>
      </c>
      <c r="L20" s="22"/>
      <c r="M20" s="45"/>
      <c r="N20" s="44"/>
      <c r="O20" s="45"/>
      <c r="P20" s="42"/>
      <c r="Q20" s="63"/>
    </row>
    <row r="21" spans="1:19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64"/>
    </row>
    <row r="22" spans="1:19">
      <c r="A22" s="681" t="s">
        <v>383</v>
      </c>
      <c r="B22" s="682"/>
      <c r="C22" s="683"/>
      <c r="D22" s="696"/>
      <c r="E22" s="684"/>
      <c r="F22" s="684"/>
      <c r="G22" s="684"/>
      <c r="H22" s="684"/>
      <c r="I22" s="684"/>
      <c r="J22" s="684"/>
      <c r="K22" s="684"/>
      <c r="L22" s="684"/>
      <c r="M22" s="684"/>
      <c r="N22" s="684"/>
      <c r="O22" s="685"/>
    </row>
    <row r="23" spans="1:19">
      <c r="A23" s="686" t="s">
        <v>384</v>
      </c>
      <c r="B23" s="687"/>
      <c r="C23" s="688"/>
      <c r="D23" s="689"/>
      <c r="E23" s="689"/>
      <c r="F23" s="689"/>
      <c r="G23" s="689"/>
      <c r="H23" s="689"/>
      <c r="I23" s="689"/>
      <c r="J23" s="689"/>
      <c r="K23" s="689"/>
      <c r="L23" s="689"/>
      <c r="M23" s="689"/>
      <c r="N23" s="689"/>
      <c r="O23" s="690"/>
    </row>
    <row r="24" spans="1:19">
      <c r="A24" s="660" t="s">
        <v>385</v>
      </c>
      <c r="B24" s="661"/>
      <c r="C24" s="665"/>
      <c r="D24" s="666"/>
      <c r="E24" s="666"/>
      <c r="F24" s="666"/>
      <c r="G24" s="668"/>
      <c r="H24" s="664" t="s">
        <v>386</v>
      </c>
      <c r="I24" s="661"/>
      <c r="J24" s="691"/>
      <c r="K24" s="692"/>
      <c r="L24" s="692"/>
      <c r="M24" s="692"/>
      <c r="N24" s="692"/>
      <c r="O24" s="693"/>
    </row>
    <row r="25" spans="1:19">
      <c r="A25" s="660" t="s">
        <v>387</v>
      </c>
      <c r="B25" s="661"/>
      <c r="C25" s="662"/>
      <c r="D25" s="662"/>
      <c r="E25" s="662"/>
      <c r="F25" s="662"/>
      <c r="G25" s="663"/>
      <c r="H25" s="664" t="s">
        <v>388</v>
      </c>
      <c r="I25" s="661"/>
      <c r="J25" s="694" t="s">
        <v>389</v>
      </c>
      <c r="K25" s="694"/>
      <c r="L25" s="694"/>
      <c r="M25" s="694"/>
      <c r="N25" s="694"/>
      <c r="O25" s="695"/>
    </row>
    <row r="26" spans="1:19">
      <c r="A26" s="660" t="s">
        <v>390</v>
      </c>
      <c r="B26" s="661"/>
      <c r="C26" s="666"/>
      <c r="D26" s="666"/>
      <c r="E26" s="666"/>
      <c r="F26" s="666"/>
      <c r="G26" s="668"/>
      <c r="H26" s="664" t="str">
        <f>IF(J25="Overdraft","Limit",IF(J25="Cash Credit","Limit",""))</f>
        <v/>
      </c>
      <c r="I26" s="661"/>
      <c r="J26" s="669"/>
      <c r="K26" s="669"/>
      <c r="L26" s="669"/>
      <c r="M26" s="669"/>
      <c r="N26" s="669"/>
      <c r="O26" s="670"/>
    </row>
    <row r="27" spans="1:19" ht="29.25" customHeight="1">
      <c r="A27" s="671" t="s">
        <v>391</v>
      </c>
      <c r="B27" s="672"/>
      <c r="C27" s="673"/>
      <c r="D27" s="674"/>
      <c r="E27" s="674"/>
      <c r="F27" s="674"/>
      <c r="G27" s="675"/>
      <c r="H27" s="676" t="str">
        <f>IF(AND('Policy Parameters'!$B$2="Abb Scheme",J25="Current Account"),"Considered for ABB Eligibility","")</f>
        <v/>
      </c>
      <c r="I27" s="677"/>
      <c r="J27" s="665" t="s">
        <v>26</v>
      </c>
      <c r="K27" s="666"/>
      <c r="L27" s="666"/>
      <c r="M27" s="666"/>
      <c r="N27" s="666"/>
      <c r="O27" s="667"/>
    </row>
    <row r="28" spans="1:19" ht="24.75" customHeight="1">
      <c r="A28" s="26" t="s">
        <v>355</v>
      </c>
      <c r="B28" s="657" t="s">
        <v>356</v>
      </c>
      <c r="C28" s="658"/>
      <c r="D28" s="657" t="s">
        <v>357</v>
      </c>
      <c r="E28" s="658"/>
      <c r="F28" s="649" t="s">
        <v>358</v>
      </c>
      <c r="G28" s="649" t="s">
        <v>359</v>
      </c>
      <c r="H28" s="649" t="s">
        <v>360</v>
      </c>
      <c r="I28" s="649" t="s">
        <v>361</v>
      </c>
      <c r="J28" s="657" t="s">
        <v>392</v>
      </c>
      <c r="K28" s="659"/>
      <c r="L28" s="659"/>
      <c r="M28" s="659"/>
      <c r="N28" s="659"/>
      <c r="O28" s="658"/>
      <c r="P28" s="653" t="s">
        <v>393</v>
      </c>
      <c r="Q28" s="648"/>
    </row>
    <row r="29" spans="1:19" ht="36.75" customHeight="1">
      <c r="A29" s="26" t="s">
        <v>363</v>
      </c>
      <c r="B29" s="27" t="s">
        <v>364</v>
      </c>
      <c r="C29" s="27" t="s">
        <v>365</v>
      </c>
      <c r="D29" s="27" t="s">
        <v>364</v>
      </c>
      <c r="E29" s="27" t="s">
        <v>365</v>
      </c>
      <c r="F29" s="650"/>
      <c r="G29" s="650"/>
      <c r="H29" s="650"/>
      <c r="I29" s="650"/>
      <c r="J29" s="27" t="s">
        <v>366</v>
      </c>
      <c r="K29" s="27" t="s">
        <v>367</v>
      </c>
      <c r="L29" s="27" t="s">
        <v>368</v>
      </c>
      <c r="M29" s="27" t="s">
        <v>369</v>
      </c>
      <c r="N29" s="27" t="s">
        <v>370</v>
      </c>
      <c r="O29" s="27" t="s">
        <v>371</v>
      </c>
      <c r="P29" s="654"/>
      <c r="Q29" s="648"/>
      <c r="S29" s="59" t="s">
        <v>372</v>
      </c>
    </row>
    <row r="30" spans="1:19">
      <c r="A30" s="28">
        <v>44531</v>
      </c>
      <c r="B30" s="29"/>
      <c r="C30" s="29"/>
      <c r="D30" s="30">
        <f t="shared" ref="D30:D41" ca="1" si="30">IFERROR(LEN(_xlfn.FORMULATEXT(B30))-LEN(SUBSTITUTE(_xlfn.FORMULATEXT(B30),"+",""))+1,0)</f>
        <v>0</v>
      </c>
      <c r="E30" s="30">
        <f t="shared" ref="E30:E41" ca="1" si="31">IFERROR(LEN(_xlfn.FORMULATEXT(C30))-LEN(SUBSTITUTE(_xlfn.FORMULATEXT(C30),"+",""))+1,0)</f>
        <v>0</v>
      </c>
      <c r="F30" s="31"/>
      <c r="G30" s="31"/>
      <c r="H30" s="31"/>
      <c r="I30" s="47"/>
      <c r="J30" s="48"/>
      <c r="K30" s="49"/>
      <c r="L30" s="48"/>
      <c r="M30" s="48"/>
      <c r="N30" s="48"/>
      <c r="O30" s="48"/>
      <c r="P30" s="50" t="str">
        <f>IFERROR(SUM(J30:O30)/COUNT(J30:O30),"")</f>
        <v/>
      </c>
      <c r="Q30" s="65"/>
      <c r="R30">
        <f>IF(AND(C30&lt;&gt;0,J27="yes"),1,0)</f>
        <v>0</v>
      </c>
      <c r="S30" s="647">
        <f>IFERROR(IF(J27="Yes",AVERAGE(J30:O35),0),0)</f>
        <v>0</v>
      </c>
    </row>
    <row r="31" spans="1:19">
      <c r="A31" s="32">
        <f>EDATE(A30,-1)</f>
        <v>44501</v>
      </c>
      <c r="B31" s="29"/>
      <c r="C31" s="29"/>
      <c r="D31" s="30">
        <f t="shared" ca="1" si="30"/>
        <v>0</v>
      </c>
      <c r="E31" s="30">
        <f t="shared" ca="1" si="31"/>
        <v>0</v>
      </c>
      <c r="F31" s="31"/>
      <c r="G31" s="31"/>
      <c r="H31" s="31"/>
      <c r="I31" s="47"/>
      <c r="J31" s="48"/>
      <c r="K31" s="48"/>
      <c r="L31" s="48"/>
      <c r="M31" s="48"/>
      <c r="N31" s="48"/>
      <c r="O31" s="48"/>
      <c r="P31" s="50" t="str">
        <f t="shared" ref="P31:P41" si="32">IFERROR(SUM(J31:O31)/COUNT(J31:O31),"")</f>
        <v/>
      </c>
      <c r="Q31" s="65"/>
      <c r="S31" s="647"/>
    </row>
    <row r="32" spans="1:19">
      <c r="A32" s="32">
        <f t="shared" ref="A32:A41" si="33">EDATE(A31,-1)</f>
        <v>44470</v>
      </c>
      <c r="B32" s="29"/>
      <c r="C32" s="29"/>
      <c r="D32" s="30">
        <f t="shared" ca="1" si="30"/>
        <v>0</v>
      </c>
      <c r="E32" s="30">
        <f t="shared" ca="1" si="31"/>
        <v>0</v>
      </c>
      <c r="F32" s="31"/>
      <c r="G32" s="31"/>
      <c r="H32" s="31"/>
      <c r="I32" s="47"/>
      <c r="J32" s="48"/>
      <c r="K32" s="48"/>
      <c r="L32" s="48"/>
      <c r="M32" s="48"/>
      <c r="N32" s="48"/>
      <c r="O32" s="48"/>
      <c r="P32" s="50" t="str">
        <f t="shared" si="32"/>
        <v/>
      </c>
      <c r="Q32" s="65"/>
      <c r="S32" s="647"/>
    </row>
    <row r="33" spans="1:19">
      <c r="A33" s="32">
        <f t="shared" si="33"/>
        <v>44440</v>
      </c>
      <c r="B33" s="29"/>
      <c r="C33" s="29"/>
      <c r="D33" s="30">
        <f t="shared" ca="1" si="30"/>
        <v>0</v>
      </c>
      <c r="E33" s="30">
        <f t="shared" ca="1" si="31"/>
        <v>0</v>
      </c>
      <c r="F33" s="31"/>
      <c r="G33" s="31"/>
      <c r="H33" s="31"/>
      <c r="I33" s="47"/>
      <c r="J33" s="48"/>
      <c r="K33" s="48"/>
      <c r="L33" s="48"/>
      <c r="M33" s="48"/>
      <c r="N33" s="48"/>
      <c r="O33" s="48"/>
      <c r="P33" s="50" t="str">
        <f t="shared" si="32"/>
        <v/>
      </c>
      <c r="Q33" s="65"/>
      <c r="S33" s="647"/>
    </row>
    <row r="34" spans="1:19">
      <c r="A34" s="32">
        <f t="shared" si="33"/>
        <v>44409</v>
      </c>
      <c r="B34" s="29"/>
      <c r="C34" s="29"/>
      <c r="D34" s="30">
        <f t="shared" ca="1" si="30"/>
        <v>0</v>
      </c>
      <c r="E34" s="30">
        <f t="shared" ca="1" si="31"/>
        <v>0</v>
      </c>
      <c r="F34" s="31"/>
      <c r="G34" s="31"/>
      <c r="H34" s="31"/>
      <c r="I34" s="47"/>
      <c r="J34" s="48"/>
      <c r="K34" s="48"/>
      <c r="L34" s="48"/>
      <c r="M34" s="48"/>
      <c r="N34" s="48"/>
      <c r="O34" s="48"/>
      <c r="P34" s="50" t="str">
        <f t="shared" si="32"/>
        <v/>
      </c>
      <c r="Q34" s="65"/>
      <c r="S34" s="647"/>
    </row>
    <row r="35" spans="1:19">
      <c r="A35" s="32">
        <f t="shared" si="33"/>
        <v>44378</v>
      </c>
      <c r="B35" s="29"/>
      <c r="C35" s="29"/>
      <c r="D35" s="30">
        <f t="shared" ca="1" si="30"/>
        <v>0</v>
      </c>
      <c r="E35" s="30">
        <f t="shared" ca="1" si="31"/>
        <v>0</v>
      </c>
      <c r="F35" s="31"/>
      <c r="G35" s="31"/>
      <c r="H35" s="31"/>
      <c r="I35" s="47"/>
      <c r="J35" s="48"/>
      <c r="K35" s="48"/>
      <c r="L35" s="48"/>
      <c r="M35" s="48"/>
      <c r="N35" s="48"/>
      <c r="O35" s="48"/>
      <c r="P35" s="50" t="str">
        <f t="shared" si="32"/>
        <v/>
      </c>
      <c r="Q35" s="65"/>
      <c r="S35" s="647"/>
    </row>
    <row r="36" spans="1:19">
      <c r="A36" s="32">
        <f t="shared" si="33"/>
        <v>44348</v>
      </c>
      <c r="B36" s="29"/>
      <c r="C36" s="29"/>
      <c r="D36" s="30">
        <f t="shared" ca="1" si="30"/>
        <v>0</v>
      </c>
      <c r="E36" s="30">
        <f t="shared" ca="1" si="31"/>
        <v>0</v>
      </c>
      <c r="F36" s="31"/>
      <c r="G36" s="31"/>
      <c r="H36" s="31"/>
      <c r="I36" s="47"/>
      <c r="J36" s="48"/>
      <c r="K36" s="48"/>
      <c r="L36" s="48"/>
      <c r="M36" s="48"/>
      <c r="N36" s="48"/>
      <c r="O36" s="48"/>
      <c r="P36" s="50" t="str">
        <f t="shared" si="32"/>
        <v/>
      </c>
      <c r="Q36" s="65"/>
      <c r="S36" s="647">
        <f>IFERROR(IF(J27="Yes",AVERAGE(J30:O41),0),0)</f>
        <v>0</v>
      </c>
    </row>
    <row r="37" spans="1:19">
      <c r="A37" s="32">
        <f t="shared" si="33"/>
        <v>44317</v>
      </c>
      <c r="B37" s="29"/>
      <c r="C37" s="29"/>
      <c r="D37" s="30">
        <f t="shared" ca="1" si="30"/>
        <v>0</v>
      </c>
      <c r="E37" s="30">
        <f t="shared" ca="1" si="31"/>
        <v>0</v>
      </c>
      <c r="F37" s="31"/>
      <c r="G37" s="31"/>
      <c r="H37" s="31"/>
      <c r="I37" s="47"/>
      <c r="J37" s="48"/>
      <c r="K37" s="48"/>
      <c r="L37" s="48"/>
      <c r="M37" s="48"/>
      <c r="N37" s="48"/>
      <c r="O37" s="48"/>
      <c r="P37" s="50" t="str">
        <f t="shared" si="32"/>
        <v/>
      </c>
      <c r="Q37" s="65"/>
      <c r="S37" s="647"/>
    </row>
    <row r="38" spans="1:19">
      <c r="A38" s="32">
        <f t="shared" si="33"/>
        <v>44287</v>
      </c>
      <c r="B38" s="29"/>
      <c r="C38" s="29"/>
      <c r="D38" s="30">
        <f t="shared" ca="1" si="30"/>
        <v>0</v>
      </c>
      <c r="E38" s="30">
        <f t="shared" ca="1" si="31"/>
        <v>0</v>
      </c>
      <c r="F38" s="31"/>
      <c r="G38" s="31"/>
      <c r="H38" s="31"/>
      <c r="I38" s="47"/>
      <c r="J38" s="48"/>
      <c r="K38" s="48"/>
      <c r="L38" s="48"/>
      <c r="M38" s="48"/>
      <c r="N38" s="48"/>
      <c r="O38" s="48"/>
      <c r="P38" s="50" t="str">
        <f t="shared" si="32"/>
        <v/>
      </c>
      <c r="Q38" s="65"/>
      <c r="S38" s="647"/>
    </row>
    <row r="39" spans="1:19">
      <c r="A39" s="32">
        <f t="shared" si="33"/>
        <v>44256</v>
      </c>
      <c r="B39" s="29"/>
      <c r="C39" s="29"/>
      <c r="D39" s="30">
        <f t="shared" ca="1" si="30"/>
        <v>0</v>
      </c>
      <c r="E39" s="30">
        <f t="shared" ca="1" si="31"/>
        <v>0</v>
      </c>
      <c r="F39" s="31"/>
      <c r="G39" s="31"/>
      <c r="H39" s="31"/>
      <c r="I39" s="47"/>
      <c r="J39" s="48"/>
      <c r="K39" s="48"/>
      <c r="L39" s="48"/>
      <c r="M39" s="48"/>
      <c r="N39" s="48"/>
      <c r="O39" s="48"/>
      <c r="P39" s="50" t="str">
        <f t="shared" si="32"/>
        <v/>
      </c>
      <c r="Q39" s="65"/>
      <c r="S39" s="647"/>
    </row>
    <row r="40" spans="1:19">
      <c r="A40" s="32">
        <f t="shared" si="33"/>
        <v>44228</v>
      </c>
      <c r="B40" s="29"/>
      <c r="C40" s="29"/>
      <c r="D40" s="30">
        <f t="shared" ca="1" si="30"/>
        <v>0</v>
      </c>
      <c r="E40" s="30">
        <f t="shared" ca="1" si="31"/>
        <v>0</v>
      </c>
      <c r="F40" s="31"/>
      <c r="G40" s="31"/>
      <c r="H40" s="31"/>
      <c r="I40" s="47"/>
      <c r="J40" s="48"/>
      <c r="K40" s="48"/>
      <c r="L40" s="48"/>
      <c r="M40" s="48"/>
      <c r="N40" s="48"/>
      <c r="O40" s="48"/>
      <c r="P40" s="50" t="str">
        <f t="shared" si="32"/>
        <v/>
      </c>
      <c r="Q40" s="65"/>
      <c r="S40" s="647"/>
    </row>
    <row r="41" spans="1:19">
      <c r="A41" s="32">
        <f t="shared" si="33"/>
        <v>44197</v>
      </c>
      <c r="B41" s="29"/>
      <c r="C41" s="29"/>
      <c r="D41" s="30">
        <f t="shared" ca="1" si="30"/>
        <v>0</v>
      </c>
      <c r="E41" s="30">
        <f t="shared" ca="1" si="31"/>
        <v>0</v>
      </c>
      <c r="F41" s="31"/>
      <c r="G41" s="31"/>
      <c r="H41" s="31"/>
      <c r="I41" s="47"/>
      <c r="J41" s="48"/>
      <c r="K41" s="48"/>
      <c r="L41" s="48"/>
      <c r="M41" s="48"/>
      <c r="N41" s="48"/>
      <c r="O41" s="48"/>
      <c r="P41" s="50" t="str">
        <f t="shared" si="32"/>
        <v/>
      </c>
      <c r="Q41" s="65"/>
      <c r="S41" s="647"/>
    </row>
    <row r="42" spans="1:19">
      <c r="A42" s="26" t="s">
        <v>194</v>
      </c>
      <c r="B42" s="33">
        <f t="shared" ref="B42:H42" si="34">SUM(B30:B41)</f>
        <v>0</v>
      </c>
      <c r="C42" s="33">
        <f t="shared" si="34"/>
        <v>0</v>
      </c>
      <c r="D42" s="33">
        <f t="shared" ca="1" si="34"/>
        <v>0</v>
      </c>
      <c r="E42" s="33">
        <f t="shared" ca="1" si="34"/>
        <v>0</v>
      </c>
      <c r="F42" s="33">
        <f t="shared" si="34"/>
        <v>0</v>
      </c>
      <c r="G42" s="33">
        <f t="shared" si="34"/>
        <v>0</v>
      </c>
      <c r="H42" s="33">
        <f t="shared" si="34"/>
        <v>0</v>
      </c>
      <c r="I42" s="33"/>
      <c r="J42" s="33" t="str">
        <f>IFERROR(AVERAGE(J30:J41),"")</f>
        <v/>
      </c>
      <c r="K42" s="33" t="str">
        <f t="shared" ref="K42:P42" si="35">IFERROR(AVERAGE(K30:K41),"")</f>
        <v/>
      </c>
      <c r="L42" s="33" t="str">
        <f t="shared" si="35"/>
        <v/>
      </c>
      <c r="M42" s="33" t="str">
        <f t="shared" si="35"/>
        <v/>
      </c>
      <c r="N42" s="33" t="str">
        <f t="shared" si="35"/>
        <v/>
      </c>
      <c r="O42" s="33" t="str">
        <f t="shared" si="35"/>
        <v/>
      </c>
      <c r="P42" s="51" t="str">
        <f t="shared" si="35"/>
        <v/>
      </c>
      <c r="Q42" s="66"/>
    </row>
    <row r="43" spans="1:19">
      <c r="A43" s="26" t="s">
        <v>373</v>
      </c>
      <c r="B43" s="33" t="str">
        <f t="shared" ref="B43:H43" si="36">IFERROR(+AVERAGE(B30:B41),"")</f>
        <v/>
      </c>
      <c r="C43" s="33" t="str">
        <f t="shared" si="36"/>
        <v/>
      </c>
      <c r="D43" s="33">
        <f t="shared" ref="D43:E43" ca="1" si="37">+AVERAGE(D30:D41)</f>
        <v>0</v>
      </c>
      <c r="E43" s="33">
        <f t="shared" ca="1" si="37"/>
        <v>0</v>
      </c>
      <c r="F43" s="33" t="str">
        <f t="shared" si="36"/>
        <v/>
      </c>
      <c r="G43" s="33" t="str">
        <f t="shared" si="36"/>
        <v/>
      </c>
      <c r="H43" s="33" t="str">
        <f t="shared" si="36"/>
        <v/>
      </c>
      <c r="I43" s="52"/>
      <c r="J43" s="52"/>
      <c r="K43" s="53"/>
      <c r="L43" s="53"/>
      <c r="M43" s="54"/>
      <c r="N43" s="53"/>
      <c r="O43" s="55"/>
      <c r="P43" s="56" t="str">
        <f>IFERROR(AVERAGE(J30:O41),"")</f>
        <v/>
      </c>
      <c r="Q43" s="67"/>
    </row>
    <row r="45" spans="1:19">
      <c r="A45" s="681" t="s">
        <v>394</v>
      </c>
      <c r="B45" s="682"/>
      <c r="C45" s="683"/>
      <c r="D45" s="696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</row>
    <row r="46" spans="1:19">
      <c r="A46" s="686" t="s">
        <v>384</v>
      </c>
      <c r="B46" s="687"/>
      <c r="C46" s="688"/>
      <c r="D46" s="689"/>
      <c r="E46" s="689"/>
      <c r="F46" s="689"/>
      <c r="G46" s="689"/>
      <c r="H46" s="689"/>
      <c r="I46" s="689"/>
      <c r="J46" s="689"/>
      <c r="K46" s="689"/>
      <c r="L46" s="689"/>
      <c r="M46" s="689"/>
      <c r="N46" s="689"/>
      <c r="O46" s="690"/>
    </row>
    <row r="47" spans="1:19">
      <c r="A47" s="660" t="s">
        <v>385</v>
      </c>
      <c r="B47" s="661"/>
      <c r="C47" s="665"/>
      <c r="D47" s="666"/>
      <c r="E47" s="666"/>
      <c r="F47" s="666"/>
      <c r="G47" s="668"/>
      <c r="H47" s="664" t="s">
        <v>386</v>
      </c>
      <c r="I47" s="661"/>
      <c r="J47" s="691"/>
      <c r="K47" s="692"/>
      <c r="L47" s="692"/>
      <c r="M47" s="692"/>
      <c r="N47" s="692"/>
      <c r="O47" s="693"/>
    </row>
    <row r="48" spans="1:19" ht="15" customHeight="1">
      <c r="A48" s="660" t="s">
        <v>387</v>
      </c>
      <c r="B48" s="661"/>
      <c r="C48" s="662"/>
      <c r="D48" s="662"/>
      <c r="E48" s="662"/>
      <c r="F48" s="662"/>
      <c r="G48" s="663"/>
      <c r="H48" s="664" t="s">
        <v>388</v>
      </c>
      <c r="I48" s="661"/>
      <c r="J48" s="694" t="s">
        <v>389</v>
      </c>
      <c r="K48" s="694"/>
      <c r="L48" s="694"/>
      <c r="M48" s="694"/>
      <c r="N48" s="694"/>
      <c r="O48" s="695"/>
    </row>
    <row r="49" spans="1:19">
      <c r="A49" s="660" t="s">
        <v>390</v>
      </c>
      <c r="B49" s="661"/>
      <c r="C49" s="666"/>
      <c r="D49" s="666"/>
      <c r="E49" s="666"/>
      <c r="F49" s="666"/>
      <c r="G49" s="668"/>
      <c r="H49" s="664" t="str">
        <f>IF(J48="Overdraft","Limit",IF(J48="Cash Credit","Limit",""))</f>
        <v/>
      </c>
      <c r="I49" s="661"/>
      <c r="J49" s="669"/>
      <c r="K49" s="669"/>
      <c r="L49" s="669"/>
      <c r="M49" s="669"/>
      <c r="N49" s="669"/>
      <c r="O49" s="670"/>
    </row>
    <row r="50" spans="1:19" ht="32.25" customHeight="1">
      <c r="A50" s="671" t="s">
        <v>391</v>
      </c>
      <c r="B50" s="672"/>
      <c r="C50" s="673"/>
      <c r="D50" s="674"/>
      <c r="E50" s="674"/>
      <c r="F50" s="674"/>
      <c r="G50" s="675"/>
      <c r="H50" s="676" t="str">
        <f>IF(AND('Policy Parameters'!$B$2="Abb Scheme",J48="Current Account"),"Considered for ABB Eligibility","")</f>
        <v/>
      </c>
      <c r="I50" s="677"/>
      <c r="J50" s="665" t="s">
        <v>26</v>
      </c>
      <c r="K50" s="666"/>
      <c r="L50" s="666"/>
      <c r="M50" s="666"/>
      <c r="N50" s="666"/>
      <c r="O50" s="667"/>
    </row>
    <row r="51" spans="1:19" ht="15" customHeight="1">
      <c r="A51" s="26" t="s">
        <v>355</v>
      </c>
      <c r="B51" s="657" t="s">
        <v>356</v>
      </c>
      <c r="C51" s="658"/>
      <c r="D51" s="657" t="s">
        <v>357</v>
      </c>
      <c r="E51" s="658"/>
      <c r="F51" s="649" t="s">
        <v>358</v>
      </c>
      <c r="G51" s="649" t="s">
        <v>359</v>
      </c>
      <c r="H51" s="649" t="s">
        <v>360</v>
      </c>
      <c r="I51" s="649" t="s">
        <v>361</v>
      </c>
      <c r="J51" s="657" t="s">
        <v>392</v>
      </c>
      <c r="K51" s="659"/>
      <c r="L51" s="659"/>
      <c r="M51" s="659"/>
      <c r="N51" s="659"/>
      <c r="O51" s="658"/>
      <c r="P51" s="653" t="s">
        <v>393</v>
      </c>
      <c r="Q51" s="648"/>
    </row>
    <row r="52" spans="1:19" ht="49.5" customHeight="1">
      <c r="A52" s="26" t="s">
        <v>363</v>
      </c>
      <c r="B52" s="27" t="s">
        <v>364</v>
      </c>
      <c r="C52" s="27" t="s">
        <v>365</v>
      </c>
      <c r="D52" s="27" t="s">
        <v>364</v>
      </c>
      <c r="E52" s="27" t="s">
        <v>365</v>
      </c>
      <c r="F52" s="650"/>
      <c r="G52" s="650"/>
      <c r="H52" s="650"/>
      <c r="I52" s="650"/>
      <c r="J52" s="27" t="s">
        <v>366</v>
      </c>
      <c r="K52" s="27" t="s">
        <v>367</v>
      </c>
      <c r="L52" s="27" t="s">
        <v>368</v>
      </c>
      <c r="M52" s="27" t="s">
        <v>369</v>
      </c>
      <c r="N52" s="27" t="s">
        <v>370</v>
      </c>
      <c r="O52" s="27" t="s">
        <v>371</v>
      </c>
      <c r="P52" s="654"/>
      <c r="Q52" s="648"/>
      <c r="S52" s="59" t="s">
        <v>372</v>
      </c>
    </row>
    <row r="53" spans="1:19">
      <c r="A53" s="32">
        <f>$A$30</f>
        <v>44531</v>
      </c>
      <c r="B53" s="29"/>
      <c r="C53" s="29"/>
      <c r="D53" s="30">
        <f t="shared" ref="D53:D64" ca="1" si="38">IFERROR(LEN(_xlfn.FORMULATEXT(B53))-LEN(SUBSTITUTE(_xlfn.FORMULATEXT(B53),"+",""))+1,0)</f>
        <v>0</v>
      </c>
      <c r="E53" s="30">
        <f t="shared" ref="E53:E64" ca="1" si="39">IFERROR(LEN(_xlfn.FORMULATEXT(C53))-LEN(SUBSTITUTE(_xlfn.FORMULATEXT(C53),"+",""))+1,0)</f>
        <v>0</v>
      </c>
      <c r="F53" s="31"/>
      <c r="G53" s="31"/>
      <c r="H53" s="31"/>
      <c r="I53" s="47"/>
      <c r="J53" s="48"/>
      <c r="K53" s="49"/>
      <c r="L53" s="48"/>
      <c r="M53" s="48"/>
      <c r="N53" s="48"/>
      <c r="O53" s="48"/>
      <c r="P53" s="50" t="str">
        <f>IFERROR(SUM(J53:O53)/COUNT(J53:O53),"")</f>
        <v/>
      </c>
      <c r="Q53" s="65"/>
      <c r="R53">
        <f>IF(AND(C53&lt;&gt;0,J50="yes"),1,0)</f>
        <v>0</v>
      </c>
      <c r="S53" s="647">
        <f>IFERROR(IF(J50="Yes",AVERAGE(J53:O58),0),0)</f>
        <v>0</v>
      </c>
    </row>
    <row r="54" spans="1:19">
      <c r="A54" s="32">
        <f>EDATE(A53,-1)</f>
        <v>44501</v>
      </c>
      <c r="B54" s="29"/>
      <c r="C54" s="29"/>
      <c r="D54" s="30">
        <f t="shared" ca="1" si="38"/>
        <v>0</v>
      </c>
      <c r="E54" s="30">
        <f t="shared" ca="1" si="39"/>
        <v>0</v>
      </c>
      <c r="F54" s="31"/>
      <c r="G54" s="31"/>
      <c r="H54" s="31"/>
      <c r="I54" s="47"/>
      <c r="J54" s="48"/>
      <c r="K54" s="48"/>
      <c r="L54" s="48"/>
      <c r="M54" s="48"/>
      <c r="N54" s="48"/>
      <c r="O54" s="48"/>
      <c r="P54" s="50" t="str">
        <f t="shared" ref="P54:P64" si="40">IFERROR(SUM(J54:O54)/COUNT(J54:O54),"")</f>
        <v/>
      </c>
      <c r="Q54" s="65"/>
      <c r="S54" s="647"/>
    </row>
    <row r="55" spans="1:19">
      <c r="A55" s="32">
        <f t="shared" ref="A55:A64" si="41">EDATE(A54,-1)</f>
        <v>44470</v>
      </c>
      <c r="B55" s="29"/>
      <c r="C55" s="29"/>
      <c r="D55" s="30">
        <f t="shared" ca="1" si="38"/>
        <v>0</v>
      </c>
      <c r="E55" s="30">
        <f t="shared" ca="1" si="39"/>
        <v>0</v>
      </c>
      <c r="F55" s="31"/>
      <c r="G55" s="31"/>
      <c r="H55" s="31"/>
      <c r="I55" s="47"/>
      <c r="J55" s="48"/>
      <c r="K55" s="48"/>
      <c r="L55" s="48"/>
      <c r="M55" s="48"/>
      <c r="N55" s="48"/>
      <c r="O55" s="48"/>
      <c r="P55" s="50" t="str">
        <f t="shared" si="40"/>
        <v/>
      </c>
      <c r="Q55" s="65"/>
      <c r="S55" s="647"/>
    </row>
    <row r="56" spans="1:19">
      <c r="A56" s="32">
        <f t="shared" si="41"/>
        <v>44440</v>
      </c>
      <c r="B56" s="29"/>
      <c r="C56" s="29"/>
      <c r="D56" s="30">
        <f t="shared" ca="1" si="38"/>
        <v>0</v>
      </c>
      <c r="E56" s="30">
        <f t="shared" ca="1" si="39"/>
        <v>0</v>
      </c>
      <c r="F56" s="31"/>
      <c r="G56" s="31"/>
      <c r="H56" s="31"/>
      <c r="I56" s="47"/>
      <c r="J56" s="48"/>
      <c r="K56" s="48"/>
      <c r="L56" s="48"/>
      <c r="M56" s="48"/>
      <c r="N56" s="48"/>
      <c r="O56" s="48"/>
      <c r="P56" s="50" t="str">
        <f t="shared" si="40"/>
        <v/>
      </c>
      <c r="Q56" s="65"/>
      <c r="S56" s="647"/>
    </row>
    <row r="57" spans="1:19">
      <c r="A57" s="32">
        <f t="shared" si="41"/>
        <v>44409</v>
      </c>
      <c r="B57" s="29"/>
      <c r="C57" s="29"/>
      <c r="D57" s="30">
        <f t="shared" ca="1" si="38"/>
        <v>0</v>
      </c>
      <c r="E57" s="30">
        <f t="shared" ca="1" si="39"/>
        <v>0</v>
      </c>
      <c r="F57" s="31"/>
      <c r="G57" s="31"/>
      <c r="H57" s="31"/>
      <c r="I57" s="47"/>
      <c r="J57" s="48"/>
      <c r="K57" s="48"/>
      <c r="L57" s="48"/>
      <c r="M57" s="48"/>
      <c r="N57" s="48"/>
      <c r="O57" s="48"/>
      <c r="P57" s="50" t="str">
        <f t="shared" si="40"/>
        <v/>
      </c>
      <c r="Q57" s="65"/>
      <c r="S57" s="647"/>
    </row>
    <row r="58" spans="1:19">
      <c r="A58" s="32">
        <f t="shared" si="41"/>
        <v>44378</v>
      </c>
      <c r="B58" s="29"/>
      <c r="C58" s="29"/>
      <c r="D58" s="30">
        <f t="shared" ca="1" si="38"/>
        <v>0</v>
      </c>
      <c r="E58" s="30">
        <f t="shared" ca="1" si="39"/>
        <v>0</v>
      </c>
      <c r="F58" s="31"/>
      <c r="G58" s="31"/>
      <c r="H58" s="31"/>
      <c r="I58" s="47"/>
      <c r="J58" s="48"/>
      <c r="K58" s="48"/>
      <c r="L58" s="48"/>
      <c r="M58" s="48"/>
      <c r="N58" s="48"/>
      <c r="O58" s="48"/>
      <c r="P58" s="50" t="str">
        <f t="shared" si="40"/>
        <v/>
      </c>
      <c r="Q58" s="65"/>
      <c r="S58" s="647"/>
    </row>
    <row r="59" spans="1:19">
      <c r="A59" s="32">
        <f t="shared" si="41"/>
        <v>44348</v>
      </c>
      <c r="B59" s="29"/>
      <c r="C59" s="29"/>
      <c r="D59" s="30">
        <f t="shared" ca="1" si="38"/>
        <v>0</v>
      </c>
      <c r="E59" s="30">
        <f t="shared" ca="1" si="39"/>
        <v>0</v>
      </c>
      <c r="F59" s="31"/>
      <c r="G59" s="31"/>
      <c r="H59" s="31"/>
      <c r="I59" s="47"/>
      <c r="J59" s="48"/>
      <c r="K59" s="48"/>
      <c r="L59" s="48"/>
      <c r="M59" s="48"/>
      <c r="N59" s="48"/>
      <c r="O59" s="48"/>
      <c r="P59" s="50" t="str">
        <f t="shared" si="40"/>
        <v/>
      </c>
      <c r="Q59" s="65"/>
      <c r="S59" s="647">
        <f>IFERROR(IF(J50="Yes",AVERAGE(J53:O64),0),0)</f>
        <v>0</v>
      </c>
    </row>
    <row r="60" spans="1:19">
      <c r="A60" s="32">
        <f t="shared" si="41"/>
        <v>44317</v>
      </c>
      <c r="B60" s="29"/>
      <c r="C60" s="29"/>
      <c r="D60" s="30">
        <f t="shared" ca="1" si="38"/>
        <v>0</v>
      </c>
      <c r="E60" s="30">
        <f t="shared" ca="1" si="39"/>
        <v>0</v>
      </c>
      <c r="F60" s="31"/>
      <c r="G60" s="31"/>
      <c r="H60" s="31"/>
      <c r="I60" s="47"/>
      <c r="J60" s="48"/>
      <c r="K60" s="48"/>
      <c r="L60" s="48"/>
      <c r="M60" s="48"/>
      <c r="N60" s="48"/>
      <c r="O60" s="48"/>
      <c r="P60" s="50" t="str">
        <f t="shared" si="40"/>
        <v/>
      </c>
      <c r="Q60" s="65"/>
      <c r="S60" s="647"/>
    </row>
    <row r="61" spans="1:19">
      <c r="A61" s="32">
        <f t="shared" si="41"/>
        <v>44287</v>
      </c>
      <c r="B61" s="29"/>
      <c r="C61" s="29"/>
      <c r="D61" s="30">
        <f t="shared" ca="1" si="38"/>
        <v>0</v>
      </c>
      <c r="E61" s="30">
        <f t="shared" ca="1" si="39"/>
        <v>0</v>
      </c>
      <c r="F61" s="31"/>
      <c r="G61" s="31"/>
      <c r="H61" s="31"/>
      <c r="I61" s="47"/>
      <c r="J61" s="48"/>
      <c r="K61" s="48"/>
      <c r="L61" s="48"/>
      <c r="M61" s="48"/>
      <c r="N61" s="48"/>
      <c r="O61" s="48"/>
      <c r="P61" s="50" t="str">
        <f t="shared" si="40"/>
        <v/>
      </c>
      <c r="Q61" s="65"/>
      <c r="S61" s="647"/>
    </row>
    <row r="62" spans="1:19">
      <c r="A62" s="32">
        <f t="shared" si="41"/>
        <v>44256</v>
      </c>
      <c r="B62" s="29"/>
      <c r="C62" s="29"/>
      <c r="D62" s="30">
        <f t="shared" ca="1" si="38"/>
        <v>0</v>
      </c>
      <c r="E62" s="30">
        <f t="shared" ca="1" si="39"/>
        <v>0</v>
      </c>
      <c r="F62" s="31"/>
      <c r="G62" s="31"/>
      <c r="H62" s="31"/>
      <c r="I62" s="47"/>
      <c r="J62" s="48"/>
      <c r="K62" s="48"/>
      <c r="L62" s="48"/>
      <c r="M62" s="48"/>
      <c r="N62" s="48"/>
      <c r="O62" s="48"/>
      <c r="P62" s="50" t="str">
        <f t="shared" si="40"/>
        <v/>
      </c>
      <c r="Q62" s="65"/>
      <c r="S62" s="647"/>
    </row>
    <row r="63" spans="1:19">
      <c r="A63" s="32">
        <f t="shared" si="41"/>
        <v>44228</v>
      </c>
      <c r="B63" s="29"/>
      <c r="C63" s="29"/>
      <c r="D63" s="30">
        <f t="shared" ca="1" si="38"/>
        <v>0</v>
      </c>
      <c r="E63" s="30">
        <f t="shared" ca="1" si="39"/>
        <v>0</v>
      </c>
      <c r="F63" s="31"/>
      <c r="G63" s="31"/>
      <c r="H63" s="31"/>
      <c r="I63" s="47"/>
      <c r="J63" s="48"/>
      <c r="K63" s="48"/>
      <c r="L63" s="48"/>
      <c r="M63" s="48"/>
      <c r="N63" s="48"/>
      <c r="O63" s="48"/>
      <c r="P63" s="50" t="str">
        <f t="shared" si="40"/>
        <v/>
      </c>
      <c r="Q63" s="65"/>
      <c r="S63" s="647"/>
    </row>
    <row r="64" spans="1:19">
      <c r="A64" s="32">
        <f t="shared" si="41"/>
        <v>44197</v>
      </c>
      <c r="B64" s="29"/>
      <c r="C64" s="29"/>
      <c r="D64" s="30">
        <f t="shared" ca="1" si="38"/>
        <v>0</v>
      </c>
      <c r="E64" s="30">
        <f t="shared" ca="1" si="39"/>
        <v>0</v>
      </c>
      <c r="F64" s="31"/>
      <c r="G64" s="31"/>
      <c r="H64" s="31"/>
      <c r="I64" s="47"/>
      <c r="J64" s="48"/>
      <c r="K64" s="48"/>
      <c r="L64" s="48"/>
      <c r="M64" s="48"/>
      <c r="N64" s="48"/>
      <c r="O64" s="48"/>
      <c r="P64" s="50" t="str">
        <f t="shared" si="40"/>
        <v/>
      </c>
      <c r="Q64" s="65"/>
      <c r="S64" s="647"/>
    </row>
    <row r="65" spans="1:19">
      <c r="A65" s="26" t="s">
        <v>194</v>
      </c>
      <c r="B65" s="33">
        <f t="shared" ref="B65:H65" si="42">SUM(B53:B64)</f>
        <v>0</v>
      </c>
      <c r="C65" s="33">
        <f t="shared" si="42"/>
        <v>0</v>
      </c>
      <c r="D65" s="33">
        <f t="shared" ca="1" si="42"/>
        <v>0</v>
      </c>
      <c r="E65" s="33">
        <f t="shared" ca="1" si="42"/>
        <v>0</v>
      </c>
      <c r="F65" s="33">
        <f t="shared" si="42"/>
        <v>0</v>
      </c>
      <c r="G65" s="33">
        <f t="shared" si="42"/>
        <v>0</v>
      </c>
      <c r="H65" s="33">
        <f t="shared" si="42"/>
        <v>0</v>
      </c>
      <c r="I65" s="33"/>
      <c r="J65" s="33" t="str">
        <f>IFERROR(AVERAGE(J53:J64),"")</f>
        <v/>
      </c>
      <c r="K65" s="33" t="str">
        <f t="shared" ref="K65:P65" si="43">IFERROR(AVERAGE(K53:K64),"")</f>
        <v/>
      </c>
      <c r="L65" s="33" t="str">
        <f t="shared" si="43"/>
        <v/>
      </c>
      <c r="M65" s="33" t="str">
        <f t="shared" si="43"/>
        <v/>
      </c>
      <c r="N65" s="33" t="str">
        <f t="shared" si="43"/>
        <v/>
      </c>
      <c r="O65" s="33" t="str">
        <f t="shared" si="43"/>
        <v/>
      </c>
      <c r="P65" s="51" t="str">
        <f t="shared" si="43"/>
        <v/>
      </c>
      <c r="Q65" s="66"/>
    </row>
    <row r="66" spans="1:19">
      <c r="A66" s="26" t="s">
        <v>373</v>
      </c>
      <c r="B66" s="33" t="str">
        <f t="shared" ref="B66:H66" si="44">IFERROR(+AVERAGE(B53:B64),"")</f>
        <v/>
      </c>
      <c r="C66" s="33" t="str">
        <f t="shared" si="44"/>
        <v/>
      </c>
      <c r="D66" s="33">
        <f t="shared" ref="D66:E66" ca="1" si="45">+AVERAGE(D53:D64)</f>
        <v>0</v>
      </c>
      <c r="E66" s="33">
        <f t="shared" ca="1" si="45"/>
        <v>0</v>
      </c>
      <c r="F66" s="33" t="str">
        <f t="shared" si="44"/>
        <v/>
      </c>
      <c r="G66" s="33" t="str">
        <f t="shared" si="44"/>
        <v/>
      </c>
      <c r="H66" s="33" t="str">
        <f t="shared" si="44"/>
        <v/>
      </c>
      <c r="I66" s="52"/>
      <c r="J66" s="52"/>
      <c r="K66" s="53"/>
      <c r="L66" s="53"/>
      <c r="M66" s="54"/>
      <c r="N66" s="53"/>
      <c r="O66" s="55"/>
      <c r="P66" s="56" t="str">
        <f>IFERROR(AVERAGE(J53:O64),"")</f>
        <v/>
      </c>
      <c r="Q66" s="67"/>
    </row>
    <row r="68" spans="1:19">
      <c r="A68" s="681" t="s">
        <v>395</v>
      </c>
      <c r="B68" s="682"/>
      <c r="C68" s="683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</row>
    <row r="69" spans="1:19">
      <c r="A69" s="686" t="s">
        <v>384</v>
      </c>
      <c r="B69" s="687"/>
      <c r="C69" s="688"/>
      <c r="D69" s="689"/>
      <c r="E69" s="689"/>
      <c r="F69" s="689"/>
      <c r="G69" s="689"/>
      <c r="H69" s="689"/>
      <c r="I69" s="689"/>
      <c r="J69" s="689"/>
      <c r="K69" s="689"/>
      <c r="L69" s="689"/>
      <c r="M69" s="689"/>
      <c r="N69" s="689"/>
      <c r="O69" s="690"/>
    </row>
    <row r="70" spans="1:19">
      <c r="A70" s="660" t="s">
        <v>385</v>
      </c>
      <c r="B70" s="661"/>
      <c r="C70" s="665"/>
      <c r="D70" s="666"/>
      <c r="E70" s="666"/>
      <c r="F70" s="666"/>
      <c r="G70" s="668"/>
      <c r="H70" s="664" t="s">
        <v>386</v>
      </c>
      <c r="I70" s="661"/>
      <c r="J70" s="691"/>
      <c r="K70" s="692"/>
      <c r="L70" s="692"/>
      <c r="M70" s="692"/>
      <c r="N70" s="692"/>
      <c r="O70" s="693"/>
    </row>
    <row r="71" spans="1:19" ht="15" customHeight="1">
      <c r="A71" s="660" t="s">
        <v>387</v>
      </c>
      <c r="B71" s="661"/>
      <c r="C71" s="662"/>
      <c r="D71" s="662"/>
      <c r="E71" s="662"/>
      <c r="F71" s="662"/>
      <c r="G71" s="663"/>
      <c r="H71" s="664" t="s">
        <v>388</v>
      </c>
      <c r="I71" s="661"/>
      <c r="J71" s="665"/>
      <c r="K71" s="666"/>
      <c r="L71" s="666"/>
      <c r="M71" s="666"/>
      <c r="N71" s="666"/>
      <c r="O71" s="667"/>
    </row>
    <row r="72" spans="1:19">
      <c r="A72" s="660" t="s">
        <v>390</v>
      </c>
      <c r="B72" s="661"/>
      <c r="C72" s="666"/>
      <c r="D72" s="666"/>
      <c r="E72" s="666"/>
      <c r="F72" s="666"/>
      <c r="G72" s="668"/>
      <c r="H72" s="664" t="str">
        <f>IF(J71="Overdraft","Limit",IF(J71="Cash Credit","Limit",""))</f>
        <v/>
      </c>
      <c r="I72" s="661"/>
      <c r="J72" s="669"/>
      <c r="K72" s="669"/>
      <c r="L72" s="669"/>
      <c r="M72" s="669"/>
      <c r="N72" s="669"/>
      <c r="O72" s="670"/>
    </row>
    <row r="73" spans="1:19" ht="30.75" customHeight="1">
      <c r="A73" s="671" t="s">
        <v>391</v>
      </c>
      <c r="B73" s="672"/>
      <c r="C73" s="673"/>
      <c r="D73" s="674"/>
      <c r="E73" s="674"/>
      <c r="F73" s="674"/>
      <c r="G73" s="675"/>
      <c r="H73" s="676" t="str">
        <f>IF(AND('Policy Parameters'!$B$2="Abb Scheme",J71="Current Account"),"Considered for ABB Eligibility","")</f>
        <v/>
      </c>
      <c r="I73" s="677"/>
      <c r="J73" s="665"/>
      <c r="K73" s="666"/>
      <c r="L73" s="666"/>
      <c r="M73" s="666"/>
      <c r="N73" s="666"/>
      <c r="O73" s="667"/>
    </row>
    <row r="74" spans="1:19" ht="15" customHeight="1">
      <c r="A74" s="26" t="s">
        <v>355</v>
      </c>
      <c r="B74" s="657" t="s">
        <v>356</v>
      </c>
      <c r="C74" s="658"/>
      <c r="D74" s="657" t="s">
        <v>357</v>
      </c>
      <c r="E74" s="658"/>
      <c r="F74" s="649" t="s">
        <v>358</v>
      </c>
      <c r="G74" s="649" t="s">
        <v>359</v>
      </c>
      <c r="H74" s="649" t="s">
        <v>360</v>
      </c>
      <c r="I74" s="649" t="s">
        <v>361</v>
      </c>
      <c r="J74" s="657" t="s">
        <v>392</v>
      </c>
      <c r="K74" s="659"/>
      <c r="L74" s="659"/>
      <c r="M74" s="659"/>
      <c r="N74" s="659"/>
      <c r="O74" s="658"/>
      <c r="P74" s="653" t="s">
        <v>393</v>
      </c>
      <c r="Q74" s="648" t="str">
        <f>IF(OR(J71="Overdraft",J71="cash Credit"),"Utilisation %","")</f>
        <v/>
      </c>
    </row>
    <row r="75" spans="1:19" ht="43.5" customHeight="1">
      <c r="A75" s="26" t="s">
        <v>363</v>
      </c>
      <c r="B75" s="27" t="s">
        <v>364</v>
      </c>
      <c r="C75" s="27" t="s">
        <v>365</v>
      </c>
      <c r="D75" s="27" t="s">
        <v>364</v>
      </c>
      <c r="E75" s="27" t="s">
        <v>365</v>
      </c>
      <c r="F75" s="650"/>
      <c r="G75" s="650"/>
      <c r="H75" s="650"/>
      <c r="I75" s="650"/>
      <c r="J75" s="27" t="s">
        <v>366</v>
      </c>
      <c r="K75" s="27" t="s">
        <v>367</v>
      </c>
      <c r="L75" s="27" t="s">
        <v>368</v>
      </c>
      <c r="M75" s="27" t="s">
        <v>369</v>
      </c>
      <c r="N75" s="27" t="s">
        <v>370</v>
      </c>
      <c r="O75" s="27" t="s">
        <v>371</v>
      </c>
      <c r="P75" s="654"/>
      <c r="Q75" s="648"/>
      <c r="S75" s="59" t="s">
        <v>372</v>
      </c>
    </row>
    <row r="76" spans="1:19">
      <c r="A76" s="32">
        <f>$A$30</f>
        <v>44531</v>
      </c>
      <c r="B76" s="29"/>
      <c r="C76" s="29"/>
      <c r="D76" s="30">
        <f t="shared" ref="D76:D87" ca="1" si="46">IFERROR(LEN(_xlfn.FORMULATEXT(B76))-LEN(SUBSTITUTE(_xlfn.FORMULATEXT(B76),"+",""))+1,0)</f>
        <v>0</v>
      </c>
      <c r="E76" s="30">
        <f t="shared" ref="E76:E87" ca="1" si="47">IFERROR(LEN(_xlfn.FORMULATEXT(C76))-LEN(SUBSTITUTE(_xlfn.FORMULATEXT(C76),"+",""))+1,0)</f>
        <v>0</v>
      </c>
      <c r="F76" s="31"/>
      <c r="G76" s="31"/>
      <c r="H76" s="31"/>
      <c r="I76" s="47"/>
      <c r="J76" s="48"/>
      <c r="K76" s="49"/>
      <c r="L76" s="48"/>
      <c r="M76" s="48"/>
      <c r="N76" s="48"/>
      <c r="O76" s="48"/>
      <c r="P76" s="50" t="str">
        <f>IFERROR(SUM(J76:O76)/COUNT(J76:O76),"")</f>
        <v/>
      </c>
      <c r="Q76" s="70" t="str">
        <f>IFERROR(IF($J$72&lt;&gt;"",P76/$J$72,""),"")</f>
        <v/>
      </c>
      <c r="R76">
        <f>IF(AND(C76&lt;&gt;0,J73="yes"),1,0)</f>
        <v>0</v>
      </c>
      <c r="S76" s="647">
        <f>IFERROR(IF(J73="Yes",AVERAGE(J76:O81),0),0)</f>
        <v>0</v>
      </c>
    </row>
    <row r="77" spans="1:19">
      <c r="A77" s="32">
        <f>EDATE(A76,-1)</f>
        <v>44501</v>
      </c>
      <c r="B77" s="29"/>
      <c r="C77" s="29"/>
      <c r="D77" s="30">
        <f t="shared" ca="1" si="46"/>
        <v>0</v>
      </c>
      <c r="E77" s="30">
        <f t="shared" ca="1" si="47"/>
        <v>0</v>
      </c>
      <c r="F77" s="31"/>
      <c r="G77" s="31"/>
      <c r="H77" s="31"/>
      <c r="I77" s="47"/>
      <c r="J77" s="48"/>
      <c r="K77" s="48"/>
      <c r="L77" s="48"/>
      <c r="M77" s="48"/>
      <c r="N77" s="48"/>
      <c r="O77" s="48"/>
      <c r="P77" s="50" t="str">
        <f t="shared" ref="P77:P87" si="48">IFERROR(SUM(J77:O77)/COUNT(J77:O77),"")</f>
        <v/>
      </c>
      <c r="Q77" s="70" t="str">
        <f t="shared" ref="Q77:Q88" si="49">IFERROR(IF($J$72&lt;&gt;"",P77/$J$72,""),"")</f>
        <v/>
      </c>
      <c r="S77" s="647"/>
    </row>
    <row r="78" spans="1:19">
      <c r="A78" s="32">
        <f t="shared" ref="A78:A87" si="50">EDATE(A77,-1)</f>
        <v>44470</v>
      </c>
      <c r="B78" s="29"/>
      <c r="C78" s="29"/>
      <c r="D78" s="30">
        <f t="shared" ca="1" si="46"/>
        <v>0</v>
      </c>
      <c r="E78" s="30">
        <f t="shared" ca="1" si="47"/>
        <v>0</v>
      </c>
      <c r="F78" s="31"/>
      <c r="G78" s="31"/>
      <c r="H78" s="31"/>
      <c r="I78" s="47"/>
      <c r="J78" s="48"/>
      <c r="K78" s="48"/>
      <c r="L78" s="48"/>
      <c r="M78" s="48"/>
      <c r="N78" s="48"/>
      <c r="O78" s="48"/>
      <c r="P78" s="50" t="str">
        <f t="shared" si="48"/>
        <v/>
      </c>
      <c r="Q78" s="70" t="str">
        <f t="shared" si="49"/>
        <v/>
      </c>
      <c r="S78" s="647"/>
    </row>
    <row r="79" spans="1:19">
      <c r="A79" s="32">
        <f t="shared" si="50"/>
        <v>44440</v>
      </c>
      <c r="B79" s="29"/>
      <c r="C79" s="29"/>
      <c r="D79" s="30">
        <f t="shared" ca="1" si="46"/>
        <v>0</v>
      </c>
      <c r="E79" s="30">
        <f t="shared" ca="1" si="47"/>
        <v>0</v>
      </c>
      <c r="F79" s="31"/>
      <c r="G79" s="31"/>
      <c r="H79" s="31"/>
      <c r="I79" s="47"/>
      <c r="J79" s="48"/>
      <c r="K79" s="48"/>
      <c r="L79" s="48"/>
      <c r="M79" s="48"/>
      <c r="N79" s="48"/>
      <c r="O79" s="48"/>
      <c r="P79" s="50" t="str">
        <f t="shared" si="48"/>
        <v/>
      </c>
      <c r="Q79" s="70" t="str">
        <f t="shared" si="49"/>
        <v/>
      </c>
      <c r="S79" s="647"/>
    </row>
    <row r="80" spans="1:19">
      <c r="A80" s="32">
        <f t="shared" si="50"/>
        <v>44409</v>
      </c>
      <c r="B80" s="29"/>
      <c r="C80" s="29"/>
      <c r="D80" s="30">
        <f t="shared" ca="1" si="46"/>
        <v>0</v>
      </c>
      <c r="E80" s="30">
        <f t="shared" ca="1" si="47"/>
        <v>0</v>
      </c>
      <c r="F80" s="31"/>
      <c r="G80" s="31"/>
      <c r="H80" s="31"/>
      <c r="I80" s="47"/>
      <c r="J80" s="48"/>
      <c r="K80" s="48"/>
      <c r="L80" s="48"/>
      <c r="M80" s="48"/>
      <c r="N80" s="48"/>
      <c r="O80" s="48"/>
      <c r="P80" s="50" t="str">
        <f t="shared" si="48"/>
        <v/>
      </c>
      <c r="Q80" s="70" t="str">
        <f t="shared" si="49"/>
        <v/>
      </c>
      <c r="S80" s="647"/>
    </row>
    <row r="81" spans="1:19">
      <c r="A81" s="32">
        <f t="shared" si="50"/>
        <v>44378</v>
      </c>
      <c r="B81" s="29"/>
      <c r="C81" s="29"/>
      <c r="D81" s="30">
        <f t="shared" ca="1" si="46"/>
        <v>0</v>
      </c>
      <c r="E81" s="30">
        <f t="shared" ca="1" si="47"/>
        <v>0</v>
      </c>
      <c r="F81" s="31"/>
      <c r="G81" s="31"/>
      <c r="H81" s="31"/>
      <c r="I81" s="47"/>
      <c r="J81" s="48"/>
      <c r="K81" s="48"/>
      <c r="L81" s="48"/>
      <c r="M81" s="48"/>
      <c r="N81" s="48"/>
      <c r="O81" s="48"/>
      <c r="P81" s="50" t="str">
        <f t="shared" si="48"/>
        <v/>
      </c>
      <c r="Q81" s="70" t="str">
        <f t="shared" si="49"/>
        <v/>
      </c>
      <c r="S81" s="647"/>
    </row>
    <row r="82" spans="1:19">
      <c r="A82" s="32">
        <f t="shared" si="50"/>
        <v>44348</v>
      </c>
      <c r="B82" s="29"/>
      <c r="C82" s="29"/>
      <c r="D82" s="30">
        <f t="shared" ca="1" si="46"/>
        <v>0</v>
      </c>
      <c r="E82" s="30">
        <f t="shared" ca="1" si="47"/>
        <v>0</v>
      </c>
      <c r="F82" s="31"/>
      <c r="G82" s="31"/>
      <c r="H82" s="31"/>
      <c r="I82" s="47"/>
      <c r="J82" s="48"/>
      <c r="K82" s="48"/>
      <c r="L82" s="48"/>
      <c r="M82" s="48"/>
      <c r="N82" s="48"/>
      <c r="O82" s="48"/>
      <c r="P82" s="50" t="str">
        <f t="shared" si="48"/>
        <v/>
      </c>
      <c r="Q82" s="70" t="str">
        <f t="shared" si="49"/>
        <v/>
      </c>
      <c r="S82" s="647">
        <f>IFERROR(IF(J73="Yes",AVERAGE(J76:O87),0),0)</f>
        <v>0</v>
      </c>
    </row>
    <row r="83" spans="1:19">
      <c r="A83" s="32">
        <f t="shared" si="50"/>
        <v>44317</v>
      </c>
      <c r="B83" s="29"/>
      <c r="C83" s="29"/>
      <c r="D83" s="30">
        <f t="shared" ca="1" si="46"/>
        <v>0</v>
      </c>
      <c r="E83" s="30">
        <f t="shared" ca="1" si="47"/>
        <v>0</v>
      </c>
      <c r="F83" s="31"/>
      <c r="G83" s="31"/>
      <c r="H83" s="31"/>
      <c r="I83" s="47"/>
      <c r="J83" s="48"/>
      <c r="K83" s="48"/>
      <c r="L83" s="48"/>
      <c r="M83" s="48"/>
      <c r="N83" s="48"/>
      <c r="O83" s="48"/>
      <c r="P83" s="50" t="str">
        <f t="shared" si="48"/>
        <v/>
      </c>
      <c r="Q83" s="70" t="str">
        <f t="shared" si="49"/>
        <v/>
      </c>
      <c r="S83" s="647"/>
    </row>
    <row r="84" spans="1:19">
      <c r="A84" s="32">
        <f t="shared" si="50"/>
        <v>44287</v>
      </c>
      <c r="B84" s="29"/>
      <c r="C84" s="29"/>
      <c r="D84" s="30">
        <f t="shared" ca="1" si="46"/>
        <v>0</v>
      </c>
      <c r="E84" s="30">
        <f t="shared" ca="1" si="47"/>
        <v>0</v>
      </c>
      <c r="F84" s="31"/>
      <c r="G84" s="31"/>
      <c r="H84" s="31"/>
      <c r="I84" s="47"/>
      <c r="J84" s="48"/>
      <c r="K84" s="48"/>
      <c r="L84" s="48"/>
      <c r="M84" s="48"/>
      <c r="N84" s="48"/>
      <c r="O84" s="48"/>
      <c r="P84" s="50" t="str">
        <f t="shared" si="48"/>
        <v/>
      </c>
      <c r="Q84" s="70" t="str">
        <f t="shared" si="49"/>
        <v/>
      </c>
      <c r="S84" s="647"/>
    </row>
    <row r="85" spans="1:19">
      <c r="A85" s="32">
        <f t="shared" si="50"/>
        <v>44256</v>
      </c>
      <c r="B85" s="29"/>
      <c r="C85" s="29"/>
      <c r="D85" s="30">
        <f t="shared" ca="1" si="46"/>
        <v>0</v>
      </c>
      <c r="E85" s="30">
        <f t="shared" ca="1" si="47"/>
        <v>0</v>
      </c>
      <c r="F85" s="31"/>
      <c r="G85" s="31"/>
      <c r="H85" s="31"/>
      <c r="I85" s="47"/>
      <c r="J85" s="48"/>
      <c r="K85" s="48"/>
      <c r="L85" s="48"/>
      <c r="M85" s="48"/>
      <c r="N85" s="48"/>
      <c r="O85" s="48"/>
      <c r="P85" s="50" t="str">
        <f t="shared" si="48"/>
        <v/>
      </c>
      <c r="Q85" s="70" t="str">
        <f t="shared" si="49"/>
        <v/>
      </c>
      <c r="S85" s="647"/>
    </row>
    <row r="86" spans="1:19">
      <c r="A86" s="32">
        <f t="shared" si="50"/>
        <v>44228</v>
      </c>
      <c r="B86" s="29"/>
      <c r="C86" s="29"/>
      <c r="D86" s="30">
        <f t="shared" ca="1" si="46"/>
        <v>0</v>
      </c>
      <c r="E86" s="30">
        <f t="shared" ca="1" si="47"/>
        <v>0</v>
      </c>
      <c r="F86" s="31"/>
      <c r="G86" s="31"/>
      <c r="H86" s="31"/>
      <c r="I86" s="47"/>
      <c r="J86" s="48"/>
      <c r="K86" s="48"/>
      <c r="L86" s="48"/>
      <c r="M86" s="48"/>
      <c r="N86" s="48"/>
      <c r="O86" s="48"/>
      <c r="P86" s="50" t="str">
        <f t="shared" si="48"/>
        <v/>
      </c>
      <c r="Q86" s="70" t="str">
        <f t="shared" si="49"/>
        <v/>
      </c>
      <c r="S86" s="647"/>
    </row>
    <row r="87" spans="1:19">
      <c r="A87" s="32">
        <f t="shared" si="50"/>
        <v>44197</v>
      </c>
      <c r="B87" s="29"/>
      <c r="C87" s="29"/>
      <c r="D87" s="30">
        <f t="shared" ca="1" si="46"/>
        <v>0</v>
      </c>
      <c r="E87" s="30">
        <f t="shared" ca="1" si="47"/>
        <v>0</v>
      </c>
      <c r="F87" s="31"/>
      <c r="G87" s="31"/>
      <c r="H87" s="31"/>
      <c r="I87" s="47"/>
      <c r="J87" s="48"/>
      <c r="K87" s="48"/>
      <c r="L87" s="48"/>
      <c r="M87" s="48"/>
      <c r="N87" s="48"/>
      <c r="O87" s="48"/>
      <c r="P87" s="50" t="str">
        <f t="shared" si="48"/>
        <v/>
      </c>
      <c r="Q87" s="70" t="str">
        <f t="shared" si="49"/>
        <v/>
      </c>
      <c r="S87" s="647"/>
    </row>
    <row r="88" spans="1:19">
      <c r="A88" s="26" t="s">
        <v>194</v>
      </c>
      <c r="B88" s="33">
        <f t="shared" ref="B88:H88" si="51">SUM(B76:B87)</f>
        <v>0</v>
      </c>
      <c r="C88" s="33">
        <f t="shared" si="51"/>
        <v>0</v>
      </c>
      <c r="D88" s="33">
        <f t="shared" ca="1" si="51"/>
        <v>0</v>
      </c>
      <c r="E88" s="33">
        <f t="shared" ca="1" si="51"/>
        <v>0</v>
      </c>
      <c r="F88" s="33">
        <f t="shared" si="51"/>
        <v>0</v>
      </c>
      <c r="G88" s="33">
        <f t="shared" si="51"/>
        <v>0</v>
      </c>
      <c r="H88" s="33">
        <f t="shared" si="51"/>
        <v>0</v>
      </c>
      <c r="I88" s="33"/>
      <c r="J88" s="33" t="str">
        <f>IFERROR(AVERAGE(J76:J87),"")</f>
        <v/>
      </c>
      <c r="K88" s="33" t="str">
        <f t="shared" ref="K88:P88" si="52">IFERROR(AVERAGE(K76:K87),"")</f>
        <v/>
      </c>
      <c r="L88" s="33" t="str">
        <f t="shared" si="52"/>
        <v/>
      </c>
      <c r="M88" s="33" t="str">
        <f t="shared" si="52"/>
        <v/>
      </c>
      <c r="N88" s="33" t="str">
        <f t="shared" si="52"/>
        <v/>
      </c>
      <c r="O88" s="33" t="str">
        <f t="shared" si="52"/>
        <v/>
      </c>
      <c r="P88" s="51" t="str">
        <f t="shared" si="52"/>
        <v/>
      </c>
      <c r="Q88" s="70" t="str">
        <f t="shared" si="49"/>
        <v/>
      </c>
    </row>
    <row r="89" spans="1:19">
      <c r="A89" s="26" t="s">
        <v>373</v>
      </c>
      <c r="B89" s="33" t="str">
        <f t="shared" ref="B89:H89" si="53">IFERROR(+AVERAGE(B76:B87),"")</f>
        <v/>
      </c>
      <c r="C89" s="33" t="str">
        <f t="shared" si="53"/>
        <v/>
      </c>
      <c r="D89" s="33">
        <f t="shared" ref="D89:E89" ca="1" si="54">+AVERAGE(D76:D87)</f>
        <v>0</v>
      </c>
      <c r="E89" s="33">
        <f t="shared" ca="1" si="54"/>
        <v>0</v>
      </c>
      <c r="F89" s="33" t="str">
        <f t="shared" si="53"/>
        <v/>
      </c>
      <c r="G89" s="33" t="str">
        <f t="shared" si="53"/>
        <v/>
      </c>
      <c r="H89" s="33" t="str">
        <f t="shared" si="53"/>
        <v/>
      </c>
      <c r="I89" s="52"/>
      <c r="J89" s="52"/>
      <c r="K89" s="53"/>
      <c r="L89" s="53"/>
      <c r="M89" s="54"/>
      <c r="N89" s="53"/>
      <c r="O89" s="55"/>
      <c r="P89" s="56" t="str">
        <f>IFERROR(AVERAGE(J76:O87),"")</f>
        <v/>
      </c>
      <c r="Q89" s="67"/>
    </row>
    <row r="91" spans="1:19">
      <c r="A91" s="681" t="s">
        <v>396</v>
      </c>
      <c r="B91" s="682"/>
      <c r="C91" s="683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</row>
    <row r="92" spans="1:19">
      <c r="A92" s="686" t="s">
        <v>384</v>
      </c>
      <c r="B92" s="687"/>
      <c r="C92" s="688"/>
      <c r="D92" s="689"/>
      <c r="E92" s="689"/>
      <c r="F92" s="689"/>
      <c r="G92" s="689"/>
      <c r="H92" s="689"/>
      <c r="I92" s="689"/>
      <c r="J92" s="689"/>
      <c r="K92" s="689"/>
      <c r="L92" s="689"/>
      <c r="M92" s="689"/>
      <c r="N92" s="689"/>
      <c r="O92" s="690"/>
    </row>
    <row r="93" spans="1:19">
      <c r="A93" s="660" t="s">
        <v>385</v>
      </c>
      <c r="B93" s="661"/>
      <c r="C93" s="665"/>
      <c r="D93" s="666"/>
      <c r="E93" s="666"/>
      <c r="F93" s="666"/>
      <c r="G93" s="668"/>
      <c r="H93" s="664" t="s">
        <v>386</v>
      </c>
      <c r="I93" s="661"/>
      <c r="J93" s="691"/>
      <c r="K93" s="692"/>
      <c r="L93" s="692"/>
      <c r="M93" s="692"/>
      <c r="N93" s="692"/>
      <c r="O93" s="693"/>
    </row>
    <row r="94" spans="1:19" ht="15" customHeight="1">
      <c r="A94" s="660" t="s">
        <v>387</v>
      </c>
      <c r="B94" s="661"/>
      <c r="C94" s="662"/>
      <c r="D94" s="662"/>
      <c r="E94" s="662"/>
      <c r="F94" s="662"/>
      <c r="G94" s="663"/>
      <c r="H94" s="664" t="s">
        <v>388</v>
      </c>
      <c r="I94" s="661"/>
      <c r="J94" s="665" t="s">
        <v>389</v>
      </c>
      <c r="K94" s="666"/>
      <c r="L94" s="666"/>
      <c r="M94" s="666"/>
      <c r="N94" s="666"/>
      <c r="O94" s="667"/>
    </row>
    <row r="95" spans="1:19">
      <c r="A95" s="660" t="s">
        <v>390</v>
      </c>
      <c r="B95" s="661"/>
      <c r="C95" s="666"/>
      <c r="D95" s="666"/>
      <c r="E95" s="666"/>
      <c r="F95" s="666"/>
      <c r="G95" s="668"/>
      <c r="H95" s="664" t="str">
        <f>IF(J94="Overdraft","Limit",IF(J94="Cash Credit","Limit",""))</f>
        <v/>
      </c>
      <c r="I95" s="661"/>
      <c r="J95" s="669"/>
      <c r="K95" s="669"/>
      <c r="L95" s="669"/>
      <c r="M95" s="669"/>
      <c r="N95" s="669"/>
      <c r="O95" s="670"/>
    </row>
    <row r="96" spans="1:19" ht="29.25" customHeight="1">
      <c r="A96" s="671" t="s">
        <v>391</v>
      </c>
      <c r="B96" s="672"/>
      <c r="C96" s="673"/>
      <c r="D96" s="674"/>
      <c r="E96" s="674"/>
      <c r="F96" s="674"/>
      <c r="G96" s="675"/>
      <c r="H96" s="676"/>
      <c r="I96" s="677"/>
      <c r="J96" s="678"/>
      <c r="K96" s="679"/>
      <c r="L96" s="679"/>
      <c r="M96" s="679"/>
      <c r="N96" s="679"/>
      <c r="O96" s="680"/>
    </row>
    <row r="97" spans="1:19" ht="15" customHeight="1">
      <c r="A97" s="26" t="s">
        <v>355</v>
      </c>
      <c r="B97" s="657" t="s">
        <v>356</v>
      </c>
      <c r="C97" s="658"/>
      <c r="D97" s="657" t="s">
        <v>357</v>
      </c>
      <c r="E97" s="658"/>
      <c r="F97" s="649" t="s">
        <v>358</v>
      </c>
      <c r="G97" s="649" t="s">
        <v>359</v>
      </c>
      <c r="H97" s="649" t="s">
        <v>360</v>
      </c>
      <c r="I97" s="649" t="s">
        <v>361</v>
      </c>
      <c r="J97" s="657" t="s">
        <v>392</v>
      </c>
      <c r="K97" s="659"/>
      <c r="L97" s="659"/>
      <c r="M97" s="659"/>
      <c r="N97" s="659"/>
      <c r="O97" s="658"/>
      <c r="P97" s="655" t="s">
        <v>393</v>
      </c>
      <c r="Q97" s="648" t="str">
        <f>IF(OR(J94="Overdraft",J94="cash Credit"),"Utilisation %","")</f>
        <v/>
      </c>
    </row>
    <row r="98" spans="1:19" ht="44.25" customHeight="1">
      <c r="A98" s="26" t="s">
        <v>363</v>
      </c>
      <c r="B98" s="27" t="s">
        <v>364</v>
      </c>
      <c r="C98" s="27" t="s">
        <v>365</v>
      </c>
      <c r="D98" s="27" t="s">
        <v>364</v>
      </c>
      <c r="E98" s="27" t="s">
        <v>365</v>
      </c>
      <c r="F98" s="650"/>
      <c r="G98" s="650"/>
      <c r="H98" s="650"/>
      <c r="I98" s="650"/>
      <c r="J98" s="27" t="s">
        <v>366</v>
      </c>
      <c r="K98" s="27" t="s">
        <v>367</v>
      </c>
      <c r="L98" s="27" t="s">
        <v>368</v>
      </c>
      <c r="M98" s="27" t="s">
        <v>369</v>
      </c>
      <c r="N98" s="27" t="s">
        <v>370</v>
      </c>
      <c r="O98" s="27" t="s">
        <v>371</v>
      </c>
      <c r="P98" s="656"/>
      <c r="Q98" s="648"/>
      <c r="S98" s="59" t="s">
        <v>372</v>
      </c>
    </row>
    <row r="99" spans="1:19">
      <c r="A99" s="32">
        <f>$A$30</f>
        <v>44531</v>
      </c>
      <c r="B99" s="29"/>
      <c r="C99" s="29"/>
      <c r="D99" s="30">
        <f t="shared" ref="D99:D110" ca="1" si="55">IFERROR(LEN(_xlfn.FORMULATEXT(B99))-LEN(SUBSTITUTE(_xlfn.FORMULATEXT(B99),"+",""))+1,0)</f>
        <v>0</v>
      </c>
      <c r="E99" s="30">
        <f t="shared" ref="E99:E110" ca="1" si="56">IFERROR(LEN(_xlfn.FORMULATEXT(C99))-LEN(SUBSTITUTE(_xlfn.FORMULATEXT(C99),"+",""))+1,0)</f>
        <v>0</v>
      </c>
      <c r="F99" s="31"/>
      <c r="G99" s="31"/>
      <c r="H99" s="31"/>
      <c r="I99" s="47"/>
      <c r="J99" s="48"/>
      <c r="K99" s="49"/>
      <c r="L99" s="48"/>
      <c r="M99" s="48"/>
      <c r="N99" s="48"/>
      <c r="O99" s="48"/>
      <c r="P99" s="68" t="str">
        <f>IFERROR(SUM(J99:O99)/COUNT(J99:O99),"")</f>
        <v/>
      </c>
      <c r="Q99" s="70" t="str">
        <f>IFERROR(IF($J$95&lt;&gt;"",P99/$J$95,""),"")</f>
        <v/>
      </c>
      <c r="S99" s="647">
        <f>IFERROR(IF(J96="Yes",AVERAGE(J99:O104),0),"")</f>
        <v>0</v>
      </c>
    </row>
    <row r="100" spans="1:19">
      <c r="A100" s="32">
        <f>EDATE(A99,-1)</f>
        <v>44501</v>
      </c>
      <c r="B100" s="29"/>
      <c r="C100" s="29"/>
      <c r="D100" s="30">
        <f t="shared" ca="1" si="55"/>
        <v>0</v>
      </c>
      <c r="E100" s="30">
        <f t="shared" ca="1" si="56"/>
        <v>0</v>
      </c>
      <c r="F100" s="31"/>
      <c r="G100" s="31"/>
      <c r="H100" s="31"/>
      <c r="I100" s="47"/>
      <c r="J100" s="48"/>
      <c r="K100" s="48"/>
      <c r="L100" s="48"/>
      <c r="M100" s="48"/>
      <c r="N100" s="48"/>
      <c r="O100" s="48"/>
      <c r="P100" s="68" t="str">
        <f t="shared" ref="P100:P110" si="57">IFERROR(SUM(J100:O100)/COUNT(J100:O100),"")</f>
        <v/>
      </c>
      <c r="Q100" s="70" t="str">
        <f t="shared" ref="Q100:Q111" si="58">IFERROR(IF($J$95&lt;&gt;"",P100/$J$95,""),"")</f>
        <v/>
      </c>
      <c r="S100" s="647"/>
    </row>
    <row r="101" spans="1:19">
      <c r="A101" s="32">
        <f t="shared" ref="A101:A110" si="59">EDATE(A100,-1)</f>
        <v>44470</v>
      </c>
      <c r="B101" s="29"/>
      <c r="C101" s="29"/>
      <c r="D101" s="30">
        <f t="shared" ca="1" si="55"/>
        <v>0</v>
      </c>
      <c r="E101" s="30">
        <f t="shared" ca="1" si="56"/>
        <v>0</v>
      </c>
      <c r="F101" s="31"/>
      <c r="G101" s="31"/>
      <c r="H101" s="31"/>
      <c r="I101" s="47"/>
      <c r="J101" s="48"/>
      <c r="K101" s="48"/>
      <c r="L101" s="48"/>
      <c r="M101" s="48"/>
      <c r="N101" s="48"/>
      <c r="O101" s="48"/>
      <c r="P101" s="68" t="str">
        <f t="shared" si="57"/>
        <v/>
      </c>
      <c r="Q101" s="70" t="str">
        <f t="shared" si="58"/>
        <v/>
      </c>
      <c r="S101" s="647"/>
    </row>
    <row r="102" spans="1:19">
      <c r="A102" s="32">
        <f t="shared" si="59"/>
        <v>44440</v>
      </c>
      <c r="B102" s="29"/>
      <c r="C102" s="29"/>
      <c r="D102" s="30">
        <f t="shared" ca="1" si="55"/>
        <v>0</v>
      </c>
      <c r="E102" s="30">
        <f t="shared" ca="1" si="56"/>
        <v>0</v>
      </c>
      <c r="F102" s="31"/>
      <c r="G102" s="31"/>
      <c r="H102" s="31"/>
      <c r="I102" s="47"/>
      <c r="J102" s="48"/>
      <c r="K102" s="48"/>
      <c r="L102" s="48"/>
      <c r="M102" s="48"/>
      <c r="N102" s="48"/>
      <c r="O102" s="48"/>
      <c r="P102" s="68" t="str">
        <f t="shared" si="57"/>
        <v/>
      </c>
      <c r="Q102" s="70" t="str">
        <f t="shared" si="58"/>
        <v/>
      </c>
      <c r="S102" s="647"/>
    </row>
    <row r="103" spans="1:19">
      <c r="A103" s="32">
        <f t="shared" si="59"/>
        <v>44409</v>
      </c>
      <c r="B103" s="29"/>
      <c r="C103" s="29"/>
      <c r="D103" s="30">
        <f t="shared" ca="1" si="55"/>
        <v>0</v>
      </c>
      <c r="E103" s="30">
        <f t="shared" ca="1" si="56"/>
        <v>0</v>
      </c>
      <c r="F103" s="31"/>
      <c r="G103" s="31"/>
      <c r="H103" s="31"/>
      <c r="I103" s="47"/>
      <c r="J103" s="48"/>
      <c r="K103" s="48"/>
      <c r="L103" s="48"/>
      <c r="M103" s="48"/>
      <c r="N103" s="48"/>
      <c r="O103" s="48"/>
      <c r="P103" s="68" t="str">
        <f t="shared" si="57"/>
        <v/>
      </c>
      <c r="Q103" s="70" t="str">
        <f t="shared" si="58"/>
        <v/>
      </c>
      <c r="S103" s="647"/>
    </row>
    <row r="104" spans="1:19">
      <c r="A104" s="32">
        <f t="shared" si="59"/>
        <v>44378</v>
      </c>
      <c r="B104" s="29"/>
      <c r="C104" s="29"/>
      <c r="D104" s="30">
        <f t="shared" ca="1" si="55"/>
        <v>0</v>
      </c>
      <c r="E104" s="30">
        <f t="shared" ca="1" si="56"/>
        <v>0</v>
      </c>
      <c r="F104" s="31"/>
      <c r="G104" s="31"/>
      <c r="H104" s="31"/>
      <c r="I104" s="47"/>
      <c r="J104" s="48"/>
      <c r="K104" s="48"/>
      <c r="L104" s="48"/>
      <c r="M104" s="48"/>
      <c r="N104" s="48"/>
      <c r="O104" s="48"/>
      <c r="P104" s="68" t="str">
        <f t="shared" si="57"/>
        <v/>
      </c>
      <c r="Q104" s="70" t="str">
        <f t="shared" si="58"/>
        <v/>
      </c>
      <c r="S104" s="647"/>
    </row>
    <row r="105" spans="1:19">
      <c r="A105" s="32">
        <f t="shared" si="59"/>
        <v>44348</v>
      </c>
      <c r="B105" s="29"/>
      <c r="C105" s="29"/>
      <c r="D105" s="30">
        <f t="shared" ca="1" si="55"/>
        <v>0</v>
      </c>
      <c r="E105" s="30">
        <f t="shared" ca="1" si="56"/>
        <v>0</v>
      </c>
      <c r="F105" s="31"/>
      <c r="G105" s="31"/>
      <c r="H105" s="31"/>
      <c r="I105" s="47"/>
      <c r="J105" s="48"/>
      <c r="K105" s="48"/>
      <c r="L105" s="48"/>
      <c r="M105" s="48"/>
      <c r="N105" s="48"/>
      <c r="O105" s="48"/>
      <c r="P105" s="68" t="str">
        <f t="shared" si="57"/>
        <v/>
      </c>
      <c r="Q105" s="70" t="str">
        <f t="shared" si="58"/>
        <v/>
      </c>
      <c r="S105" s="647">
        <f>IFERROR(IF(J96="Yes",AVERAGE(J99:O110),0),"")</f>
        <v>0</v>
      </c>
    </row>
    <row r="106" spans="1:19">
      <c r="A106" s="32">
        <f t="shared" si="59"/>
        <v>44317</v>
      </c>
      <c r="B106" s="29"/>
      <c r="C106" s="29"/>
      <c r="D106" s="30">
        <f t="shared" ca="1" si="55"/>
        <v>0</v>
      </c>
      <c r="E106" s="30">
        <f t="shared" ca="1" si="56"/>
        <v>0</v>
      </c>
      <c r="F106" s="31"/>
      <c r="G106" s="31"/>
      <c r="H106" s="31"/>
      <c r="I106" s="47"/>
      <c r="J106" s="48"/>
      <c r="K106" s="48"/>
      <c r="L106" s="48"/>
      <c r="M106" s="48"/>
      <c r="N106" s="48"/>
      <c r="O106" s="48"/>
      <c r="P106" s="68" t="str">
        <f t="shared" si="57"/>
        <v/>
      </c>
      <c r="Q106" s="70" t="str">
        <f t="shared" si="58"/>
        <v/>
      </c>
      <c r="S106" s="647"/>
    </row>
    <row r="107" spans="1:19">
      <c r="A107" s="32">
        <f t="shared" si="59"/>
        <v>44287</v>
      </c>
      <c r="B107" s="29"/>
      <c r="C107" s="29"/>
      <c r="D107" s="30">
        <f t="shared" ca="1" si="55"/>
        <v>0</v>
      </c>
      <c r="E107" s="30">
        <f t="shared" ca="1" si="56"/>
        <v>0</v>
      </c>
      <c r="F107" s="31"/>
      <c r="G107" s="31"/>
      <c r="H107" s="31"/>
      <c r="I107" s="47"/>
      <c r="J107" s="48"/>
      <c r="K107" s="48"/>
      <c r="L107" s="48"/>
      <c r="M107" s="48"/>
      <c r="N107" s="48"/>
      <c r="O107" s="48"/>
      <c r="P107" s="68" t="str">
        <f t="shared" si="57"/>
        <v/>
      </c>
      <c r="Q107" s="70" t="str">
        <f t="shared" si="58"/>
        <v/>
      </c>
      <c r="S107" s="647"/>
    </row>
    <row r="108" spans="1:19">
      <c r="A108" s="32">
        <f t="shared" si="59"/>
        <v>44256</v>
      </c>
      <c r="B108" s="29"/>
      <c r="C108" s="29"/>
      <c r="D108" s="30">
        <f t="shared" ca="1" si="55"/>
        <v>0</v>
      </c>
      <c r="E108" s="30">
        <f t="shared" ca="1" si="56"/>
        <v>0</v>
      </c>
      <c r="F108" s="31"/>
      <c r="G108" s="31"/>
      <c r="H108" s="31"/>
      <c r="I108" s="47"/>
      <c r="J108" s="48"/>
      <c r="K108" s="48"/>
      <c r="L108" s="48"/>
      <c r="M108" s="48"/>
      <c r="N108" s="48"/>
      <c r="O108" s="48"/>
      <c r="P108" s="68" t="str">
        <f t="shared" si="57"/>
        <v/>
      </c>
      <c r="Q108" s="70" t="str">
        <f t="shared" si="58"/>
        <v/>
      </c>
      <c r="S108" s="647"/>
    </row>
    <row r="109" spans="1:19">
      <c r="A109" s="32">
        <f t="shared" si="59"/>
        <v>44228</v>
      </c>
      <c r="B109" s="29"/>
      <c r="C109" s="29"/>
      <c r="D109" s="30">
        <f t="shared" ca="1" si="55"/>
        <v>0</v>
      </c>
      <c r="E109" s="30">
        <f t="shared" ca="1" si="56"/>
        <v>0</v>
      </c>
      <c r="F109" s="31"/>
      <c r="G109" s="31"/>
      <c r="H109" s="31"/>
      <c r="I109" s="47"/>
      <c r="J109" s="48"/>
      <c r="K109" s="48"/>
      <c r="L109" s="48"/>
      <c r="M109" s="48"/>
      <c r="N109" s="48"/>
      <c r="O109" s="48"/>
      <c r="P109" s="68" t="str">
        <f t="shared" si="57"/>
        <v/>
      </c>
      <c r="Q109" s="70" t="str">
        <f t="shared" si="58"/>
        <v/>
      </c>
      <c r="S109" s="647"/>
    </row>
    <row r="110" spans="1:19">
      <c r="A110" s="32">
        <f t="shared" si="59"/>
        <v>44197</v>
      </c>
      <c r="B110" s="29"/>
      <c r="C110" s="29"/>
      <c r="D110" s="30">
        <f t="shared" ca="1" si="55"/>
        <v>0</v>
      </c>
      <c r="E110" s="30">
        <f t="shared" ca="1" si="56"/>
        <v>0</v>
      </c>
      <c r="F110" s="31"/>
      <c r="G110" s="31"/>
      <c r="H110" s="31"/>
      <c r="I110" s="47"/>
      <c r="J110" s="48"/>
      <c r="K110" s="48"/>
      <c r="L110" s="48"/>
      <c r="M110" s="48"/>
      <c r="N110" s="48"/>
      <c r="O110" s="48"/>
      <c r="P110" s="68" t="str">
        <f t="shared" si="57"/>
        <v/>
      </c>
      <c r="Q110" s="70" t="str">
        <f t="shared" si="58"/>
        <v/>
      </c>
      <c r="S110" s="647"/>
    </row>
    <row r="111" spans="1:19">
      <c r="A111" s="26" t="s">
        <v>194</v>
      </c>
      <c r="B111" s="33">
        <f t="shared" ref="B111:H111" si="60">SUM(B99:B110)</f>
        <v>0</v>
      </c>
      <c r="C111" s="33">
        <f t="shared" si="60"/>
        <v>0</v>
      </c>
      <c r="D111" s="33">
        <f t="shared" ca="1" si="60"/>
        <v>0</v>
      </c>
      <c r="E111" s="33">
        <f t="shared" ca="1" si="60"/>
        <v>0</v>
      </c>
      <c r="F111" s="33">
        <f t="shared" si="60"/>
        <v>0</v>
      </c>
      <c r="G111" s="33">
        <f t="shared" si="60"/>
        <v>0</v>
      </c>
      <c r="H111" s="33">
        <f t="shared" si="60"/>
        <v>0</v>
      </c>
      <c r="I111" s="33"/>
      <c r="J111" s="33" t="str">
        <f>IFERROR(AVERAGE(J99:J110),"")</f>
        <v/>
      </c>
      <c r="K111" s="33" t="str">
        <f t="shared" ref="K111:P111" si="61">IFERROR(AVERAGE(K99:K110),"")</f>
        <v/>
      </c>
      <c r="L111" s="33" t="str">
        <f t="shared" si="61"/>
        <v/>
      </c>
      <c r="M111" s="33" t="str">
        <f t="shared" si="61"/>
        <v/>
      </c>
      <c r="N111" s="33" t="str">
        <f t="shared" si="61"/>
        <v/>
      </c>
      <c r="O111" s="33" t="str">
        <f t="shared" si="61"/>
        <v/>
      </c>
      <c r="P111" s="69" t="str">
        <f t="shared" si="61"/>
        <v/>
      </c>
      <c r="Q111" s="70" t="str">
        <f t="shared" si="58"/>
        <v/>
      </c>
    </row>
    <row r="112" spans="1:19">
      <c r="A112" s="26" t="s">
        <v>373</v>
      </c>
      <c r="B112" s="33" t="str">
        <f t="shared" ref="B112:H112" si="62">IFERROR(+AVERAGE(B99:B110),"")</f>
        <v/>
      </c>
      <c r="C112" s="33" t="str">
        <f t="shared" si="62"/>
        <v/>
      </c>
      <c r="D112" s="33">
        <f t="shared" ref="D112:E112" ca="1" si="63">+AVERAGE(D99:D110)</f>
        <v>0</v>
      </c>
      <c r="E112" s="33">
        <f t="shared" ca="1" si="63"/>
        <v>0</v>
      </c>
      <c r="F112" s="33" t="str">
        <f t="shared" si="62"/>
        <v/>
      </c>
      <c r="G112" s="33" t="str">
        <f t="shared" si="62"/>
        <v/>
      </c>
      <c r="H112" s="33" t="str">
        <f t="shared" si="62"/>
        <v/>
      </c>
      <c r="I112" s="52"/>
      <c r="J112" s="52"/>
      <c r="K112" s="53"/>
      <c r="L112" s="53"/>
      <c r="M112" s="54"/>
      <c r="N112" s="53"/>
      <c r="O112" s="55"/>
      <c r="P112" s="67" t="str">
        <f>IFERROR(AVERAGE(J99:O110),"")</f>
        <v/>
      </c>
      <c r="Q112" s="67"/>
    </row>
    <row r="114" spans="1:19">
      <c r="A114" s="681" t="s">
        <v>397</v>
      </c>
      <c r="B114" s="682"/>
      <c r="C114" s="683"/>
      <c r="D114" s="684"/>
      <c r="E114" s="684"/>
      <c r="F114" s="684"/>
      <c r="G114" s="684"/>
      <c r="H114" s="684"/>
      <c r="I114" s="684"/>
      <c r="J114" s="684"/>
      <c r="K114" s="684"/>
      <c r="L114" s="684"/>
      <c r="M114" s="684"/>
      <c r="N114" s="684"/>
      <c r="O114" s="685"/>
    </row>
    <row r="115" spans="1:19">
      <c r="A115" s="686" t="s">
        <v>384</v>
      </c>
      <c r="B115" s="687"/>
      <c r="C115" s="688"/>
      <c r="D115" s="689"/>
      <c r="E115" s="689"/>
      <c r="F115" s="689"/>
      <c r="G115" s="689"/>
      <c r="H115" s="689"/>
      <c r="I115" s="689"/>
      <c r="J115" s="689"/>
      <c r="K115" s="689"/>
      <c r="L115" s="689"/>
      <c r="M115" s="689"/>
      <c r="N115" s="689"/>
      <c r="O115" s="690"/>
    </row>
    <row r="116" spans="1:19">
      <c r="A116" s="660" t="s">
        <v>385</v>
      </c>
      <c r="B116" s="661"/>
      <c r="C116" s="665"/>
      <c r="D116" s="666"/>
      <c r="E116" s="666"/>
      <c r="F116" s="666"/>
      <c r="G116" s="668"/>
      <c r="H116" s="664" t="s">
        <v>386</v>
      </c>
      <c r="I116" s="661"/>
      <c r="J116" s="691"/>
      <c r="K116" s="692"/>
      <c r="L116" s="692"/>
      <c r="M116" s="692"/>
      <c r="N116" s="692"/>
      <c r="O116" s="693"/>
    </row>
    <row r="117" spans="1:19" ht="15" customHeight="1">
      <c r="A117" s="660" t="s">
        <v>387</v>
      </c>
      <c r="B117" s="661"/>
      <c r="C117" s="662"/>
      <c r="D117" s="662"/>
      <c r="E117" s="662"/>
      <c r="F117" s="662"/>
      <c r="G117" s="663"/>
      <c r="H117" s="664" t="s">
        <v>388</v>
      </c>
      <c r="I117" s="661"/>
      <c r="J117" s="665"/>
      <c r="K117" s="666"/>
      <c r="L117" s="666"/>
      <c r="M117" s="666"/>
      <c r="N117" s="666"/>
      <c r="O117" s="667"/>
    </row>
    <row r="118" spans="1:19">
      <c r="A118" s="660" t="s">
        <v>390</v>
      </c>
      <c r="B118" s="661"/>
      <c r="C118" s="666"/>
      <c r="D118" s="666"/>
      <c r="E118" s="666"/>
      <c r="F118" s="666"/>
      <c r="G118" s="668"/>
      <c r="H118" s="664" t="str">
        <f>IF(J117="Overdraft","Limit",IF(J117="Cash Credit","Limit",""))</f>
        <v/>
      </c>
      <c r="I118" s="661"/>
      <c r="J118" s="669"/>
      <c r="K118" s="669"/>
      <c r="L118" s="669"/>
      <c r="M118" s="669"/>
      <c r="N118" s="669"/>
      <c r="O118" s="670"/>
    </row>
    <row r="119" spans="1:19" ht="32.25" customHeight="1">
      <c r="A119" s="671" t="s">
        <v>391</v>
      </c>
      <c r="B119" s="672"/>
      <c r="C119" s="673"/>
      <c r="D119" s="674"/>
      <c r="E119" s="674"/>
      <c r="F119" s="674"/>
      <c r="G119" s="675"/>
      <c r="H119" s="676"/>
      <c r="I119" s="677"/>
      <c r="J119" s="678"/>
      <c r="K119" s="679"/>
      <c r="L119" s="679"/>
      <c r="M119" s="679"/>
      <c r="N119" s="679"/>
      <c r="O119" s="680"/>
    </row>
    <row r="120" spans="1:19" ht="15" customHeight="1">
      <c r="A120" s="26" t="s">
        <v>355</v>
      </c>
      <c r="B120" s="657" t="s">
        <v>356</v>
      </c>
      <c r="C120" s="658"/>
      <c r="D120" s="657" t="s">
        <v>357</v>
      </c>
      <c r="E120" s="658"/>
      <c r="F120" s="649" t="s">
        <v>358</v>
      </c>
      <c r="G120" s="649" t="s">
        <v>359</v>
      </c>
      <c r="H120" s="649" t="s">
        <v>360</v>
      </c>
      <c r="I120" s="649" t="s">
        <v>361</v>
      </c>
      <c r="J120" s="657" t="s">
        <v>392</v>
      </c>
      <c r="K120" s="659"/>
      <c r="L120" s="659"/>
      <c r="M120" s="659"/>
      <c r="N120" s="659"/>
      <c r="O120" s="658"/>
      <c r="P120" s="655" t="s">
        <v>393</v>
      </c>
      <c r="Q120" s="648" t="str">
        <f>IF(OR(J117="Overdraft",J117="cash Credit"),"Utilisation %","")</f>
        <v/>
      </c>
    </row>
    <row r="121" spans="1:19" ht="42" customHeight="1">
      <c r="A121" s="26" t="s">
        <v>363</v>
      </c>
      <c r="B121" s="27" t="s">
        <v>364</v>
      </c>
      <c r="C121" s="27" t="s">
        <v>365</v>
      </c>
      <c r="D121" s="27" t="s">
        <v>364</v>
      </c>
      <c r="E121" s="27" t="s">
        <v>365</v>
      </c>
      <c r="F121" s="650"/>
      <c r="G121" s="650"/>
      <c r="H121" s="650"/>
      <c r="I121" s="650"/>
      <c r="J121" s="27" t="s">
        <v>366</v>
      </c>
      <c r="K121" s="27" t="s">
        <v>367</v>
      </c>
      <c r="L121" s="27" t="s">
        <v>368</v>
      </c>
      <c r="M121" s="27" t="s">
        <v>369</v>
      </c>
      <c r="N121" s="27" t="s">
        <v>370</v>
      </c>
      <c r="O121" s="27" t="s">
        <v>371</v>
      </c>
      <c r="P121" s="656"/>
      <c r="Q121" s="648"/>
      <c r="S121" s="59" t="s">
        <v>372</v>
      </c>
    </row>
    <row r="122" spans="1:19">
      <c r="A122" s="32">
        <f>$A$30</f>
        <v>44531</v>
      </c>
      <c r="B122" s="29"/>
      <c r="C122" s="29"/>
      <c r="D122" s="30">
        <f t="shared" ref="D122:D133" ca="1" si="64">IFERROR(LEN(_xlfn.FORMULATEXT(B122))-LEN(SUBSTITUTE(_xlfn.FORMULATEXT(B122),"+",""))+1,0)</f>
        <v>0</v>
      </c>
      <c r="E122" s="30">
        <f t="shared" ref="E122:E133" ca="1" si="65">IFERROR(LEN(_xlfn.FORMULATEXT(C122))-LEN(SUBSTITUTE(_xlfn.FORMULATEXT(C122),"+",""))+1,0)</f>
        <v>0</v>
      </c>
      <c r="F122" s="31"/>
      <c r="G122" s="31"/>
      <c r="H122" s="31"/>
      <c r="I122" s="47"/>
      <c r="J122" s="48"/>
      <c r="K122" s="49"/>
      <c r="L122" s="48"/>
      <c r="M122" s="48"/>
      <c r="N122" s="48"/>
      <c r="O122" s="48"/>
      <c r="P122" s="68" t="str">
        <f>IFERROR(SUM(J122:O122)/COUNT(J122:O122),"")</f>
        <v/>
      </c>
      <c r="Q122" s="70" t="str">
        <f>IFERROR(IF($J$118&lt;&gt;"",P122/$J$118,""),"")</f>
        <v/>
      </c>
      <c r="S122" s="647">
        <f>IFERROR(IF(J119="Yes",AVERAGE(J122:O127),0),"")</f>
        <v>0</v>
      </c>
    </row>
    <row r="123" spans="1:19">
      <c r="A123" s="32">
        <f>EDATE(A122,-1)</f>
        <v>44501</v>
      </c>
      <c r="B123" s="29"/>
      <c r="C123" s="29"/>
      <c r="D123" s="30">
        <f t="shared" ca="1" si="64"/>
        <v>0</v>
      </c>
      <c r="E123" s="30">
        <f t="shared" ca="1" si="65"/>
        <v>0</v>
      </c>
      <c r="F123" s="31"/>
      <c r="G123" s="31"/>
      <c r="H123" s="31"/>
      <c r="I123" s="47"/>
      <c r="J123" s="48"/>
      <c r="K123" s="48"/>
      <c r="L123" s="48"/>
      <c r="M123" s="48"/>
      <c r="N123" s="48"/>
      <c r="O123" s="48"/>
      <c r="P123" s="68" t="str">
        <f t="shared" ref="P123:P133" si="66">IFERROR(SUM(J123:O123)/COUNT(J123:O123),"")</f>
        <v/>
      </c>
      <c r="Q123" s="70" t="str">
        <f t="shared" ref="Q123:Q134" si="67">IFERROR(IF($J$118&lt;&gt;"",P123/$J$118,""),"")</f>
        <v/>
      </c>
      <c r="S123" s="647"/>
    </row>
    <row r="124" spans="1:19">
      <c r="A124" s="32">
        <f t="shared" ref="A124:A133" si="68">EDATE(A123,-1)</f>
        <v>44470</v>
      </c>
      <c r="B124" s="29"/>
      <c r="C124" s="29"/>
      <c r="D124" s="30">
        <f t="shared" ca="1" si="64"/>
        <v>0</v>
      </c>
      <c r="E124" s="30">
        <f t="shared" ca="1" si="65"/>
        <v>0</v>
      </c>
      <c r="F124" s="31"/>
      <c r="G124" s="31"/>
      <c r="H124" s="31"/>
      <c r="I124" s="47"/>
      <c r="J124" s="48"/>
      <c r="K124" s="48"/>
      <c r="L124" s="48"/>
      <c r="M124" s="48"/>
      <c r="N124" s="48"/>
      <c r="O124" s="48"/>
      <c r="P124" s="68" t="str">
        <f t="shared" si="66"/>
        <v/>
      </c>
      <c r="Q124" s="70" t="str">
        <f t="shared" si="67"/>
        <v/>
      </c>
      <c r="S124" s="647"/>
    </row>
    <row r="125" spans="1:19">
      <c r="A125" s="32">
        <f t="shared" si="68"/>
        <v>44440</v>
      </c>
      <c r="B125" s="29"/>
      <c r="C125" s="29"/>
      <c r="D125" s="30">
        <f t="shared" ca="1" si="64"/>
        <v>0</v>
      </c>
      <c r="E125" s="30">
        <f t="shared" ca="1" si="65"/>
        <v>0</v>
      </c>
      <c r="F125" s="31"/>
      <c r="G125" s="31"/>
      <c r="H125" s="31"/>
      <c r="I125" s="47"/>
      <c r="J125" s="48"/>
      <c r="K125" s="48"/>
      <c r="L125" s="48"/>
      <c r="M125" s="48"/>
      <c r="N125" s="48"/>
      <c r="O125" s="48"/>
      <c r="P125" s="68" t="str">
        <f t="shared" si="66"/>
        <v/>
      </c>
      <c r="Q125" s="70" t="str">
        <f t="shared" si="67"/>
        <v/>
      </c>
      <c r="S125" s="647"/>
    </row>
    <row r="126" spans="1:19">
      <c r="A126" s="32">
        <f t="shared" si="68"/>
        <v>44409</v>
      </c>
      <c r="B126" s="29"/>
      <c r="C126" s="29"/>
      <c r="D126" s="30">
        <f t="shared" ca="1" si="64"/>
        <v>0</v>
      </c>
      <c r="E126" s="30">
        <f t="shared" ca="1" si="65"/>
        <v>0</v>
      </c>
      <c r="F126" s="31"/>
      <c r="G126" s="31"/>
      <c r="H126" s="31"/>
      <c r="I126" s="47"/>
      <c r="J126" s="48"/>
      <c r="K126" s="48"/>
      <c r="L126" s="48"/>
      <c r="M126" s="48"/>
      <c r="N126" s="48"/>
      <c r="O126" s="48"/>
      <c r="P126" s="68" t="str">
        <f t="shared" si="66"/>
        <v/>
      </c>
      <c r="Q126" s="70" t="str">
        <f t="shared" si="67"/>
        <v/>
      </c>
      <c r="S126" s="647"/>
    </row>
    <row r="127" spans="1:19">
      <c r="A127" s="32">
        <f t="shared" si="68"/>
        <v>44378</v>
      </c>
      <c r="B127" s="29"/>
      <c r="C127" s="29"/>
      <c r="D127" s="30">
        <f t="shared" ca="1" si="64"/>
        <v>0</v>
      </c>
      <c r="E127" s="30">
        <f t="shared" ca="1" si="65"/>
        <v>0</v>
      </c>
      <c r="F127" s="31"/>
      <c r="G127" s="31"/>
      <c r="H127" s="31"/>
      <c r="I127" s="47"/>
      <c r="J127" s="48"/>
      <c r="K127" s="48"/>
      <c r="L127" s="48"/>
      <c r="M127" s="48"/>
      <c r="N127" s="48"/>
      <c r="O127" s="48"/>
      <c r="P127" s="68" t="str">
        <f t="shared" si="66"/>
        <v/>
      </c>
      <c r="Q127" s="70" t="str">
        <f t="shared" si="67"/>
        <v/>
      </c>
      <c r="S127" s="647"/>
    </row>
    <row r="128" spans="1:19">
      <c r="A128" s="32">
        <f t="shared" si="68"/>
        <v>44348</v>
      </c>
      <c r="B128" s="29"/>
      <c r="C128" s="29"/>
      <c r="D128" s="30">
        <f t="shared" ca="1" si="64"/>
        <v>0</v>
      </c>
      <c r="E128" s="30">
        <f t="shared" ca="1" si="65"/>
        <v>0</v>
      </c>
      <c r="F128" s="31"/>
      <c r="G128" s="31"/>
      <c r="H128" s="31"/>
      <c r="I128" s="47"/>
      <c r="J128" s="48"/>
      <c r="K128" s="48"/>
      <c r="L128" s="48"/>
      <c r="M128" s="48"/>
      <c r="N128" s="48"/>
      <c r="O128" s="48"/>
      <c r="P128" s="68" t="str">
        <f t="shared" si="66"/>
        <v/>
      </c>
      <c r="Q128" s="70" t="str">
        <f t="shared" si="67"/>
        <v/>
      </c>
      <c r="S128" s="647">
        <f>IFERROR(IF(J119="Yes",AVERAGE(J122:O133),0),"")</f>
        <v>0</v>
      </c>
    </row>
    <row r="129" spans="1:19">
      <c r="A129" s="32">
        <f t="shared" si="68"/>
        <v>44317</v>
      </c>
      <c r="B129" s="29"/>
      <c r="C129" s="29"/>
      <c r="D129" s="30">
        <f t="shared" ca="1" si="64"/>
        <v>0</v>
      </c>
      <c r="E129" s="30">
        <f t="shared" ca="1" si="65"/>
        <v>0</v>
      </c>
      <c r="F129" s="31"/>
      <c r="G129" s="31"/>
      <c r="H129" s="31"/>
      <c r="I129" s="47"/>
      <c r="J129" s="48"/>
      <c r="K129" s="48"/>
      <c r="L129" s="48"/>
      <c r="M129" s="48"/>
      <c r="N129" s="48"/>
      <c r="O129" s="48"/>
      <c r="P129" s="68" t="str">
        <f t="shared" si="66"/>
        <v/>
      </c>
      <c r="Q129" s="70" t="str">
        <f t="shared" si="67"/>
        <v/>
      </c>
      <c r="S129" s="647"/>
    </row>
    <row r="130" spans="1:19">
      <c r="A130" s="32">
        <f t="shared" si="68"/>
        <v>44287</v>
      </c>
      <c r="B130" s="29"/>
      <c r="C130" s="29"/>
      <c r="D130" s="30">
        <f t="shared" ca="1" si="64"/>
        <v>0</v>
      </c>
      <c r="E130" s="30">
        <f t="shared" ca="1" si="65"/>
        <v>0</v>
      </c>
      <c r="F130" s="31"/>
      <c r="G130" s="31"/>
      <c r="H130" s="31"/>
      <c r="I130" s="47"/>
      <c r="J130" s="48"/>
      <c r="K130" s="48"/>
      <c r="L130" s="48"/>
      <c r="M130" s="48"/>
      <c r="N130" s="48"/>
      <c r="O130" s="48"/>
      <c r="P130" s="68" t="str">
        <f t="shared" si="66"/>
        <v/>
      </c>
      <c r="Q130" s="70" t="str">
        <f t="shared" si="67"/>
        <v/>
      </c>
      <c r="S130" s="647"/>
    </row>
    <row r="131" spans="1:19">
      <c r="A131" s="32">
        <f t="shared" si="68"/>
        <v>44256</v>
      </c>
      <c r="B131" s="29"/>
      <c r="C131" s="29"/>
      <c r="D131" s="30">
        <f t="shared" ca="1" si="64"/>
        <v>0</v>
      </c>
      <c r="E131" s="30">
        <f t="shared" ca="1" si="65"/>
        <v>0</v>
      </c>
      <c r="F131" s="31"/>
      <c r="G131" s="31"/>
      <c r="H131" s="31"/>
      <c r="I131" s="47"/>
      <c r="J131" s="48"/>
      <c r="K131" s="48"/>
      <c r="L131" s="48"/>
      <c r="M131" s="48"/>
      <c r="N131" s="48"/>
      <c r="O131" s="48"/>
      <c r="P131" s="68" t="str">
        <f t="shared" si="66"/>
        <v/>
      </c>
      <c r="Q131" s="70" t="str">
        <f t="shared" si="67"/>
        <v/>
      </c>
      <c r="S131" s="647"/>
    </row>
    <row r="132" spans="1:19">
      <c r="A132" s="32">
        <f t="shared" si="68"/>
        <v>44228</v>
      </c>
      <c r="B132" s="29"/>
      <c r="C132" s="29"/>
      <c r="D132" s="30">
        <f t="shared" ca="1" si="64"/>
        <v>0</v>
      </c>
      <c r="E132" s="30">
        <f t="shared" ca="1" si="65"/>
        <v>0</v>
      </c>
      <c r="F132" s="31"/>
      <c r="G132" s="31"/>
      <c r="H132" s="31"/>
      <c r="I132" s="47"/>
      <c r="J132" s="48"/>
      <c r="K132" s="48"/>
      <c r="L132" s="48"/>
      <c r="M132" s="48"/>
      <c r="N132" s="48"/>
      <c r="O132" s="48"/>
      <c r="P132" s="68" t="str">
        <f t="shared" si="66"/>
        <v/>
      </c>
      <c r="Q132" s="70" t="str">
        <f t="shared" si="67"/>
        <v/>
      </c>
      <c r="S132" s="647"/>
    </row>
    <row r="133" spans="1:19">
      <c r="A133" s="32">
        <f t="shared" si="68"/>
        <v>44197</v>
      </c>
      <c r="B133" s="29"/>
      <c r="C133" s="29"/>
      <c r="D133" s="30">
        <f t="shared" ca="1" si="64"/>
        <v>0</v>
      </c>
      <c r="E133" s="30">
        <f t="shared" ca="1" si="65"/>
        <v>0</v>
      </c>
      <c r="F133" s="31"/>
      <c r="G133" s="31"/>
      <c r="H133" s="31"/>
      <c r="I133" s="47"/>
      <c r="J133" s="48"/>
      <c r="K133" s="48"/>
      <c r="L133" s="48"/>
      <c r="M133" s="48"/>
      <c r="N133" s="48"/>
      <c r="O133" s="48"/>
      <c r="P133" s="68" t="str">
        <f t="shared" si="66"/>
        <v/>
      </c>
      <c r="Q133" s="70" t="str">
        <f t="shared" si="67"/>
        <v/>
      </c>
      <c r="S133" s="647"/>
    </row>
    <row r="134" spans="1:19">
      <c r="A134" s="26" t="s">
        <v>194</v>
      </c>
      <c r="B134" s="33">
        <f t="shared" ref="B134:H134" si="69">SUM(B122:B133)</f>
        <v>0</v>
      </c>
      <c r="C134" s="33">
        <f t="shared" si="69"/>
        <v>0</v>
      </c>
      <c r="D134" s="33">
        <f t="shared" ca="1" si="69"/>
        <v>0</v>
      </c>
      <c r="E134" s="33">
        <f t="shared" ca="1" si="69"/>
        <v>0</v>
      </c>
      <c r="F134" s="33">
        <f t="shared" si="69"/>
        <v>0</v>
      </c>
      <c r="G134" s="33">
        <f t="shared" si="69"/>
        <v>0</v>
      </c>
      <c r="H134" s="33">
        <f t="shared" si="69"/>
        <v>0</v>
      </c>
      <c r="I134" s="33"/>
      <c r="J134" s="33" t="str">
        <f>IFERROR(AVERAGE(J122:J133),"")</f>
        <v/>
      </c>
      <c r="K134" s="33" t="str">
        <f t="shared" ref="K134:P134" si="70">IFERROR(AVERAGE(K122:K133),"")</f>
        <v/>
      </c>
      <c r="L134" s="33" t="str">
        <f t="shared" si="70"/>
        <v/>
      </c>
      <c r="M134" s="33" t="str">
        <f t="shared" si="70"/>
        <v/>
      </c>
      <c r="N134" s="33" t="str">
        <f t="shared" si="70"/>
        <v/>
      </c>
      <c r="O134" s="33" t="str">
        <f t="shared" si="70"/>
        <v/>
      </c>
      <c r="P134" s="69" t="str">
        <f t="shared" si="70"/>
        <v/>
      </c>
      <c r="Q134" s="70" t="str">
        <f t="shared" si="67"/>
        <v/>
      </c>
    </row>
    <row r="135" spans="1:19">
      <c r="A135" s="26" t="s">
        <v>373</v>
      </c>
      <c r="B135" s="33" t="str">
        <f t="shared" ref="B135:H135" si="71">IFERROR(+AVERAGE(B122:B133),"")</f>
        <v/>
      </c>
      <c r="C135" s="33" t="str">
        <f t="shared" si="71"/>
        <v/>
      </c>
      <c r="D135" s="33">
        <f t="shared" ref="D135:E135" ca="1" si="72">+AVERAGE(D122:D133)</f>
        <v>0</v>
      </c>
      <c r="E135" s="33">
        <f t="shared" ca="1" si="72"/>
        <v>0</v>
      </c>
      <c r="F135" s="33" t="str">
        <f t="shared" si="71"/>
        <v/>
      </c>
      <c r="G135" s="33" t="str">
        <f t="shared" si="71"/>
        <v/>
      </c>
      <c r="H135" s="33" t="str">
        <f t="shared" si="71"/>
        <v/>
      </c>
      <c r="I135" s="52"/>
      <c r="J135" s="52"/>
      <c r="K135" s="53"/>
      <c r="L135" s="53"/>
      <c r="M135" s="54"/>
      <c r="N135" s="53"/>
      <c r="O135" s="55"/>
      <c r="P135" s="67" t="str">
        <f>IFERROR(AVERAGE(J122:O133),"")</f>
        <v/>
      </c>
      <c r="Q135" s="67"/>
    </row>
    <row r="137" spans="1:19">
      <c r="A137" s="681" t="s">
        <v>398</v>
      </c>
      <c r="B137" s="682"/>
      <c r="C137" s="683"/>
      <c r="D137" s="684"/>
      <c r="E137" s="684"/>
      <c r="F137" s="684"/>
      <c r="G137" s="684"/>
      <c r="H137" s="684"/>
      <c r="I137" s="684"/>
      <c r="J137" s="684"/>
      <c r="K137" s="684"/>
      <c r="L137" s="684"/>
      <c r="M137" s="684"/>
      <c r="N137" s="684"/>
      <c r="O137" s="685"/>
    </row>
    <row r="138" spans="1:19">
      <c r="A138" s="686" t="s">
        <v>384</v>
      </c>
      <c r="B138" s="687"/>
      <c r="C138" s="688"/>
      <c r="D138" s="689"/>
      <c r="E138" s="689"/>
      <c r="F138" s="689"/>
      <c r="G138" s="689"/>
      <c r="H138" s="689"/>
      <c r="I138" s="689"/>
      <c r="J138" s="689"/>
      <c r="K138" s="689"/>
      <c r="L138" s="689"/>
      <c r="M138" s="689"/>
      <c r="N138" s="689"/>
      <c r="O138" s="690"/>
    </row>
    <row r="139" spans="1:19">
      <c r="A139" s="660" t="s">
        <v>385</v>
      </c>
      <c r="B139" s="661"/>
      <c r="C139" s="665"/>
      <c r="D139" s="666"/>
      <c r="E139" s="666"/>
      <c r="F139" s="666"/>
      <c r="G139" s="668"/>
      <c r="H139" s="664" t="s">
        <v>386</v>
      </c>
      <c r="I139" s="661"/>
      <c r="J139" s="691"/>
      <c r="K139" s="692"/>
      <c r="L139" s="692"/>
      <c r="M139" s="692"/>
      <c r="N139" s="692"/>
      <c r="O139" s="693"/>
    </row>
    <row r="140" spans="1:19" ht="15" customHeight="1">
      <c r="A140" s="660" t="s">
        <v>387</v>
      </c>
      <c r="B140" s="661"/>
      <c r="C140" s="662"/>
      <c r="D140" s="662"/>
      <c r="E140" s="662"/>
      <c r="F140" s="662"/>
      <c r="G140" s="663"/>
      <c r="H140" s="664" t="s">
        <v>388</v>
      </c>
      <c r="I140" s="661"/>
      <c r="J140" s="665" t="s">
        <v>389</v>
      </c>
      <c r="K140" s="666"/>
      <c r="L140" s="666"/>
      <c r="M140" s="666"/>
      <c r="N140" s="666"/>
      <c r="O140" s="667"/>
    </row>
    <row r="141" spans="1:19">
      <c r="A141" s="660" t="s">
        <v>390</v>
      </c>
      <c r="B141" s="661"/>
      <c r="C141" s="666"/>
      <c r="D141" s="666"/>
      <c r="E141" s="666"/>
      <c r="F141" s="666"/>
      <c r="G141" s="668"/>
      <c r="H141" s="664" t="str">
        <f>IF(J140="Overdraft","Limit",IF(J140="Cash Credit","Limit",""))</f>
        <v/>
      </c>
      <c r="I141" s="661"/>
      <c r="J141" s="669"/>
      <c r="K141" s="669"/>
      <c r="L141" s="669"/>
      <c r="M141" s="669"/>
      <c r="N141" s="669"/>
      <c r="O141" s="670"/>
    </row>
    <row r="142" spans="1:19" ht="32.25" customHeight="1">
      <c r="A142" s="671" t="s">
        <v>391</v>
      </c>
      <c r="B142" s="672"/>
      <c r="C142" s="673"/>
      <c r="D142" s="674"/>
      <c r="E142" s="674"/>
      <c r="F142" s="674"/>
      <c r="G142" s="675"/>
      <c r="H142" s="676"/>
      <c r="I142" s="677"/>
      <c r="J142" s="678"/>
      <c r="K142" s="679"/>
      <c r="L142" s="679"/>
      <c r="M142" s="679"/>
      <c r="N142" s="679"/>
      <c r="O142" s="680"/>
    </row>
    <row r="143" spans="1:19" ht="15" customHeight="1">
      <c r="A143" s="26" t="s">
        <v>355</v>
      </c>
      <c r="B143" s="657" t="s">
        <v>356</v>
      </c>
      <c r="C143" s="658"/>
      <c r="D143" s="657" t="s">
        <v>357</v>
      </c>
      <c r="E143" s="658"/>
      <c r="F143" s="649" t="s">
        <v>358</v>
      </c>
      <c r="G143" s="649" t="s">
        <v>359</v>
      </c>
      <c r="H143" s="649" t="s">
        <v>360</v>
      </c>
      <c r="I143" s="649" t="s">
        <v>361</v>
      </c>
      <c r="J143" s="657" t="s">
        <v>392</v>
      </c>
      <c r="K143" s="659"/>
      <c r="L143" s="659"/>
      <c r="M143" s="659"/>
      <c r="N143" s="659"/>
      <c r="O143" s="658"/>
      <c r="P143" s="655" t="s">
        <v>393</v>
      </c>
      <c r="Q143" s="648" t="str">
        <f>IF(OR(J140="Overdraft",J140="cash Credit"),"Utilisation %","")</f>
        <v/>
      </c>
    </row>
    <row r="144" spans="1:19" ht="42" customHeight="1">
      <c r="A144" s="26" t="s">
        <v>363</v>
      </c>
      <c r="B144" s="27" t="s">
        <v>364</v>
      </c>
      <c r="C144" s="27" t="s">
        <v>365</v>
      </c>
      <c r="D144" s="27" t="s">
        <v>364</v>
      </c>
      <c r="E144" s="27" t="s">
        <v>365</v>
      </c>
      <c r="F144" s="650"/>
      <c r="G144" s="650"/>
      <c r="H144" s="650"/>
      <c r="I144" s="650"/>
      <c r="J144" s="27" t="s">
        <v>366</v>
      </c>
      <c r="K144" s="27" t="s">
        <v>367</v>
      </c>
      <c r="L144" s="27" t="s">
        <v>368</v>
      </c>
      <c r="M144" s="27" t="s">
        <v>369</v>
      </c>
      <c r="N144" s="27" t="s">
        <v>370</v>
      </c>
      <c r="O144" s="27" t="s">
        <v>371</v>
      </c>
      <c r="P144" s="656"/>
      <c r="Q144" s="648"/>
      <c r="S144" s="59" t="s">
        <v>372</v>
      </c>
    </row>
    <row r="145" spans="1:19">
      <c r="A145" s="32">
        <f>$A$30</f>
        <v>44531</v>
      </c>
      <c r="B145" s="29"/>
      <c r="C145" s="29"/>
      <c r="D145" s="30">
        <f t="shared" ref="D145:D156" ca="1" si="73">IFERROR(LEN(_xlfn.FORMULATEXT(B145))-LEN(SUBSTITUTE(_xlfn.FORMULATEXT(B145),"+",""))+1,0)</f>
        <v>0</v>
      </c>
      <c r="E145" s="30">
        <f t="shared" ref="E145:E156" ca="1" si="74">IFERROR(LEN(_xlfn.FORMULATEXT(C145))-LEN(SUBSTITUTE(_xlfn.FORMULATEXT(C145),"+",""))+1,0)</f>
        <v>0</v>
      </c>
      <c r="F145" s="31"/>
      <c r="G145" s="31"/>
      <c r="H145" s="31"/>
      <c r="I145" s="47"/>
      <c r="J145" s="48"/>
      <c r="K145" s="49"/>
      <c r="L145" s="48"/>
      <c r="M145" s="48"/>
      <c r="N145" s="48"/>
      <c r="O145" s="48"/>
      <c r="P145" s="68" t="str">
        <f>IFERROR(SUM(J145:O145)/COUNT(J145:O145),"")</f>
        <v/>
      </c>
      <c r="Q145" s="70" t="str">
        <f>IFERROR(IF($J$141&lt;&gt;"",P145/$J$141,""),"")</f>
        <v/>
      </c>
      <c r="S145" s="647">
        <f>IFERROR(IF(J142="Yes",AVERAGE(J145:O150),0),"")</f>
        <v>0</v>
      </c>
    </row>
    <row r="146" spans="1:19">
      <c r="A146" s="32">
        <f>EDATE(A145,-1)</f>
        <v>44501</v>
      </c>
      <c r="B146" s="29"/>
      <c r="C146" s="29"/>
      <c r="D146" s="30">
        <f t="shared" ca="1" si="73"/>
        <v>0</v>
      </c>
      <c r="E146" s="30">
        <f t="shared" ca="1" si="74"/>
        <v>0</v>
      </c>
      <c r="F146" s="31"/>
      <c r="G146" s="31"/>
      <c r="H146" s="31"/>
      <c r="I146" s="47"/>
      <c r="J146" s="48"/>
      <c r="K146" s="48"/>
      <c r="L146" s="48"/>
      <c r="M146" s="48"/>
      <c r="N146" s="48"/>
      <c r="O146" s="48"/>
      <c r="P146" s="68" t="str">
        <f t="shared" ref="P146:P156" si="75">IFERROR(SUM(J146:O146)/COUNT(J146:O146),"")</f>
        <v/>
      </c>
      <c r="Q146" s="70" t="str">
        <f t="shared" ref="Q146:Q157" si="76">IFERROR(IF($J$141&lt;&gt;"",P146/$J$141,""),"")</f>
        <v/>
      </c>
      <c r="S146" s="647"/>
    </row>
    <row r="147" spans="1:19">
      <c r="A147" s="32">
        <f t="shared" ref="A147:A156" si="77">EDATE(A146,-1)</f>
        <v>44470</v>
      </c>
      <c r="B147" s="29"/>
      <c r="C147" s="29"/>
      <c r="D147" s="30">
        <f t="shared" ca="1" si="73"/>
        <v>0</v>
      </c>
      <c r="E147" s="30">
        <f t="shared" ca="1" si="74"/>
        <v>0</v>
      </c>
      <c r="F147" s="31"/>
      <c r="G147" s="31"/>
      <c r="H147" s="31"/>
      <c r="I147" s="47"/>
      <c r="J147" s="48"/>
      <c r="K147" s="48"/>
      <c r="L147" s="48"/>
      <c r="M147" s="48"/>
      <c r="N147" s="48"/>
      <c r="O147" s="48"/>
      <c r="P147" s="68" t="str">
        <f t="shared" si="75"/>
        <v/>
      </c>
      <c r="Q147" s="70" t="str">
        <f t="shared" si="76"/>
        <v/>
      </c>
      <c r="S147" s="647"/>
    </row>
    <row r="148" spans="1:19">
      <c r="A148" s="32">
        <f t="shared" si="77"/>
        <v>44440</v>
      </c>
      <c r="B148" s="29"/>
      <c r="C148" s="29"/>
      <c r="D148" s="30">
        <f t="shared" ca="1" si="73"/>
        <v>0</v>
      </c>
      <c r="E148" s="30">
        <f t="shared" ca="1" si="74"/>
        <v>0</v>
      </c>
      <c r="F148" s="31"/>
      <c r="G148" s="31"/>
      <c r="H148" s="31"/>
      <c r="I148" s="47"/>
      <c r="J148" s="48"/>
      <c r="K148" s="48"/>
      <c r="L148" s="48"/>
      <c r="M148" s="48"/>
      <c r="N148" s="48"/>
      <c r="O148" s="48"/>
      <c r="P148" s="68" t="str">
        <f t="shared" si="75"/>
        <v/>
      </c>
      <c r="Q148" s="70" t="str">
        <f t="shared" si="76"/>
        <v/>
      </c>
      <c r="S148" s="647"/>
    </row>
    <row r="149" spans="1:19">
      <c r="A149" s="32">
        <f t="shared" si="77"/>
        <v>44409</v>
      </c>
      <c r="B149" s="29"/>
      <c r="C149" s="29"/>
      <c r="D149" s="30">
        <f t="shared" ca="1" si="73"/>
        <v>0</v>
      </c>
      <c r="E149" s="30">
        <f t="shared" ca="1" si="74"/>
        <v>0</v>
      </c>
      <c r="F149" s="31"/>
      <c r="G149" s="31"/>
      <c r="H149" s="31"/>
      <c r="I149" s="47"/>
      <c r="J149" s="48"/>
      <c r="K149" s="48"/>
      <c r="L149" s="48"/>
      <c r="M149" s="48"/>
      <c r="N149" s="48"/>
      <c r="O149" s="48"/>
      <c r="P149" s="68" t="str">
        <f t="shared" si="75"/>
        <v/>
      </c>
      <c r="Q149" s="70" t="str">
        <f t="shared" si="76"/>
        <v/>
      </c>
      <c r="S149" s="647"/>
    </row>
    <row r="150" spans="1:19">
      <c r="A150" s="32">
        <f t="shared" si="77"/>
        <v>44378</v>
      </c>
      <c r="B150" s="29"/>
      <c r="C150" s="29"/>
      <c r="D150" s="30">
        <f t="shared" ca="1" si="73"/>
        <v>0</v>
      </c>
      <c r="E150" s="30">
        <f t="shared" ca="1" si="74"/>
        <v>0</v>
      </c>
      <c r="F150" s="31"/>
      <c r="G150" s="31"/>
      <c r="H150" s="31"/>
      <c r="I150" s="47"/>
      <c r="J150" s="48"/>
      <c r="K150" s="48"/>
      <c r="L150" s="48"/>
      <c r="M150" s="48"/>
      <c r="N150" s="48"/>
      <c r="O150" s="48"/>
      <c r="P150" s="68" t="str">
        <f t="shared" si="75"/>
        <v/>
      </c>
      <c r="Q150" s="70" t="str">
        <f t="shared" si="76"/>
        <v/>
      </c>
      <c r="S150" s="647"/>
    </row>
    <row r="151" spans="1:19">
      <c r="A151" s="32">
        <f t="shared" si="77"/>
        <v>44348</v>
      </c>
      <c r="B151" s="29"/>
      <c r="C151" s="29"/>
      <c r="D151" s="30">
        <f t="shared" ca="1" si="73"/>
        <v>0</v>
      </c>
      <c r="E151" s="30">
        <f t="shared" ca="1" si="74"/>
        <v>0</v>
      </c>
      <c r="F151" s="31"/>
      <c r="G151" s="31"/>
      <c r="H151" s="31"/>
      <c r="I151" s="47"/>
      <c r="J151" s="48"/>
      <c r="K151" s="48"/>
      <c r="L151" s="48"/>
      <c r="M151" s="48"/>
      <c r="N151" s="48"/>
      <c r="O151" s="48"/>
      <c r="P151" s="68" t="str">
        <f t="shared" si="75"/>
        <v/>
      </c>
      <c r="Q151" s="70" t="str">
        <f t="shared" si="76"/>
        <v/>
      </c>
      <c r="S151" s="647">
        <f>IFERROR(IF(J142="Yes",AVERAGE(J145:O156),0),"")</f>
        <v>0</v>
      </c>
    </row>
    <row r="152" spans="1:19">
      <c r="A152" s="32">
        <f t="shared" si="77"/>
        <v>44317</v>
      </c>
      <c r="B152" s="29"/>
      <c r="C152" s="29"/>
      <c r="D152" s="30">
        <f t="shared" ca="1" si="73"/>
        <v>0</v>
      </c>
      <c r="E152" s="30">
        <f t="shared" ca="1" si="74"/>
        <v>0</v>
      </c>
      <c r="F152" s="31"/>
      <c r="G152" s="31"/>
      <c r="H152" s="31"/>
      <c r="I152" s="47"/>
      <c r="J152" s="48"/>
      <c r="K152" s="48"/>
      <c r="L152" s="48"/>
      <c r="M152" s="48"/>
      <c r="N152" s="48"/>
      <c r="O152" s="48"/>
      <c r="P152" s="68" t="str">
        <f t="shared" si="75"/>
        <v/>
      </c>
      <c r="Q152" s="70" t="str">
        <f t="shared" si="76"/>
        <v/>
      </c>
      <c r="S152" s="647"/>
    </row>
    <row r="153" spans="1:19">
      <c r="A153" s="32">
        <f t="shared" si="77"/>
        <v>44287</v>
      </c>
      <c r="B153" s="29"/>
      <c r="C153" s="29"/>
      <c r="D153" s="30">
        <f t="shared" ca="1" si="73"/>
        <v>0</v>
      </c>
      <c r="E153" s="30">
        <f t="shared" ca="1" si="74"/>
        <v>0</v>
      </c>
      <c r="F153" s="31"/>
      <c r="G153" s="31"/>
      <c r="H153" s="31"/>
      <c r="I153" s="47"/>
      <c r="J153" s="48"/>
      <c r="K153" s="48"/>
      <c r="L153" s="48"/>
      <c r="M153" s="48"/>
      <c r="N153" s="48"/>
      <c r="O153" s="48"/>
      <c r="P153" s="68" t="str">
        <f t="shared" si="75"/>
        <v/>
      </c>
      <c r="Q153" s="70" t="str">
        <f t="shared" si="76"/>
        <v/>
      </c>
      <c r="S153" s="647"/>
    </row>
    <row r="154" spans="1:19">
      <c r="A154" s="32">
        <f t="shared" si="77"/>
        <v>44256</v>
      </c>
      <c r="B154" s="29"/>
      <c r="C154" s="29"/>
      <c r="D154" s="30">
        <f t="shared" ca="1" si="73"/>
        <v>0</v>
      </c>
      <c r="E154" s="30">
        <f t="shared" ca="1" si="74"/>
        <v>0</v>
      </c>
      <c r="F154" s="31"/>
      <c r="G154" s="31"/>
      <c r="H154" s="31"/>
      <c r="I154" s="47"/>
      <c r="J154" s="48"/>
      <c r="K154" s="48"/>
      <c r="L154" s="48"/>
      <c r="M154" s="48"/>
      <c r="N154" s="48"/>
      <c r="O154" s="48"/>
      <c r="P154" s="68" t="str">
        <f t="shared" si="75"/>
        <v/>
      </c>
      <c r="Q154" s="70" t="str">
        <f t="shared" si="76"/>
        <v/>
      </c>
      <c r="S154" s="647"/>
    </row>
    <row r="155" spans="1:19">
      <c r="A155" s="32">
        <f t="shared" si="77"/>
        <v>44228</v>
      </c>
      <c r="B155" s="29"/>
      <c r="C155" s="29"/>
      <c r="D155" s="30">
        <f t="shared" ca="1" si="73"/>
        <v>0</v>
      </c>
      <c r="E155" s="30">
        <f t="shared" ca="1" si="74"/>
        <v>0</v>
      </c>
      <c r="F155" s="31"/>
      <c r="G155" s="31"/>
      <c r="H155" s="31"/>
      <c r="I155" s="47"/>
      <c r="J155" s="48"/>
      <c r="K155" s="48"/>
      <c r="L155" s="48"/>
      <c r="M155" s="48"/>
      <c r="N155" s="48"/>
      <c r="O155" s="48"/>
      <c r="P155" s="68" t="str">
        <f t="shared" si="75"/>
        <v/>
      </c>
      <c r="Q155" s="70" t="str">
        <f t="shared" si="76"/>
        <v/>
      </c>
      <c r="S155" s="647"/>
    </row>
    <row r="156" spans="1:19">
      <c r="A156" s="32">
        <f t="shared" si="77"/>
        <v>44197</v>
      </c>
      <c r="B156" s="29"/>
      <c r="C156" s="29"/>
      <c r="D156" s="30">
        <f t="shared" ca="1" si="73"/>
        <v>0</v>
      </c>
      <c r="E156" s="30">
        <f t="shared" ca="1" si="74"/>
        <v>0</v>
      </c>
      <c r="F156" s="31"/>
      <c r="G156" s="31"/>
      <c r="H156" s="31"/>
      <c r="I156" s="47"/>
      <c r="J156" s="48"/>
      <c r="K156" s="48"/>
      <c r="L156" s="48"/>
      <c r="M156" s="48"/>
      <c r="N156" s="48"/>
      <c r="O156" s="48"/>
      <c r="P156" s="68" t="str">
        <f t="shared" si="75"/>
        <v/>
      </c>
      <c r="Q156" s="70" t="str">
        <f t="shared" si="76"/>
        <v/>
      </c>
      <c r="S156" s="647"/>
    </row>
    <row r="157" spans="1:19">
      <c r="A157" s="26" t="s">
        <v>194</v>
      </c>
      <c r="B157" s="33">
        <f t="shared" ref="B157:H157" si="78">SUM(B145:B156)</f>
        <v>0</v>
      </c>
      <c r="C157" s="33">
        <f t="shared" si="78"/>
        <v>0</v>
      </c>
      <c r="D157" s="33">
        <f t="shared" ca="1" si="78"/>
        <v>0</v>
      </c>
      <c r="E157" s="33">
        <f t="shared" ca="1" si="78"/>
        <v>0</v>
      </c>
      <c r="F157" s="33">
        <f t="shared" si="78"/>
        <v>0</v>
      </c>
      <c r="G157" s="33">
        <f t="shared" si="78"/>
        <v>0</v>
      </c>
      <c r="H157" s="33">
        <f t="shared" si="78"/>
        <v>0</v>
      </c>
      <c r="I157" s="33"/>
      <c r="J157" s="33" t="str">
        <f t="shared" ref="J157:P157" si="79">IFERROR(AVERAGE(J145:J156),"")</f>
        <v/>
      </c>
      <c r="K157" s="33" t="str">
        <f t="shared" si="79"/>
        <v/>
      </c>
      <c r="L157" s="33" t="str">
        <f t="shared" si="79"/>
        <v/>
      </c>
      <c r="M157" s="33" t="str">
        <f t="shared" si="79"/>
        <v/>
      </c>
      <c r="N157" s="33" t="str">
        <f t="shared" si="79"/>
        <v/>
      </c>
      <c r="O157" s="33" t="str">
        <f t="shared" si="79"/>
        <v/>
      </c>
      <c r="P157" s="69" t="str">
        <f t="shared" si="79"/>
        <v/>
      </c>
      <c r="Q157" s="70" t="str">
        <f t="shared" si="76"/>
        <v/>
      </c>
    </row>
    <row r="158" spans="1:19">
      <c r="A158" s="26" t="s">
        <v>373</v>
      </c>
      <c r="B158" s="33" t="str">
        <f t="shared" ref="B158:H158" si="80">IFERROR(+AVERAGE(B145:B156),"")</f>
        <v/>
      </c>
      <c r="C158" s="33" t="str">
        <f t="shared" si="80"/>
        <v/>
      </c>
      <c r="D158" s="33">
        <f t="shared" ref="D158:E158" ca="1" si="81">+AVERAGE(D145:D156)</f>
        <v>0</v>
      </c>
      <c r="E158" s="33">
        <f t="shared" ca="1" si="81"/>
        <v>0</v>
      </c>
      <c r="F158" s="33" t="str">
        <f t="shared" si="80"/>
        <v/>
      </c>
      <c r="G158" s="33" t="str">
        <f t="shared" si="80"/>
        <v/>
      </c>
      <c r="H158" s="33" t="str">
        <f t="shared" si="80"/>
        <v/>
      </c>
      <c r="I158" s="52"/>
      <c r="J158" s="52"/>
      <c r="K158" s="53"/>
      <c r="L158" s="53"/>
      <c r="M158" s="54"/>
      <c r="N158" s="53"/>
      <c r="O158" s="55"/>
      <c r="P158" s="67" t="str">
        <f>IFERROR(AVERAGE(J145:O156),"")</f>
        <v/>
      </c>
      <c r="Q158" s="67"/>
    </row>
    <row r="160" spans="1:19">
      <c r="A160" s="681" t="s">
        <v>399</v>
      </c>
      <c r="B160" s="682"/>
      <c r="C160" s="683"/>
      <c r="D160" s="684"/>
      <c r="E160" s="684"/>
      <c r="F160" s="684"/>
      <c r="G160" s="684"/>
      <c r="H160" s="684"/>
      <c r="I160" s="684"/>
      <c r="J160" s="684"/>
      <c r="K160" s="684"/>
      <c r="L160" s="684"/>
      <c r="M160" s="684"/>
      <c r="N160" s="684"/>
      <c r="O160" s="685"/>
    </row>
    <row r="161" spans="1:19">
      <c r="A161" s="686" t="s">
        <v>384</v>
      </c>
      <c r="B161" s="687"/>
      <c r="C161" s="688"/>
      <c r="D161" s="689"/>
      <c r="E161" s="689"/>
      <c r="F161" s="689"/>
      <c r="G161" s="689"/>
      <c r="H161" s="689"/>
      <c r="I161" s="689"/>
      <c r="J161" s="689"/>
      <c r="K161" s="689"/>
      <c r="L161" s="689"/>
      <c r="M161" s="689"/>
      <c r="N161" s="689"/>
      <c r="O161" s="690"/>
    </row>
    <row r="162" spans="1:19">
      <c r="A162" s="660" t="s">
        <v>385</v>
      </c>
      <c r="B162" s="661"/>
      <c r="C162" s="665"/>
      <c r="D162" s="666"/>
      <c r="E162" s="666"/>
      <c r="F162" s="666"/>
      <c r="G162" s="668"/>
      <c r="H162" s="664" t="s">
        <v>386</v>
      </c>
      <c r="I162" s="661"/>
      <c r="J162" s="691"/>
      <c r="K162" s="692"/>
      <c r="L162" s="692"/>
      <c r="M162" s="692"/>
      <c r="N162" s="692"/>
      <c r="O162" s="693"/>
    </row>
    <row r="163" spans="1:19" ht="15" customHeight="1">
      <c r="A163" s="660" t="s">
        <v>387</v>
      </c>
      <c r="B163" s="661"/>
      <c r="C163" s="662"/>
      <c r="D163" s="662"/>
      <c r="E163" s="662"/>
      <c r="F163" s="662"/>
      <c r="G163" s="663"/>
      <c r="H163" s="664" t="s">
        <v>388</v>
      </c>
      <c r="I163" s="661"/>
      <c r="J163" s="665" t="s">
        <v>389</v>
      </c>
      <c r="K163" s="666"/>
      <c r="L163" s="666"/>
      <c r="M163" s="666"/>
      <c r="N163" s="666"/>
      <c r="O163" s="667"/>
    </row>
    <row r="164" spans="1:19">
      <c r="A164" s="660" t="s">
        <v>390</v>
      </c>
      <c r="B164" s="661"/>
      <c r="C164" s="666"/>
      <c r="D164" s="666"/>
      <c r="E164" s="666"/>
      <c r="F164" s="666"/>
      <c r="G164" s="668"/>
      <c r="H164" s="664" t="str">
        <f>IF(J163="Overdraft","Limit",IF(J163="Cash Credit","Limit",""))</f>
        <v/>
      </c>
      <c r="I164" s="661"/>
      <c r="J164" s="669"/>
      <c r="K164" s="669"/>
      <c r="L164" s="669"/>
      <c r="M164" s="669"/>
      <c r="N164" s="669"/>
      <c r="O164" s="670"/>
    </row>
    <row r="165" spans="1:19" ht="32.25" customHeight="1">
      <c r="A165" s="671" t="s">
        <v>391</v>
      </c>
      <c r="B165" s="672"/>
      <c r="C165" s="673"/>
      <c r="D165" s="674"/>
      <c r="E165" s="674"/>
      <c r="F165" s="674"/>
      <c r="G165" s="675"/>
      <c r="H165" s="676"/>
      <c r="I165" s="677"/>
      <c r="J165" s="678"/>
      <c r="K165" s="679"/>
      <c r="L165" s="679"/>
      <c r="M165" s="679"/>
      <c r="N165" s="679"/>
      <c r="O165" s="680"/>
    </row>
    <row r="166" spans="1:19" ht="15" customHeight="1">
      <c r="A166" s="26" t="s">
        <v>355</v>
      </c>
      <c r="B166" s="657" t="s">
        <v>356</v>
      </c>
      <c r="C166" s="658"/>
      <c r="D166" s="657" t="s">
        <v>357</v>
      </c>
      <c r="E166" s="658"/>
      <c r="F166" s="649" t="s">
        <v>358</v>
      </c>
      <c r="G166" s="649" t="s">
        <v>359</v>
      </c>
      <c r="H166" s="649" t="s">
        <v>360</v>
      </c>
      <c r="I166" s="649" t="s">
        <v>361</v>
      </c>
      <c r="J166" s="657" t="s">
        <v>392</v>
      </c>
      <c r="K166" s="659"/>
      <c r="L166" s="659"/>
      <c r="M166" s="659"/>
      <c r="N166" s="659"/>
      <c r="O166" s="658"/>
      <c r="P166" s="655" t="s">
        <v>393</v>
      </c>
      <c r="Q166" s="648" t="str">
        <f>IF(OR(J163="Overdraft",J163="cash Credit"),"Utilisation %","")</f>
        <v/>
      </c>
    </row>
    <row r="167" spans="1:19" ht="42" customHeight="1">
      <c r="A167" s="26" t="s">
        <v>363</v>
      </c>
      <c r="B167" s="27" t="s">
        <v>364</v>
      </c>
      <c r="C167" s="27" t="s">
        <v>365</v>
      </c>
      <c r="D167" s="27" t="s">
        <v>364</v>
      </c>
      <c r="E167" s="27" t="s">
        <v>365</v>
      </c>
      <c r="F167" s="650"/>
      <c r="G167" s="650"/>
      <c r="H167" s="650"/>
      <c r="I167" s="650"/>
      <c r="J167" s="27" t="s">
        <v>366</v>
      </c>
      <c r="K167" s="27" t="s">
        <v>367</v>
      </c>
      <c r="L167" s="27" t="s">
        <v>368</v>
      </c>
      <c r="M167" s="27" t="s">
        <v>369</v>
      </c>
      <c r="N167" s="27" t="s">
        <v>370</v>
      </c>
      <c r="O167" s="27" t="s">
        <v>371</v>
      </c>
      <c r="P167" s="656"/>
      <c r="Q167" s="648"/>
      <c r="S167" s="59" t="s">
        <v>372</v>
      </c>
    </row>
    <row r="168" spans="1:19">
      <c r="A168" s="32">
        <f>$A$30</f>
        <v>44531</v>
      </c>
      <c r="B168" s="29"/>
      <c r="C168" s="29"/>
      <c r="D168" s="30">
        <f t="shared" ref="D168:D179" ca="1" si="82">IFERROR(LEN(_xlfn.FORMULATEXT(B168))-LEN(SUBSTITUTE(_xlfn.FORMULATEXT(B168),"+",""))+1,0)</f>
        <v>0</v>
      </c>
      <c r="E168" s="30">
        <f t="shared" ref="E168:E179" ca="1" si="83">IFERROR(LEN(_xlfn.FORMULATEXT(C168))-LEN(SUBSTITUTE(_xlfn.FORMULATEXT(C168),"+",""))+1,0)</f>
        <v>0</v>
      </c>
      <c r="F168" s="31"/>
      <c r="G168" s="31"/>
      <c r="H168" s="31"/>
      <c r="I168" s="47"/>
      <c r="J168" s="48"/>
      <c r="K168" s="49"/>
      <c r="L168" s="48"/>
      <c r="M168" s="48"/>
      <c r="N168" s="48"/>
      <c r="O168" s="48"/>
      <c r="P168" s="68" t="str">
        <f>IFERROR(SUM(J168:O168)/COUNT(J168:O168),"")</f>
        <v/>
      </c>
      <c r="Q168" s="70" t="str">
        <f>IFERROR(IF($J$164&lt;&gt;"",P168/$J$164,""),"")</f>
        <v/>
      </c>
      <c r="S168" s="647">
        <f>IFERROR(IF(J165="Yes",AVERAGE(J168:O173),0),"")</f>
        <v>0</v>
      </c>
    </row>
    <row r="169" spans="1:19">
      <c r="A169" s="32">
        <f>EDATE(A168,-1)</f>
        <v>44501</v>
      </c>
      <c r="B169" s="29"/>
      <c r="C169" s="29"/>
      <c r="D169" s="30">
        <f t="shared" ca="1" si="82"/>
        <v>0</v>
      </c>
      <c r="E169" s="30">
        <f t="shared" ca="1" si="83"/>
        <v>0</v>
      </c>
      <c r="F169" s="31"/>
      <c r="G169" s="31"/>
      <c r="H169" s="31"/>
      <c r="I169" s="47"/>
      <c r="J169" s="48"/>
      <c r="K169" s="48"/>
      <c r="L169" s="48"/>
      <c r="M169" s="48"/>
      <c r="N169" s="48"/>
      <c r="O169" s="48"/>
      <c r="P169" s="68" t="str">
        <f t="shared" ref="P169:P179" si="84">IFERROR(SUM(J169:O169)/COUNT(J169:O169),"")</f>
        <v/>
      </c>
      <c r="Q169" s="70" t="str">
        <f t="shared" ref="Q169:Q180" si="85">IFERROR(IF($J$164&lt;&gt;"",P169/$J$164,""),"")</f>
        <v/>
      </c>
      <c r="S169" s="647"/>
    </row>
    <row r="170" spans="1:19">
      <c r="A170" s="32">
        <f t="shared" ref="A170:A179" si="86">EDATE(A169,-1)</f>
        <v>44470</v>
      </c>
      <c r="B170" s="29"/>
      <c r="C170" s="29"/>
      <c r="D170" s="30">
        <f t="shared" ca="1" si="82"/>
        <v>0</v>
      </c>
      <c r="E170" s="30">
        <f t="shared" ca="1" si="83"/>
        <v>0</v>
      </c>
      <c r="F170" s="31"/>
      <c r="G170" s="31"/>
      <c r="H170" s="31"/>
      <c r="I170" s="47"/>
      <c r="J170" s="48"/>
      <c r="K170" s="48"/>
      <c r="L170" s="48"/>
      <c r="M170" s="48"/>
      <c r="N170" s="48"/>
      <c r="O170" s="48"/>
      <c r="P170" s="68" t="str">
        <f t="shared" si="84"/>
        <v/>
      </c>
      <c r="Q170" s="70" t="str">
        <f t="shared" si="85"/>
        <v/>
      </c>
      <c r="S170" s="647"/>
    </row>
    <row r="171" spans="1:19">
      <c r="A171" s="32">
        <f t="shared" si="86"/>
        <v>44440</v>
      </c>
      <c r="B171" s="29"/>
      <c r="C171" s="29"/>
      <c r="D171" s="30">
        <f t="shared" ca="1" si="82"/>
        <v>0</v>
      </c>
      <c r="E171" s="30">
        <f t="shared" ca="1" si="83"/>
        <v>0</v>
      </c>
      <c r="F171" s="31"/>
      <c r="G171" s="31"/>
      <c r="H171" s="31"/>
      <c r="I171" s="47"/>
      <c r="J171" s="48"/>
      <c r="K171" s="48"/>
      <c r="L171" s="48"/>
      <c r="M171" s="48"/>
      <c r="N171" s="48"/>
      <c r="O171" s="48"/>
      <c r="P171" s="68" t="str">
        <f t="shared" si="84"/>
        <v/>
      </c>
      <c r="Q171" s="70" t="str">
        <f t="shared" si="85"/>
        <v/>
      </c>
      <c r="S171" s="647"/>
    </row>
    <row r="172" spans="1:19">
      <c r="A172" s="32">
        <f t="shared" si="86"/>
        <v>44409</v>
      </c>
      <c r="B172" s="29"/>
      <c r="C172" s="29"/>
      <c r="D172" s="30">
        <f t="shared" ca="1" si="82"/>
        <v>0</v>
      </c>
      <c r="E172" s="30">
        <f t="shared" ca="1" si="83"/>
        <v>0</v>
      </c>
      <c r="F172" s="31"/>
      <c r="G172" s="31"/>
      <c r="H172" s="31"/>
      <c r="I172" s="47"/>
      <c r="J172" s="48"/>
      <c r="K172" s="48"/>
      <c r="L172" s="48"/>
      <c r="M172" s="48"/>
      <c r="N172" s="48"/>
      <c r="O172" s="48"/>
      <c r="P172" s="68" t="str">
        <f t="shared" si="84"/>
        <v/>
      </c>
      <c r="Q172" s="70" t="str">
        <f t="shared" si="85"/>
        <v/>
      </c>
      <c r="S172" s="647"/>
    </row>
    <row r="173" spans="1:19">
      <c r="A173" s="32">
        <f t="shared" si="86"/>
        <v>44378</v>
      </c>
      <c r="B173" s="29"/>
      <c r="C173" s="29"/>
      <c r="D173" s="30">
        <f t="shared" ca="1" si="82"/>
        <v>0</v>
      </c>
      <c r="E173" s="30">
        <f t="shared" ca="1" si="83"/>
        <v>0</v>
      </c>
      <c r="F173" s="31"/>
      <c r="G173" s="31"/>
      <c r="H173" s="31"/>
      <c r="I173" s="47"/>
      <c r="J173" s="48"/>
      <c r="K173" s="48"/>
      <c r="L173" s="48"/>
      <c r="M173" s="48"/>
      <c r="N173" s="48"/>
      <c r="O173" s="48"/>
      <c r="P173" s="68" t="str">
        <f t="shared" si="84"/>
        <v/>
      </c>
      <c r="Q173" s="70" t="str">
        <f t="shared" si="85"/>
        <v/>
      </c>
      <c r="S173" s="647"/>
    </row>
    <row r="174" spans="1:19">
      <c r="A174" s="32">
        <f t="shared" si="86"/>
        <v>44348</v>
      </c>
      <c r="B174" s="29"/>
      <c r="C174" s="29"/>
      <c r="D174" s="30">
        <f t="shared" ca="1" si="82"/>
        <v>0</v>
      </c>
      <c r="E174" s="30">
        <f t="shared" ca="1" si="83"/>
        <v>0</v>
      </c>
      <c r="F174" s="31"/>
      <c r="G174" s="31"/>
      <c r="H174" s="31"/>
      <c r="I174" s="47"/>
      <c r="J174" s="48"/>
      <c r="K174" s="48"/>
      <c r="L174" s="48"/>
      <c r="M174" s="48"/>
      <c r="N174" s="48"/>
      <c r="O174" s="48"/>
      <c r="P174" s="68" t="str">
        <f t="shared" si="84"/>
        <v/>
      </c>
      <c r="Q174" s="70" t="str">
        <f t="shared" si="85"/>
        <v/>
      </c>
      <c r="S174" s="647">
        <f>IFERROR(IF(J165="Yes",AVERAGE(J168:O179),0),"")</f>
        <v>0</v>
      </c>
    </row>
    <row r="175" spans="1:19">
      <c r="A175" s="32">
        <f t="shared" si="86"/>
        <v>44317</v>
      </c>
      <c r="B175" s="29"/>
      <c r="C175" s="29"/>
      <c r="D175" s="30">
        <f t="shared" ca="1" si="82"/>
        <v>0</v>
      </c>
      <c r="E175" s="30">
        <f t="shared" ca="1" si="83"/>
        <v>0</v>
      </c>
      <c r="F175" s="31"/>
      <c r="G175" s="31"/>
      <c r="H175" s="31"/>
      <c r="I175" s="47"/>
      <c r="J175" s="48"/>
      <c r="K175" s="48"/>
      <c r="L175" s="48"/>
      <c r="M175" s="48"/>
      <c r="N175" s="48"/>
      <c r="O175" s="48"/>
      <c r="P175" s="68" t="str">
        <f t="shared" si="84"/>
        <v/>
      </c>
      <c r="Q175" s="70" t="str">
        <f t="shared" si="85"/>
        <v/>
      </c>
      <c r="S175" s="647"/>
    </row>
    <row r="176" spans="1:19">
      <c r="A176" s="32">
        <f t="shared" si="86"/>
        <v>44287</v>
      </c>
      <c r="B176" s="29"/>
      <c r="C176" s="29"/>
      <c r="D176" s="30">
        <f t="shared" ca="1" si="82"/>
        <v>0</v>
      </c>
      <c r="E176" s="30">
        <f t="shared" ca="1" si="83"/>
        <v>0</v>
      </c>
      <c r="F176" s="31"/>
      <c r="G176" s="31"/>
      <c r="H176" s="31"/>
      <c r="I176" s="47"/>
      <c r="J176" s="48"/>
      <c r="K176" s="48"/>
      <c r="L176" s="48"/>
      <c r="M176" s="48"/>
      <c r="N176" s="48"/>
      <c r="O176" s="48"/>
      <c r="P176" s="68" t="str">
        <f t="shared" si="84"/>
        <v/>
      </c>
      <c r="Q176" s="70" t="str">
        <f t="shared" si="85"/>
        <v/>
      </c>
      <c r="S176" s="647"/>
    </row>
    <row r="177" spans="1:19">
      <c r="A177" s="32">
        <f t="shared" si="86"/>
        <v>44256</v>
      </c>
      <c r="B177" s="29"/>
      <c r="C177" s="29"/>
      <c r="D177" s="30">
        <f t="shared" ca="1" si="82"/>
        <v>0</v>
      </c>
      <c r="E177" s="30">
        <f t="shared" ca="1" si="83"/>
        <v>0</v>
      </c>
      <c r="F177" s="31"/>
      <c r="G177" s="31"/>
      <c r="H177" s="31"/>
      <c r="I177" s="47"/>
      <c r="J177" s="48"/>
      <c r="K177" s="48"/>
      <c r="L177" s="48"/>
      <c r="M177" s="48"/>
      <c r="N177" s="48"/>
      <c r="O177" s="48"/>
      <c r="P177" s="68" t="str">
        <f t="shared" si="84"/>
        <v/>
      </c>
      <c r="Q177" s="70" t="str">
        <f t="shared" si="85"/>
        <v/>
      </c>
      <c r="S177" s="647"/>
    </row>
    <row r="178" spans="1:19">
      <c r="A178" s="32">
        <f t="shared" si="86"/>
        <v>44228</v>
      </c>
      <c r="B178" s="29"/>
      <c r="C178" s="29"/>
      <c r="D178" s="30">
        <f t="shared" ca="1" si="82"/>
        <v>0</v>
      </c>
      <c r="E178" s="30">
        <f t="shared" ca="1" si="83"/>
        <v>0</v>
      </c>
      <c r="F178" s="31"/>
      <c r="G178" s="31"/>
      <c r="H178" s="31"/>
      <c r="I178" s="47"/>
      <c r="J178" s="48"/>
      <c r="K178" s="48"/>
      <c r="L178" s="48"/>
      <c r="M178" s="48"/>
      <c r="N178" s="48"/>
      <c r="O178" s="48"/>
      <c r="P178" s="68" t="str">
        <f t="shared" si="84"/>
        <v/>
      </c>
      <c r="Q178" s="70" t="str">
        <f t="shared" si="85"/>
        <v/>
      </c>
      <c r="S178" s="647"/>
    </row>
    <row r="179" spans="1:19">
      <c r="A179" s="32">
        <f t="shared" si="86"/>
        <v>44197</v>
      </c>
      <c r="B179" s="29"/>
      <c r="C179" s="29"/>
      <c r="D179" s="30">
        <f t="shared" ca="1" si="82"/>
        <v>0</v>
      </c>
      <c r="E179" s="30">
        <f t="shared" ca="1" si="83"/>
        <v>0</v>
      </c>
      <c r="F179" s="31"/>
      <c r="G179" s="31"/>
      <c r="H179" s="31"/>
      <c r="I179" s="47"/>
      <c r="J179" s="48"/>
      <c r="K179" s="48"/>
      <c r="L179" s="48"/>
      <c r="M179" s="48"/>
      <c r="N179" s="48"/>
      <c r="O179" s="48"/>
      <c r="P179" s="68" t="str">
        <f t="shared" si="84"/>
        <v/>
      </c>
      <c r="Q179" s="70" t="str">
        <f t="shared" si="85"/>
        <v/>
      </c>
      <c r="S179" s="647"/>
    </row>
    <row r="180" spans="1:19">
      <c r="A180" s="26" t="s">
        <v>194</v>
      </c>
      <c r="B180" s="33">
        <f t="shared" ref="B180:H180" si="87">SUM(B168:B179)</f>
        <v>0</v>
      </c>
      <c r="C180" s="33">
        <f t="shared" si="87"/>
        <v>0</v>
      </c>
      <c r="D180" s="33">
        <f t="shared" ca="1" si="87"/>
        <v>0</v>
      </c>
      <c r="E180" s="33">
        <f t="shared" ca="1" si="87"/>
        <v>0</v>
      </c>
      <c r="F180" s="33">
        <f t="shared" si="87"/>
        <v>0</v>
      </c>
      <c r="G180" s="33">
        <f t="shared" si="87"/>
        <v>0</v>
      </c>
      <c r="H180" s="33">
        <f t="shared" si="87"/>
        <v>0</v>
      </c>
      <c r="I180" s="33"/>
      <c r="J180" s="33" t="str">
        <f t="shared" ref="J180:P180" si="88">IFERROR(AVERAGE(J168:J179),"")</f>
        <v/>
      </c>
      <c r="K180" s="33" t="str">
        <f t="shared" si="88"/>
        <v/>
      </c>
      <c r="L180" s="33" t="str">
        <f t="shared" si="88"/>
        <v/>
      </c>
      <c r="M180" s="33" t="str">
        <f t="shared" si="88"/>
        <v/>
      </c>
      <c r="N180" s="33" t="str">
        <f t="shared" si="88"/>
        <v/>
      </c>
      <c r="O180" s="33" t="str">
        <f t="shared" si="88"/>
        <v/>
      </c>
      <c r="P180" s="69" t="str">
        <f t="shared" si="88"/>
        <v/>
      </c>
      <c r="Q180" s="70" t="str">
        <f t="shared" si="85"/>
        <v/>
      </c>
    </row>
    <row r="181" spans="1:19">
      <c r="A181" s="26" t="s">
        <v>373</v>
      </c>
      <c r="B181" s="33" t="str">
        <f t="shared" ref="B181:H181" si="89">IFERROR(+AVERAGE(B168:B179),"")</f>
        <v/>
      </c>
      <c r="C181" s="33" t="str">
        <f t="shared" si="89"/>
        <v/>
      </c>
      <c r="D181" s="33">
        <f t="shared" ref="D181:E181" ca="1" si="90">+AVERAGE(D168:D179)</f>
        <v>0</v>
      </c>
      <c r="E181" s="33">
        <f t="shared" ca="1" si="90"/>
        <v>0</v>
      </c>
      <c r="F181" s="33" t="str">
        <f t="shared" si="89"/>
        <v/>
      </c>
      <c r="G181" s="33" t="str">
        <f t="shared" si="89"/>
        <v/>
      </c>
      <c r="H181" s="33" t="str">
        <f t="shared" si="89"/>
        <v/>
      </c>
      <c r="I181" s="52"/>
      <c r="J181" s="52"/>
      <c r="K181" s="53"/>
      <c r="L181" s="53"/>
      <c r="M181" s="54"/>
      <c r="N181" s="53"/>
      <c r="O181" s="55"/>
      <c r="P181" s="67" t="str">
        <f>IFERROR(AVERAGE(J168:O179),"")</f>
        <v/>
      </c>
      <c r="Q181" s="67"/>
    </row>
    <row r="183" spans="1:19">
      <c r="A183" s="681" t="s">
        <v>400</v>
      </c>
      <c r="B183" s="682"/>
      <c r="C183" s="683"/>
      <c r="D183" s="684"/>
      <c r="E183" s="684"/>
      <c r="F183" s="684"/>
      <c r="G183" s="684"/>
      <c r="H183" s="684"/>
      <c r="I183" s="684"/>
      <c r="J183" s="684"/>
      <c r="K183" s="684"/>
      <c r="L183" s="684"/>
      <c r="M183" s="684"/>
      <c r="N183" s="684"/>
      <c r="O183" s="685"/>
    </row>
    <row r="184" spans="1:19">
      <c r="A184" s="686" t="s">
        <v>384</v>
      </c>
      <c r="B184" s="687"/>
      <c r="C184" s="688"/>
      <c r="D184" s="689"/>
      <c r="E184" s="689"/>
      <c r="F184" s="689"/>
      <c r="G184" s="689"/>
      <c r="H184" s="689"/>
      <c r="I184" s="689"/>
      <c r="J184" s="689"/>
      <c r="K184" s="689"/>
      <c r="L184" s="689"/>
      <c r="M184" s="689"/>
      <c r="N184" s="689"/>
      <c r="O184" s="690"/>
    </row>
    <row r="185" spans="1:19">
      <c r="A185" s="660" t="s">
        <v>385</v>
      </c>
      <c r="B185" s="661"/>
      <c r="C185" s="665"/>
      <c r="D185" s="666"/>
      <c r="E185" s="666"/>
      <c r="F185" s="666"/>
      <c r="G185" s="668"/>
      <c r="H185" s="664" t="s">
        <v>386</v>
      </c>
      <c r="I185" s="661"/>
      <c r="J185" s="691"/>
      <c r="K185" s="692"/>
      <c r="L185" s="692"/>
      <c r="M185" s="692"/>
      <c r="N185" s="692"/>
      <c r="O185" s="693"/>
    </row>
    <row r="186" spans="1:19" ht="15" customHeight="1">
      <c r="A186" s="660" t="s">
        <v>387</v>
      </c>
      <c r="B186" s="661"/>
      <c r="C186" s="662"/>
      <c r="D186" s="662"/>
      <c r="E186" s="662"/>
      <c r="F186" s="662"/>
      <c r="G186" s="663"/>
      <c r="H186" s="664" t="s">
        <v>388</v>
      </c>
      <c r="I186" s="661"/>
      <c r="J186" s="665" t="s">
        <v>389</v>
      </c>
      <c r="K186" s="666"/>
      <c r="L186" s="666"/>
      <c r="M186" s="666"/>
      <c r="N186" s="666"/>
      <c r="O186" s="667"/>
    </row>
    <row r="187" spans="1:19">
      <c r="A187" s="660" t="s">
        <v>390</v>
      </c>
      <c r="B187" s="661"/>
      <c r="C187" s="666"/>
      <c r="D187" s="666"/>
      <c r="E187" s="666"/>
      <c r="F187" s="666"/>
      <c r="G187" s="668"/>
      <c r="H187" s="664" t="str">
        <f>IF(J186="Overdraft","Limit",IF(J186="Cash Credit","Limit",""))</f>
        <v/>
      </c>
      <c r="I187" s="661"/>
      <c r="J187" s="669"/>
      <c r="K187" s="669"/>
      <c r="L187" s="669"/>
      <c r="M187" s="669"/>
      <c r="N187" s="669"/>
      <c r="O187" s="670"/>
    </row>
    <row r="188" spans="1:19" ht="32.25" customHeight="1">
      <c r="A188" s="671" t="s">
        <v>391</v>
      </c>
      <c r="B188" s="672"/>
      <c r="C188" s="673"/>
      <c r="D188" s="674"/>
      <c r="E188" s="674"/>
      <c r="F188" s="674"/>
      <c r="G188" s="675"/>
      <c r="H188" s="676"/>
      <c r="I188" s="677"/>
      <c r="J188" s="678"/>
      <c r="K188" s="679"/>
      <c r="L188" s="679"/>
      <c r="M188" s="679"/>
      <c r="N188" s="679"/>
      <c r="O188" s="680"/>
    </row>
    <row r="189" spans="1:19" ht="15" customHeight="1">
      <c r="A189" s="26" t="s">
        <v>355</v>
      </c>
      <c r="B189" s="657" t="s">
        <v>356</v>
      </c>
      <c r="C189" s="658"/>
      <c r="D189" s="657" t="s">
        <v>357</v>
      </c>
      <c r="E189" s="658"/>
      <c r="F189" s="649" t="s">
        <v>358</v>
      </c>
      <c r="G189" s="649" t="s">
        <v>359</v>
      </c>
      <c r="H189" s="649" t="s">
        <v>360</v>
      </c>
      <c r="I189" s="649" t="s">
        <v>361</v>
      </c>
      <c r="J189" s="657" t="s">
        <v>392</v>
      </c>
      <c r="K189" s="659"/>
      <c r="L189" s="659"/>
      <c r="M189" s="659"/>
      <c r="N189" s="659"/>
      <c r="O189" s="658"/>
      <c r="P189" s="655" t="s">
        <v>393</v>
      </c>
      <c r="Q189" s="648" t="str">
        <f>IF(OR(J186="Overdraft",J186="cash Credit"),"Utilisation %","")</f>
        <v/>
      </c>
    </row>
    <row r="190" spans="1:19" ht="42" customHeight="1">
      <c r="A190" s="26" t="s">
        <v>363</v>
      </c>
      <c r="B190" s="27" t="s">
        <v>364</v>
      </c>
      <c r="C190" s="27" t="s">
        <v>365</v>
      </c>
      <c r="D190" s="27" t="s">
        <v>364</v>
      </c>
      <c r="E190" s="27" t="s">
        <v>365</v>
      </c>
      <c r="F190" s="650"/>
      <c r="G190" s="650"/>
      <c r="H190" s="650"/>
      <c r="I190" s="650"/>
      <c r="J190" s="27" t="s">
        <v>366</v>
      </c>
      <c r="K190" s="27" t="s">
        <v>367</v>
      </c>
      <c r="L190" s="27" t="s">
        <v>368</v>
      </c>
      <c r="M190" s="27" t="s">
        <v>369</v>
      </c>
      <c r="N190" s="27" t="s">
        <v>370</v>
      </c>
      <c r="O190" s="27" t="s">
        <v>371</v>
      </c>
      <c r="P190" s="656"/>
      <c r="Q190" s="648"/>
      <c r="S190" s="59" t="s">
        <v>372</v>
      </c>
    </row>
    <row r="191" spans="1:19">
      <c r="A191" s="32">
        <f>$A$30</f>
        <v>44531</v>
      </c>
      <c r="B191" s="29"/>
      <c r="C191" s="29"/>
      <c r="D191" s="30">
        <f t="shared" ref="D191:D202" ca="1" si="91">IFERROR(LEN(_xlfn.FORMULATEXT(B191))-LEN(SUBSTITUTE(_xlfn.FORMULATEXT(B191),"+",""))+1,0)</f>
        <v>0</v>
      </c>
      <c r="E191" s="30">
        <f t="shared" ref="E191:E202" ca="1" si="92">IFERROR(LEN(_xlfn.FORMULATEXT(C191))-LEN(SUBSTITUTE(_xlfn.FORMULATEXT(C191),"+",""))+1,0)</f>
        <v>0</v>
      </c>
      <c r="F191" s="31"/>
      <c r="G191" s="31"/>
      <c r="H191" s="31"/>
      <c r="I191" s="47"/>
      <c r="J191" s="48"/>
      <c r="K191" s="49"/>
      <c r="L191" s="48"/>
      <c r="M191" s="48"/>
      <c r="N191" s="48"/>
      <c r="O191" s="48"/>
      <c r="P191" s="68" t="str">
        <f>IFERROR(SUM(J191:O191)/COUNT(J191:O191),"")</f>
        <v/>
      </c>
      <c r="Q191" s="70" t="str">
        <f>IFERROR(IF($J$187&lt;&gt;"",P191/$J$187,""),"")</f>
        <v/>
      </c>
      <c r="S191" s="647">
        <f>IFERROR(IF(J188="Yes",AVERAGE(J191:O196),0),"")</f>
        <v>0</v>
      </c>
    </row>
    <row r="192" spans="1:19">
      <c r="A192" s="32">
        <f>EDATE(A191,-1)</f>
        <v>44501</v>
      </c>
      <c r="B192" s="29"/>
      <c r="C192" s="29"/>
      <c r="D192" s="30">
        <f t="shared" ca="1" si="91"/>
        <v>0</v>
      </c>
      <c r="E192" s="30">
        <f t="shared" ca="1" si="92"/>
        <v>0</v>
      </c>
      <c r="F192" s="31"/>
      <c r="G192" s="31"/>
      <c r="H192" s="31"/>
      <c r="I192" s="47"/>
      <c r="J192" s="48"/>
      <c r="K192" s="48"/>
      <c r="L192" s="48"/>
      <c r="M192" s="48"/>
      <c r="N192" s="48"/>
      <c r="O192" s="48"/>
      <c r="P192" s="68" t="str">
        <f t="shared" ref="P192:P202" si="93">IFERROR(SUM(J192:O192)/COUNT(J192:O192),"")</f>
        <v/>
      </c>
      <c r="Q192" s="70" t="str">
        <f t="shared" ref="Q192:Q203" si="94">IFERROR(IF($J$187&lt;&gt;"",P192/$J$187,""),"")</f>
        <v/>
      </c>
      <c r="S192" s="647"/>
    </row>
    <row r="193" spans="1:19">
      <c r="A193" s="32">
        <f t="shared" ref="A193:A202" si="95">EDATE(A192,-1)</f>
        <v>44470</v>
      </c>
      <c r="B193" s="29"/>
      <c r="C193" s="29"/>
      <c r="D193" s="30">
        <f t="shared" ca="1" si="91"/>
        <v>0</v>
      </c>
      <c r="E193" s="30">
        <f t="shared" ca="1" si="92"/>
        <v>0</v>
      </c>
      <c r="F193" s="31"/>
      <c r="G193" s="31"/>
      <c r="H193" s="31"/>
      <c r="I193" s="47"/>
      <c r="J193" s="48"/>
      <c r="K193" s="48"/>
      <c r="L193" s="48"/>
      <c r="M193" s="48"/>
      <c r="N193" s="48"/>
      <c r="O193" s="48"/>
      <c r="P193" s="68" t="str">
        <f t="shared" si="93"/>
        <v/>
      </c>
      <c r="Q193" s="70" t="str">
        <f t="shared" si="94"/>
        <v/>
      </c>
      <c r="S193" s="647"/>
    </row>
    <row r="194" spans="1:19">
      <c r="A194" s="32">
        <f t="shared" si="95"/>
        <v>44440</v>
      </c>
      <c r="B194" s="29"/>
      <c r="C194" s="29"/>
      <c r="D194" s="30">
        <f t="shared" ca="1" si="91"/>
        <v>0</v>
      </c>
      <c r="E194" s="30">
        <f t="shared" ca="1" si="92"/>
        <v>0</v>
      </c>
      <c r="F194" s="31"/>
      <c r="G194" s="31"/>
      <c r="H194" s="31"/>
      <c r="I194" s="47"/>
      <c r="J194" s="48"/>
      <c r="K194" s="48"/>
      <c r="L194" s="48"/>
      <c r="M194" s="48"/>
      <c r="N194" s="48"/>
      <c r="O194" s="48"/>
      <c r="P194" s="68" t="str">
        <f t="shared" si="93"/>
        <v/>
      </c>
      <c r="Q194" s="70" t="str">
        <f t="shared" si="94"/>
        <v/>
      </c>
      <c r="S194" s="647"/>
    </row>
    <row r="195" spans="1:19">
      <c r="A195" s="32">
        <f t="shared" si="95"/>
        <v>44409</v>
      </c>
      <c r="B195" s="29"/>
      <c r="C195" s="29"/>
      <c r="D195" s="30">
        <f t="shared" ca="1" si="91"/>
        <v>0</v>
      </c>
      <c r="E195" s="30">
        <f t="shared" ca="1" si="92"/>
        <v>0</v>
      </c>
      <c r="F195" s="31"/>
      <c r="G195" s="31"/>
      <c r="H195" s="31"/>
      <c r="I195" s="47"/>
      <c r="J195" s="48"/>
      <c r="K195" s="48"/>
      <c r="L195" s="48"/>
      <c r="M195" s="48"/>
      <c r="N195" s="48"/>
      <c r="O195" s="48"/>
      <c r="P195" s="68" t="str">
        <f t="shared" si="93"/>
        <v/>
      </c>
      <c r="Q195" s="70" t="str">
        <f t="shared" si="94"/>
        <v/>
      </c>
      <c r="S195" s="647"/>
    </row>
    <row r="196" spans="1:19">
      <c r="A196" s="32">
        <f t="shared" si="95"/>
        <v>44378</v>
      </c>
      <c r="B196" s="29"/>
      <c r="C196" s="29"/>
      <c r="D196" s="30">
        <f t="shared" ca="1" si="91"/>
        <v>0</v>
      </c>
      <c r="E196" s="30">
        <f t="shared" ca="1" si="92"/>
        <v>0</v>
      </c>
      <c r="F196" s="31"/>
      <c r="G196" s="31"/>
      <c r="H196" s="31"/>
      <c r="I196" s="47"/>
      <c r="J196" s="48"/>
      <c r="K196" s="48"/>
      <c r="L196" s="48"/>
      <c r="M196" s="48"/>
      <c r="N196" s="48"/>
      <c r="O196" s="48"/>
      <c r="P196" s="68" t="str">
        <f t="shared" si="93"/>
        <v/>
      </c>
      <c r="Q196" s="70" t="str">
        <f t="shared" si="94"/>
        <v/>
      </c>
      <c r="S196" s="647"/>
    </row>
    <row r="197" spans="1:19">
      <c r="A197" s="32">
        <f t="shared" si="95"/>
        <v>44348</v>
      </c>
      <c r="B197" s="29"/>
      <c r="C197" s="29"/>
      <c r="D197" s="30">
        <f t="shared" ca="1" si="91"/>
        <v>0</v>
      </c>
      <c r="E197" s="30">
        <f t="shared" ca="1" si="92"/>
        <v>0</v>
      </c>
      <c r="F197" s="31"/>
      <c r="G197" s="31"/>
      <c r="H197" s="31"/>
      <c r="I197" s="47"/>
      <c r="J197" s="48"/>
      <c r="K197" s="48"/>
      <c r="L197" s="48"/>
      <c r="M197" s="48"/>
      <c r="N197" s="48"/>
      <c r="O197" s="48"/>
      <c r="P197" s="68" t="str">
        <f t="shared" si="93"/>
        <v/>
      </c>
      <c r="Q197" s="70" t="str">
        <f t="shared" si="94"/>
        <v/>
      </c>
      <c r="S197" s="647">
        <f>IFERROR(IF(J188="Yes",AVERAGE(J191:O202),0),"")</f>
        <v>0</v>
      </c>
    </row>
    <row r="198" spans="1:19">
      <c r="A198" s="32">
        <f t="shared" si="95"/>
        <v>44317</v>
      </c>
      <c r="B198" s="29"/>
      <c r="C198" s="29"/>
      <c r="D198" s="30">
        <f t="shared" ca="1" si="91"/>
        <v>0</v>
      </c>
      <c r="E198" s="30">
        <f t="shared" ca="1" si="92"/>
        <v>0</v>
      </c>
      <c r="F198" s="31"/>
      <c r="G198" s="31"/>
      <c r="H198" s="31"/>
      <c r="I198" s="47"/>
      <c r="J198" s="48"/>
      <c r="K198" s="48"/>
      <c r="L198" s="48"/>
      <c r="M198" s="48"/>
      <c r="N198" s="48"/>
      <c r="O198" s="48"/>
      <c r="P198" s="68" t="str">
        <f t="shared" si="93"/>
        <v/>
      </c>
      <c r="Q198" s="70" t="str">
        <f t="shared" si="94"/>
        <v/>
      </c>
      <c r="S198" s="647"/>
    </row>
    <row r="199" spans="1:19">
      <c r="A199" s="32">
        <f t="shared" si="95"/>
        <v>44287</v>
      </c>
      <c r="B199" s="29"/>
      <c r="C199" s="29"/>
      <c r="D199" s="30">
        <f t="shared" ca="1" si="91"/>
        <v>0</v>
      </c>
      <c r="E199" s="30">
        <f t="shared" ca="1" si="92"/>
        <v>0</v>
      </c>
      <c r="F199" s="31"/>
      <c r="G199" s="31"/>
      <c r="H199" s="31"/>
      <c r="I199" s="47"/>
      <c r="J199" s="48"/>
      <c r="K199" s="48"/>
      <c r="L199" s="48"/>
      <c r="M199" s="48"/>
      <c r="N199" s="48"/>
      <c r="O199" s="48"/>
      <c r="P199" s="68" t="str">
        <f t="shared" si="93"/>
        <v/>
      </c>
      <c r="Q199" s="70" t="str">
        <f t="shared" si="94"/>
        <v/>
      </c>
      <c r="S199" s="647"/>
    </row>
    <row r="200" spans="1:19">
      <c r="A200" s="32">
        <f t="shared" si="95"/>
        <v>44256</v>
      </c>
      <c r="B200" s="29"/>
      <c r="C200" s="29"/>
      <c r="D200" s="30">
        <f t="shared" ca="1" si="91"/>
        <v>0</v>
      </c>
      <c r="E200" s="30">
        <f t="shared" ca="1" si="92"/>
        <v>0</v>
      </c>
      <c r="F200" s="31"/>
      <c r="G200" s="31"/>
      <c r="H200" s="31"/>
      <c r="I200" s="47"/>
      <c r="J200" s="48"/>
      <c r="K200" s="48"/>
      <c r="L200" s="48"/>
      <c r="M200" s="48"/>
      <c r="N200" s="48"/>
      <c r="O200" s="48"/>
      <c r="P200" s="68" t="str">
        <f t="shared" si="93"/>
        <v/>
      </c>
      <c r="Q200" s="70" t="str">
        <f t="shared" si="94"/>
        <v/>
      </c>
      <c r="S200" s="647"/>
    </row>
    <row r="201" spans="1:19">
      <c r="A201" s="32">
        <f t="shared" si="95"/>
        <v>44228</v>
      </c>
      <c r="B201" s="29"/>
      <c r="C201" s="29"/>
      <c r="D201" s="30">
        <f t="shared" ca="1" si="91"/>
        <v>0</v>
      </c>
      <c r="E201" s="30">
        <f t="shared" ca="1" si="92"/>
        <v>0</v>
      </c>
      <c r="F201" s="31"/>
      <c r="G201" s="31"/>
      <c r="H201" s="31"/>
      <c r="I201" s="47"/>
      <c r="J201" s="48"/>
      <c r="K201" s="48"/>
      <c r="L201" s="48"/>
      <c r="M201" s="48"/>
      <c r="N201" s="48"/>
      <c r="O201" s="48"/>
      <c r="P201" s="68" t="str">
        <f t="shared" si="93"/>
        <v/>
      </c>
      <c r="Q201" s="70" t="str">
        <f t="shared" si="94"/>
        <v/>
      </c>
      <c r="S201" s="647"/>
    </row>
    <row r="202" spans="1:19">
      <c r="A202" s="32">
        <f t="shared" si="95"/>
        <v>44197</v>
      </c>
      <c r="B202" s="29"/>
      <c r="C202" s="29"/>
      <c r="D202" s="30">
        <f t="shared" ca="1" si="91"/>
        <v>0</v>
      </c>
      <c r="E202" s="30">
        <f t="shared" ca="1" si="92"/>
        <v>0</v>
      </c>
      <c r="F202" s="31"/>
      <c r="G202" s="31"/>
      <c r="H202" s="31"/>
      <c r="I202" s="47"/>
      <c r="J202" s="48"/>
      <c r="K202" s="48"/>
      <c r="L202" s="48"/>
      <c r="M202" s="48"/>
      <c r="N202" s="48"/>
      <c r="O202" s="48"/>
      <c r="P202" s="68" t="str">
        <f t="shared" si="93"/>
        <v/>
      </c>
      <c r="Q202" s="70" t="str">
        <f t="shared" si="94"/>
        <v/>
      </c>
      <c r="S202" s="647"/>
    </row>
    <row r="203" spans="1:19">
      <c r="A203" s="26" t="s">
        <v>194</v>
      </c>
      <c r="B203" s="33">
        <f t="shared" ref="B203:H203" si="96">SUM(B191:B202)</f>
        <v>0</v>
      </c>
      <c r="C203" s="33">
        <f t="shared" si="96"/>
        <v>0</v>
      </c>
      <c r="D203" s="33">
        <f t="shared" ca="1" si="96"/>
        <v>0</v>
      </c>
      <c r="E203" s="33">
        <f t="shared" ca="1" si="96"/>
        <v>0</v>
      </c>
      <c r="F203" s="33">
        <f t="shared" si="96"/>
        <v>0</v>
      </c>
      <c r="G203" s="33">
        <f t="shared" si="96"/>
        <v>0</v>
      </c>
      <c r="H203" s="33">
        <f t="shared" si="96"/>
        <v>0</v>
      </c>
      <c r="I203" s="33"/>
      <c r="J203" s="33" t="str">
        <f t="shared" ref="J203:P203" si="97">IFERROR(AVERAGE(J191:J202),"")</f>
        <v/>
      </c>
      <c r="K203" s="33" t="str">
        <f t="shared" si="97"/>
        <v/>
      </c>
      <c r="L203" s="33" t="str">
        <f t="shared" si="97"/>
        <v/>
      </c>
      <c r="M203" s="33" t="str">
        <f t="shared" si="97"/>
        <v/>
      </c>
      <c r="N203" s="33" t="str">
        <f t="shared" si="97"/>
        <v/>
      </c>
      <c r="O203" s="33" t="str">
        <f t="shared" si="97"/>
        <v/>
      </c>
      <c r="P203" s="69" t="str">
        <f t="shared" si="97"/>
        <v/>
      </c>
      <c r="Q203" s="70" t="str">
        <f t="shared" si="94"/>
        <v/>
      </c>
    </row>
    <row r="204" spans="1:19">
      <c r="A204" s="26" t="s">
        <v>373</v>
      </c>
      <c r="B204" s="33" t="str">
        <f t="shared" ref="B204:H204" si="98">IFERROR(+AVERAGE(B191:B202),"")</f>
        <v/>
      </c>
      <c r="C204" s="33" t="str">
        <f t="shared" si="98"/>
        <v/>
      </c>
      <c r="D204" s="33">
        <f t="shared" ref="D204:E204" ca="1" si="99">+AVERAGE(D191:D202)</f>
        <v>0</v>
      </c>
      <c r="E204" s="33">
        <f t="shared" ca="1" si="99"/>
        <v>0</v>
      </c>
      <c r="F204" s="33" t="str">
        <f t="shared" si="98"/>
        <v/>
      </c>
      <c r="G204" s="33" t="str">
        <f t="shared" si="98"/>
        <v/>
      </c>
      <c r="H204" s="33" t="str">
        <f t="shared" si="98"/>
        <v/>
      </c>
      <c r="I204" s="52"/>
      <c r="J204" s="52"/>
      <c r="K204" s="53"/>
      <c r="L204" s="53"/>
      <c r="M204" s="54"/>
      <c r="N204" s="53"/>
      <c r="O204" s="55"/>
      <c r="P204" s="67" t="str">
        <f>IFERROR(AVERAGE(J191:O202),"")</f>
        <v/>
      </c>
      <c r="Q204" s="67"/>
    </row>
    <row r="206" spans="1:19">
      <c r="A206" s="681" t="s">
        <v>401</v>
      </c>
      <c r="B206" s="682"/>
      <c r="C206" s="683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</row>
    <row r="207" spans="1:19">
      <c r="A207" s="686" t="s">
        <v>384</v>
      </c>
      <c r="B207" s="687"/>
      <c r="C207" s="688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90"/>
    </row>
    <row r="208" spans="1:19">
      <c r="A208" s="660" t="s">
        <v>385</v>
      </c>
      <c r="B208" s="661"/>
      <c r="C208" s="665"/>
      <c r="D208" s="666"/>
      <c r="E208" s="666"/>
      <c r="F208" s="666"/>
      <c r="G208" s="668"/>
      <c r="H208" s="664" t="s">
        <v>386</v>
      </c>
      <c r="I208" s="661"/>
      <c r="J208" s="691"/>
      <c r="K208" s="692"/>
      <c r="L208" s="692"/>
      <c r="M208" s="692"/>
      <c r="N208" s="692"/>
      <c r="O208" s="693"/>
    </row>
    <row r="209" spans="1:19" ht="15" customHeight="1">
      <c r="A209" s="660" t="s">
        <v>387</v>
      </c>
      <c r="B209" s="661"/>
      <c r="C209" s="662"/>
      <c r="D209" s="662"/>
      <c r="E209" s="662"/>
      <c r="F209" s="662"/>
      <c r="G209" s="663"/>
      <c r="H209" s="664" t="s">
        <v>388</v>
      </c>
      <c r="I209" s="661"/>
      <c r="J209" s="665" t="s">
        <v>389</v>
      </c>
      <c r="K209" s="666"/>
      <c r="L209" s="666"/>
      <c r="M209" s="666"/>
      <c r="N209" s="666"/>
      <c r="O209" s="667"/>
    </row>
    <row r="210" spans="1:19">
      <c r="A210" s="660" t="s">
        <v>390</v>
      </c>
      <c r="B210" s="661"/>
      <c r="C210" s="666"/>
      <c r="D210" s="666"/>
      <c r="E210" s="666"/>
      <c r="F210" s="666"/>
      <c r="G210" s="668"/>
      <c r="H210" s="664" t="str">
        <f>IF(J209="Overdraft","Limit",IF(J209="Cash Credit","Limit",""))</f>
        <v/>
      </c>
      <c r="I210" s="661"/>
      <c r="J210" s="669"/>
      <c r="K210" s="669"/>
      <c r="L210" s="669"/>
      <c r="M210" s="669"/>
      <c r="N210" s="669"/>
      <c r="O210" s="670"/>
    </row>
    <row r="211" spans="1:19" ht="32.25" customHeight="1">
      <c r="A211" s="671" t="s">
        <v>391</v>
      </c>
      <c r="B211" s="672"/>
      <c r="C211" s="673"/>
      <c r="D211" s="674"/>
      <c r="E211" s="674"/>
      <c r="F211" s="674"/>
      <c r="G211" s="675"/>
      <c r="H211" s="676"/>
      <c r="I211" s="677"/>
      <c r="J211" s="678"/>
      <c r="K211" s="679"/>
      <c r="L211" s="679"/>
      <c r="M211" s="679"/>
      <c r="N211" s="679"/>
      <c r="O211" s="680"/>
    </row>
    <row r="212" spans="1:19" ht="15" customHeight="1">
      <c r="A212" s="26" t="s">
        <v>355</v>
      </c>
      <c r="B212" s="657" t="s">
        <v>356</v>
      </c>
      <c r="C212" s="658"/>
      <c r="D212" s="657" t="s">
        <v>357</v>
      </c>
      <c r="E212" s="658"/>
      <c r="F212" s="649" t="s">
        <v>358</v>
      </c>
      <c r="G212" s="649" t="s">
        <v>359</v>
      </c>
      <c r="H212" s="649" t="s">
        <v>360</v>
      </c>
      <c r="I212" s="649" t="s">
        <v>361</v>
      </c>
      <c r="J212" s="657" t="s">
        <v>392</v>
      </c>
      <c r="K212" s="659"/>
      <c r="L212" s="659"/>
      <c r="M212" s="659"/>
      <c r="N212" s="659"/>
      <c r="O212" s="658"/>
      <c r="P212" s="655" t="s">
        <v>393</v>
      </c>
      <c r="Q212" s="648" t="str">
        <f>IF(OR(J209="Overdraft",J209="cash Credit"),"Utilisation %","")</f>
        <v/>
      </c>
    </row>
    <row r="213" spans="1:19" ht="42" customHeight="1">
      <c r="A213" s="26" t="s">
        <v>363</v>
      </c>
      <c r="B213" s="27" t="s">
        <v>364</v>
      </c>
      <c r="C213" s="27" t="s">
        <v>365</v>
      </c>
      <c r="D213" s="27" t="s">
        <v>364</v>
      </c>
      <c r="E213" s="27" t="s">
        <v>365</v>
      </c>
      <c r="F213" s="650"/>
      <c r="G213" s="650"/>
      <c r="H213" s="650"/>
      <c r="I213" s="650"/>
      <c r="J213" s="27" t="s">
        <v>366</v>
      </c>
      <c r="K213" s="27" t="s">
        <v>367</v>
      </c>
      <c r="L213" s="27" t="s">
        <v>368</v>
      </c>
      <c r="M213" s="27" t="s">
        <v>369</v>
      </c>
      <c r="N213" s="27" t="s">
        <v>370</v>
      </c>
      <c r="O213" s="27" t="s">
        <v>371</v>
      </c>
      <c r="P213" s="656"/>
      <c r="Q213" s="648"/>
      <c r="S213" s="59" t="s">
        <v>372</v>
      </c>
    </row>
    <row r="214" spans="1:19">
      <c r="A214" s="32">
        <f>$A$30</f>
        <v>44531</v>
      </c>
      <c r="B214" s="29"/>
      <c r="C214" s="29"/>
      <c r="D214" s="30">
        <f t="shared" ref="D214:D225" ca="1" si="100">IFERROR(LEN(_xlfn.FORMULATEXT(B214))-LEN(SUBSTITUTE(_xlfn.FORMULATEXT(B214),"+",""))+1,0)</f>
        <v>0</v>
      </c>
      <c r="E214" s="30">
        <f t="shared" ref="E214:E225" ca="1" si="101">IFERROR(LEN(_xlfn.FORMULATEXT(C214))-LEN(SUBSTITUTE(_xlfn.FORMULATEXT(C214),"+",""))+1,0)</f>
        <v>0</v>
      </c>
      <c r="F214" s="31"/>
      <c r="G214" s="31"/>
      <c r="H214" s="31"/>
      <c r="I214" s="47"/>
      <c r="J214" s="48"/>
      <c r="K214" s="49"/>
      <c r="L214" s="48"/>
      <c r="M214" s="48"/>
      <c r="N214" s="48"/>
      <c r="O214" s="48"/>
      <c r="P214" s="68" t="str">
        <f>IFERROR(SUM(J214:O214)/COUNT(J214:O214),"")</f>
        <v/>
      </c>
      <c r="Q214" s="70" t="str">
        <f>IFERROR(IF($J$210&lt;&gt;"",P214/$J$210,""),"")</f>
        <v/>
      </c>
      <c r="S214" s="647">
        <f>IFERROR(IF(J211="Yes",AVERAGE(J214:O219),0),"")</f>
        <v>0</v>
      </c>
    </row>
    <row r="215" spans="1:19">
      <c r="A215" s="32">
        <f>EDATE(A214,-1)</f>
        <v>44501</v>
      </c>
      <c r="B215" s="29"/>
      <c r="C215" s="29"/>
      <c r="D215" s="30">
        <f t="shared" ca="1" si="100"/>
        <v>0</v>
      </c>
      <c r="E215" s="30">
        <f t="shared" ca="1" si="101"/>
        <v>0</v>
      </c>
      <c r="F215" s="31"/>
      <c r="G215" s="31"/>
      <c r="H215" s="31"/>
      <c r="I215" s="47"/>
      <c r="J215" s="48"/>
      <c r="K215" s="48"/>
      <c r="L215" s="48"/>
      <c r="M215" s="48"/>
      <c r="N215" s="48"/>
      <c r="O215" s="48"/>
      <c r="P215" s="68" t="str">
        <f t="shared" ref="P215:P225" si="102">IFERROR(SUM(J215:O215)/COUNT(J215:O215),"")</f>
        <v/>
      </c>
      <c r="Q215" s="70" t="str">
        <f t="shared" ref="Q215:Q226" si="103">IFERROR(IF($J$210&lt;&gt;"",P215/$J$210,""),"")</f>
        <v/>
      </c>
      <c r="S215" s="647"/>
    </row>
    <row r="216" spans="1:19">
      <c r="A216" s="32">
        <f t="shared" ref="A216:A225" si="104">EDATE(A215,-1)</f>
        <v>44470</v>
      </c>
      <c r="B216" s="29"/>
      <c r="C216" s="29"/>
      <c r="D216" s="30">
        <f t="shared" ca="1" si="100"/>
        <v>0</v>
      </c>
      <c r="E216" s="30">
        <f t="shared" ca="1" si="101"/>
        <v>0</v>
      </c>
      <c r="F216" s="31"/>
      <c r="G216" s="31"/>
      <c r="H216" s="31"/>
      <c r="I216" s="47"/>
      <c r="J216" s="48"/>
      <c r="K216" s="48"/>
      <c r="L216" s="48"/>
      <c r="M216" s="48"/>
      <c r="N216" s="48"/>
      <c r="O216" s="48"/>
      <c r="P216" s="68" t="str">
        <f t="shared" si="102"/>
        <v/>
      </c>
      <c r="Q216" s="70" t="str">
        <f t="shared" si="103"/>
        <v/>
      </c>
      <c r="S216" s="647"/>
    </row>
    <row r="217" spans="1:19">
      <c r="A217" s="32">
        <f t="shared" si="104"/>
        <v>44440</v>
      </c>
      <c r="B217" s="29"/>
      <c r="C217" s="29"/>
      <c r="D217" s="30">
        <f t="shared" ca="1" si="100"/>
        <v>0</v>
      </c>
      <c r="E217" s="30">
        <f t="shared" ca="1" si="101"/>
        <v>0</v>
      </c>
      <c r="F217" s="31"/>
      <c r="G217" s="31"/>
      <c r="H217" s="31"/>
      <c r="I217" s="47"/>
      <c r="J217" s="48"/>
      <c r="K217" s="48"/>
      <c r="L217" s="48"/>
      <c r="M217" s="48"/>
      <c r="N217" s="48"/>
      <c r="O217" s="48"/>
      <c r="P217" s="68" t="str">
        <f t="shared" si="102"/>
        <v/>
      </c>
      <c r="Q217" s="70" t="str">
        <f t="shared" si="103"/>
        <v/>
      </c>
      <c r="S217" s="647"/>
    </row>
    <row r="218" spans="1:19">
      <c r="A218" s="32">
        <f t="shared" si="104"/>
        <v>44409</v>
      </c>
      <c r="B218" s="29"/>
      <c r="C218" s="29"/>
      <c r="D218" s="30">
        <f t="shared" ca="1" si="100"/>
        <v>0</v>
      </c>
      <c r="E218" s="30">
        <f t="shared" ca="1" si="101"/>
        <v>0</v>
      </c>
      <c r="F218" s="31"/>
      <c r="G218" s="31"/>
      <c r="H218" s="31"/>
      <c r="I218" s="47"/>
      <c r="J218" s="48"/>
      <c r="K218" s="48"/>
      <c r="L218" s="48"/>
      <c r="M218" s="48"/>
      <c r="N218" s="48"/>
      <c r="O218" s="48"/>
      <c r="P218" s="68" t="str">
        <f t="shared" si="102"/>
        <v/>
      </c>
      <c r="Q218" s="70" t="str">
        <f t="shared" si="103"/>
        <v/>
      </c>
      <c r="S218" s="647"/>
    </row>
    <row r="219" spans="1:19">
      <c r="A219" s="32">
        <f t="shared" si="104"/>
        <v>44378</v>
      </c>
      <c r="B219" s="29"/>
      <c r="C219" s="29"/>
      <c r="D219" s="30">
        <f t="shared" ca="1" si="100"/>
        <v>0</v>
      </c>
      <c r="E219" s="30">
        <f t="shared" ca="1" si="101"/>
        <v>0</v>
      </c>
      <c r="F219" s="31"/>
      <c r="G219" s="31"/>
      <c r="H219" s="31"/>
      <c r="I219" s="47"/>
      <c r="J219" s="48"/>
      <c r="K219" s="48"/>
      <c r="L219" s="48"/>
      <c r="M219" s="48"/>
      <c r="N219" s="48"/>
      <c r="O219" s="48"/>
      <c r="P219" s="68" t="str">
        <f t="shared" si="102"/>
        <v/>
      </c>
      <c r="Q219" s="70" t="str">
        <f t="shared" si="103"/>
        <v/>
      </c>
      <c r="S219" s="647"/>
    </row>
    <row r="220" spans="1:19">
      <c r="A220" s="32">
        <f t="shared" si="104"/>
        <v>44348</v>
      </c>
      <c r="B220" s="29"/>
      <c r="C220" s="29"/>
      <c r="D220" s="30">
        <f t="shared" ca="1" si="100"/>
        <v>0</v>
      </c>
      <c r="E220" s="30">
        <f t="shared" ca="1" si="101"/>
        <v>0</v>
      </c>
      <c r="F220" s="31"/>
      <c r="G220" s="31"/>
      <c r="H220" s="31"/>
      <c r="I220" s="47"/>
      <c r="J220" s="48"/>
      <c r="K220" s="48"/>
      <c r="L220" s="48"/>
      <c r="M220" s="48"/>
      <c r="N220" s="48"/>
      <c r="O220" s="48"/>
      <c r="P220" s="68" t="str">
        <f t="shared" si="102"/>
        <v/>
      </c>
      <c r="Q220" s="70" t="str">
        <f t="shared" si="103"/>
        <v/>
      </c>
      <c r="S220" s="647">
        <f>IFERROR(IF(J211="Yes",AVERAGE(J214:O225),0),"")</f>
        <v>0</v>
      </c>
    </row>
    <row r="221" spans="1:19">
      <c r="A221" s="32">
        <f t="shared" si="104"/>
        <v>44317</v>
      </c>
      <c r="B221" s="29"/>
      <c r="C221" s="29"/>
      <c r="D221" s="30">
        <f t="shared" ca="1" si="100"/>
        <v>0</v>
      </c>
      <c r="E221" s="30">
        <f t="shared" ca="1" si="101"/>
        <v>0</v>
      </c>
      <c r="F221" s="31"/>
      <c r="G221" s="31"/>
      <c r="H221" s="31"/>
      <c r="I221" s="47"/>
      <c r="J221" s="48"/>
      <c r="K221" s="48"/>
      <c r="L221" s="48"/>
      <c r="M221" s="48"/>
      <c r="N221" s="48"/>
      <c r="O221" s="48"/>
      <c r="P221" s="68" t="str">
        <f t="shared" si="102"/>
        <v/>
      </c>
      <c r="Q221" s="70" t="str">
        <f t="shared" si="103"/>
        <v/>
      </c>
      <c r="S221" s="647"/>
    </row>
    <row r="222" spans="1:19">
      <c r="A222" s="32">
        <f t="shared" si="104"/>
        <v>44287</v>
      </c>
      <c r="B222" s="29"/>
      <c r="C222" s="29"/>
      <c r="D222" s="30">
        <f t="shared" ca="1" si="100"/>
        <v>0</v>
      </c>
      <c r="E222" s="30">
        <f t="shared" ca="1" si="101"/>
        <v>0</v>
      </c>
      <c r="F222" s="31"/>
      <c r="G222" s="31"/>
      <c r="H222" s="31"/>
      <c r="I222" s="47"/>
      <c r="J222" s="48"/>
      <c r="K222" s="48"/>
      <c r="L222" s="48"/>
      <c r="M222" s="48"/>
      <c r="N222" s="48"/>
      <c r="O222" s="48"/>
      <c r="P222" s="68" t="str">
        <f t="shared" si="102"/>
        <v/>
      </c>
      <c r="Q222" s="70" t="str">
        <f t="shared" si="103"/>
        <v/>
      </c>
      <c r="S222" s="647"/>
    </row>
    <row r="223" spans="1:19">
      <c r="A223" s="32">
        <f t="shared" si="104"/>
        <v>44256</v>
      </c>
      <c r="B223" s="29"/>
      <c r="C223" s="29"/>
      <c r="D223" s="30">
        <f t="shared" ca="1" si="100"/>
        <v>0</v>
      </c>
      <c r="E223" s="30">
        <f t="shared" ca="1" si="101"/>
        <v>0</v>
      </c>
      <c r="F223" s="31"/>
      <c r="G223" s="31"/>
      <c r="H223" s="31"/>
      <c r="I223" s="47"/>
      <c r="J223" s="48"/>
      <c r="K223" s="48"/>
      <c r="L223" s="48"/>
      <c r="M223" s="48"/>
      <c r="N223" s="48"/>
      <c r="O223" s="48"/>
      <c r="P223" s="68" t="str">
        <f t="shared" si="102"/>
        <v/>
      </c>
      <c r="Q223" s="70" t="str">
        <f t="shared" si="103"/>
        <v/>
      </c>
      <c r="S223" s="647"/>
    </row>
    <row r="224" spans="1:19">
      <c r="A224" s="32">
        <f t="shared" si="104"/>
        <v>44228</v>
      </c>
      <c r="B224" s="29"/>
      <c r="C224" s="29"/>
      <c r="D224" s="30">
        <f t="shared" ca="1" si="100"/>
        <v>0</v>
      </c>
      <c r="E224" s="30">
        <f t="shared" ca="1" si="101"/>
        <v>0</v>
      </c>
      <c r="F224" s="31"/>
      <c r="G224" s="31"/>
      <c r="H224" s="31"/>
      <c r="I224" s="47"/>
      <c r="J224" s="48"/>
      <c r="K224" s="48"/>
      <c r="L224" s="48"/>
      <c r="M224" s="48"/>
      <c r="N224" s="48"/>
      <c r="O224" s="48"/>
      <c r="P224" s="68" t="str">
        <f t="shared" si="102"/>
        <v/>
      </c>
      <c r="Q224" s="70" t="str">
        <f t="shared" si="103"/>
        <v/>
      </c>
      <c r="S224" s="647"/>
    </row>
    <row r="225" spans="1:19">
      <c r="A225" s="32">
        <f t="shared" si="104"/>
        <v>44197</v>
      </c>
      <c r="B225" s="29"/>
      <c r="C225" s="29"/>
      <c r="D225" s="30">
        <f t="shared" ca="1" si="100"/>
        <v>0</v>
      </c>
      <c r="E225" s="30">
        <f t="shared" ca="1" si="101"/>
        <v>0</v>
      </c>
      <c r="F225" s="31"/>
      <c r="G225" s="31"/>
      <c r="H225" s="31"/>
      <c r="I225" s="47"/>
      <c r="J225" s="48"/>
      <c r="K225" s="48"/>
      <c r="L225" s="48"/>
      <c r="M225" s="48"/>
      <c r="N225" s="48"/>
      <c r="O225" s="48"/>
      <c r="P225" s="68" t="str">
        <f t="shared" si="102"/>
        <v/>
      </c>
      <c r="Q225" s="70" t="str">
        <f t="shared" si="103"/>
        <v/>
      </c>
      <c r="S225" s="647"/>
    </row>
    <row r="226" spans="1:19">
      <c r="A226" s="26" t="s">
        <v>194</v>
      </c>
      <c r="B226" s="33">
        <f t="shared" ref="B226:H226" si="105">SUM(B214:B225)</f>
        <v>0</v>
      </c>
      <c r="C226" s="33">
        <f t="shared" si="105"/>
        <v>0</v>
      </c>
      <c r="D226" s="33">
        <f t="shared" ca="1" si="105"/>
        <v>0</v>
      </c>
      <c r="E226" s="33">
        <f t="shared" ca="1" si="105"/>
        <v>0</v>
      </c>
      <c r="F226" s="33">
        <f t="shared" si="105"/>
        <v>0</v>
      </c>
      <c r="G226" s="33">
        <f t="shared" si="105"/>
        <v>0</v>
      </c>
      <c r="H226" s="33">
        <f t="shared" si="105"/>
        <v>0</v>
      </c>
      <c r="I226" s="33"/>
      <c r="J226" s="33" t="str">
        <f t="shared" ref="J226" si="106">IFERROR(AVERAGE(J214:J225),"")</f>
        <v/>
      </c>
      <c r="K226" s="33" t="str">
        <f t="shared" ref="K226" si="107">IFERROR(AVERAGE(K214:K225),"")</f>
        <v/>
      </c>
      <c r="L226" s="33" t="str">
        <f t="shared" ref="L226" si="108">IFERROR(AVERAGE(L214:L225),"")</f>
        <v/>
      </c>
      <c r="M226" s="33" t="str">
        <f t="shared" ref="M226" si="109">IFERROR(AVERAGE(M214:M225),"")</f>
        <v/>
      </c>
      <c r="N226" s="33" t="str">
        <f t="shared" ref="N226" si="110">IFERROR(AVERAGE(N214:N225),"")</f>
        <v/>
      </c>
      <c r="O226" s="33" t="str">
        <f t="shared" ref="O226:P226" si="111">IFERROR(AVERAGE(O214:O225),"")</f>
        <v/>
      </c>
      <c r="P226" s="69" t="str">
        <f t="shared" si="111"/>
        <v/>
      </c>
      <c r="Q226" s="70" t="str">
        <f t="shared" si="103"/>
        <v/>
      </c>
    </row>
    <row r="227" spans="1:19">
      <c r="A227" s="26" t="s">
        <v>373</v>
      </c>
      <c r="B227" s="33" t="str">
        <f t="shared" ref="B227:H227" si="112">IFERROR(+AVERAGE(B214:B225),"")</f>
        <v/>
      </c>
      <c r="C227" s="33" t="str">
        <f t="shared" si="112"/>
        <v/>
      </c>
      <c r="D227" s="33">
        <f t="shared" ref="D227:E227" ca="1" si="113">+AVERAGE(D214:D225)</f>
        <v>0</v>
      </c>
      <c r="E227" s="33">
        <f t="shared" ca="1" si="113"/>
        <v>0</v>
      </c>
      <c r="F227" s="33" t="str">
        <f t="shared" si="112"/>
        <v/>
      </c>
      <c r="G227" s="33" t="str">
        <f t="shared" si="112"/>
        <v/>
      </c>
      <c r="H227" s="33" t="str">
        <f t="shared" si="112"/>
        <v/>
      </c>
      <c r="I227" s="52"/>
      <c r="J227" s="52"/>
      <c r="K227" s="53"/>
      <c r="L227" s="53"/>
      <c r="M227" s="54"/>
      <c r="N227" s="53"/>
      <c r="O227" s="55"/>
      <c r="P227" s="67" t="str">
        <f>IFERROR(AVERAGE(J214:O225),"")</f>
        <v/>
      </c>
      <c r="Q227" s="67"/>
    </row>
    <row r="229" spans="1:19">
      <c r="A229" s="681" t="s">
        <v>402</v>
      </c>
      <c r="B229" s="682"/>
      <c r="C229" s="683"/>
      <c r="D229" s="684"/>
      <c r="E229" s="684"/>
      <c r="F229" s="684"/>
      <c r="G229" s="684"/>
      <c r="H229" s="684"/>
      <c r="I229" s="684"/>
      <c r="J229" s="684"/>
      <c r="K229" s="684"/>
      <c r="L229" s="684"/>
      <c r="M229" s="684"/>
      <c r="N229" s="684"/>
      <c r="O229" s="685"/>
    </row>
    <row r="230" spans="1:19">
      <c r="A230" s="686" t="s">
        <v>384</v>
      </c>
      <c r="B230" s="687"/>
      <c r="C230" s="688"/>
      <c r="D230" s="689"/>
      <c r="E230" s="689"/>
      <c r="F230" s="689"/>
      <c r="G230" s="689"/>
      <c r="H230" s="689"/>
      <c r="I230" s="689"/>
      <c r="J230" s="689"/>
      <c r="K230" s="689"/>
      <c r="L230" s="689"/>
      <c r="M230" s="689"/>
      <c r="N230" s="689"/>
      <c r="O230" s="690"/>
    </row>
    <row r="231" spans="1:19">
      <c r="A231" s="660" t="s">
        <v>385</v>
      </c>
      <c r="B231" s="661"/>
      <c r="C231" s="665"/>
      <c r="D231" s="666"/>
      <c r="E231" s="666"/>
      <c r="F231" s="666"/>
      <c r="G231" s="668"/>
      <c r="H231" s="664" t="s">
        <v>386</v>
      </c>
      <c r="I231" s="661"/>
      <c r="J231" s="691"/>
      <c r="K231" s="692"/>
      <c r="L231" s="692"/>
      <c r="M231" s="692"/>
      <c r="N231" s="692"/>
      <c r="O231" s="693"/>
    </row>
    <row r="232" spans="1:19" ht="15" customHeight="1">
      <c r="A232" s="660" t="s">
        <v>387</v>
      </c>
      <c r="B232" s="661"/>
      <c r="C232" s="662"/>
      <c r="D232" s="662"/>
      <c r="E232" s="662"/>
      <c r="F232" s="662"/>
      <c r="G232" s="663"/>
      <c r="H232" s="664" t="s">
        <v>388</v>
      </c>
      <c r="I232" s="661"/>
      <c r="J232" s="665" t="s">
        <v>389</v>
      </c>
      <c r="K232" s="666"/>
      <c r="L232" s="666"/>
      <c r="M232" s="666"/>
      <c r="N232" s="666"/>
      <c r="O232" s="667"/>
    </row>
    <row r="233" spans="1:19">
      <c r="A233" s="660" t="s">
        <v>390</v>
      </c>
      <c r="B233" s="661"/>
      <c r="C233" s="666"/>
      <c r="D233" s="666"/>
      <c r="E233" s="666"/>
      <c r="F233" s="666"/>
      <c r="G233" s="668"/>
      <c r="H233" s="664" t="str">
        <f>IF(J232="Overdraft","Limit",IF(J232="Cash Credit","Limit",""))</f>
        <v/>
      </c>
      <c r="I233" s="661"/>
      <c r="J233" s="669"/>
      <c r="K233" s="669"/>
      <c r="L233" s="669"/>
      <c r="M233" s="669"/>
      <c r="N233" s="669"/>
      <c r="O233" s="670"/>
    </row>
    <row r="234" spans="1:19" ht="32.25" customHeight="1">
      <c r="A234" s="671" t="s">
        <v>391</v>
      </c>
      <c r="B234" s="672"/>
      <c r="C234" s="673"/>
      <c r="D234" s="674"/>
      <c r="E234" s="674"/>
      <c r="F234" s="674"/>
      <c r="G234" s="675"/>
      <c r="H234" s="676"/>
      <c r="I234" s="677"/>
      <c r="J234" s="678"/>
      <c r="K234" s="679"/>
      <c r="L234" s="679"/>
      <c r="M234" s="679"/>
      <c r="N234" s="679"/>
      <c r="O234" s="680"/>
    </row>
    <row r="235" spans="1:19" ht="15" customHeight="1">
      <c r="A235" s="26" t="s">
        <v>355</v>
      </c>
      <c r="B235" s="657" t="s">
        <v>356</v>
      </c>
      <c r="C235" s="658"/>
      <c r="D235" s="657" t="s">
        <v>357</v>
      </c>
      <c r="E235" s="658"/>
      <c r="F235" s="649" t="s">
        <v>358</v>
      </c>
      <c r="G235" s="649" t="s">
        <v>359</v>
      </c>
      <c r="H235" s="649" t="s">
        <v>360</v>
      </c>
      <c r="I235" s="649" t="s">
        <v>361</v>
      </c>
      <c r="J235" s="657" t="s">
        <v>392</v>
      </c>
      <c r="K235" s="659"/>
      <c r="L235" s="659"/>
      <c r="M235" s="659"/>
      <c r="N235" s="659"/>
      <c r="O235" s="658"/>
      <c r="P235" s="655" t="s">
        <v>393</v>
      </c>
      <c r="Q235" s="648" t="str">
        <f>IF(OR(J232="Overdraft",J232="cash Credit"),"Utilisation %","")</f>
        <v/>
      </c>
    </row>
    <row r="236" spans="1:19" ht="42" customHeight="1">
      <c r="A236" s="26" t="s">
        <v>363</v>
      </c>
      <c r="B236" s="27" t="s">
        <v>364</v>
      </c>
      <c r="C236" s="27" t="s">
        <v>365</v>
      </c>
      <c r="D236" s="27" t="s">
        <v>364</v>
      </c>
      <c r="E236" s="27" t="s">
        <v>365</v>
      </c>
      <c r="F236" s="650"/>
      <c r="G236" s="650"/>
      <c r="H236" s="650"/>
      <c r="I236" s="650"/>
      <c r="J236" s="27" t="s">
        <v>366</v>
      </c>
      <c r="K236" s="27" t="s">
        <v>367</v>
      </c>
      <c r="L236" s="27" t="s">
        <v>368</v>
      </c>
      <c r="M236" s="27" t="s">
        <v>369</v>
      </c>
      <c r="N236" s="27" t="s">
        <v>370</v>
      </c>
      <c r="O236" s="27" t="s">
        <v>371</v>
      </c>
      <c r="P236" s="656"/>
      <c r="Q236" s="648"/>
      <c r="S236" s="59" t="s">
        <v>372</v>
      </c>
    </row>
    <row r="237" spans="1:19">
      <c r="A237" s="32">
        <f>$A$30</f>
        <v>44531</v>
      </c>
      <c r="B237" s="29"/>
      <c r="C237" s="29"/>
      <c r="D237" s="30">
        <f t="shared" ref="D237:D248" ca="1" si="114">IFERROR(LEN(_xlfn.FORMULATEXT(B237))-LEN(SUBSTITUTE(_xlfn.FORMULATEXT(B237),"+",""))+1,0)</f>
        <v>0</v>
      </c>
      <c r="E237" s="30">
        <f t="shared" ref="E237:E248" ca="1" si="115">IFERROR(LEN(_xlfn.FORMULATEXT(C237))-LEN(SUBSTITUTE(_xlfn.FORMULATEXT(C237),"+",""))+1,0)</f>
        <v>0</v>
      </c>
      <c r="F237" s="31"/>
      <c r="G237" s="31"/>
      <c r="H237" s="31"/>
      <c r="I237" s="47"/>
      <c r="J237" s="48"/>
      <c r="K237" s="49"/>
      <c r="L237" s="48"/>
      <c r="M237" s="48"/>
      <c r="N237" s="48"/>
      <c r="O237" s="48"/>
      <c r="P237" s="68" t="str">
        <f>IFERROR(SUM(J237:O237)/COUNT(J237:O237),"")</f>
        <v/>
      </c>
      <c r="Q237" s="70" t="str">
        <f>IFERROR(IF($J$233&lt;&gt;"",P237/$J$233,""),"")</f>
        <v/>
      </c>
      <c r="S237" s="647">
        <f>IFERROR(IF(J234="Yes",AVERAGE(J237:O242),0),"")</f>
        <v>0</v>
      </c>
    </row>
    <row r="238" spans="1:19">
      <c r="A238" s="32">
        <f>EDATE(A237,-1)</f>
        <v>44501</v>
      </c>
      <c r="B238" s="29"/>
      <c r="C238" s="29"/>
      <c r="D238" s="30">
        <f t="shared" ca="1" si="114"/>
        <v>0</v>
      </c>
      <c r="E238" s="30">
        <f t="shared" ca="1" si="115"/>
        <v>0</v>
      </c>
      <c r="F238" s="31"/>
      <c r="G238" s="31"/>
      <c r="H238" s="31"/>
      <c r="I238" s="47"/>
      <c r="J238" s="48"/>
      <c r="K238" s="48"/>
      <c r="L238" s="48"/>
      <c r="M238" s="48"/>
      <c r="N238" s="48"/>
      <c r="O238" s="48"/>
      <c r="P238" s="68" t="str">
        <f t="shared" ref="P238:P248" si="116">IFERROR(SUM(J238:O238)/COUNT(J238:O238),"")</f>
        <v/>
      </c>
      <c r="Q238" s="70" t="str">
        <f t="shared" ref="Q238:Q249" si="117">IFERROR(IF($J$233&lt;&gt;"",P238/$J$233,""),"")</f>
        <v/>
      </c>
      <c r="S238" s="647"/>
    </row>
    <row r="239" spans="1:19">
      <c r="A239" s="32">
        <f t="shared" ref="A239:A248" si="118">EDATE(A238,-1)</f>
        <v>44470</v>
      </c>
      <c r="B239" s="29"/>
      <c r="C239" s="29"/>
      <c r="D239" s="30">
        <f t="shared" ca="1" si="114"/>
        <v>0</v>
      </c>
      <c r="E239" s="30">
        <f t="shared" ca="1" si="115"/>
        <v>0</v>
      </c>
      <c r="F239" s="31"/>
      <c r="G239" s="31"/>
      <c r="H239" s="31"/>
      <c r="I239" s="47"/>
      <c r="J239" s="48"/>
      <c r="K239" s="48"/>
      <c r="L239" s="48"/>
      <c r="M239" s="48"/>
      <c r="N239" s="48"/>
      <c r="O239" s="48"/>
      <c r="P239" s="68" t="str">
        <f t="shared" si="116"/>
        <v/>
      </c>
      <c r="Q239" s="70" t="str">
        <f t="shared" si="117"/>
        <v/>
      </c>
      <c r="S239" s="647"/>
    </row>
    <row r="240" spans="1:19">
      <c r="A240" s="32">
        <f t="shared" si="118"/>
        <v>44440</v>
      </c>
      <c r="B240" s="29"/>
      <c r="C240" s="29"/>
      <c r="D240" s="30">
        <f t="shared" ca="1" si="114"/>
        <v>0</v>
      </c>
      <c r="E240" s="30">
        <f t="shared" ca="1" si="115"/>
        <v>0</v>
      </c>
      <c r="F240" s="31"/>
      <c r="G240" s="31"/>
      <c r="H240" s="31"/>
      <c r="I240" s="47"/>
      <c r="J240" s="48"/>
      <c r="K240" s="48"/>
      <c r="L240" s="48"/>
      <c r="M240" s="48"/>
      <c r="N240" s="48"/>
      <c r="O240" s="48"/>
      <c r="P240" s="68" t="str">
        <f t="shared" si="116"/>
        <v/>
      </c>
      <c r="Q240" s="70" t="str">
        <f t="shared" si="117"/>
        <v/>
      </c>
      <c r="S240" s="647"/>
    </row>
    <row r="241" spans="1:19">
      <c r="A241" s="32">
        <f t="shared" si="118"/>
        <v>44409</v>
      </c>
      <c r="B241" s="29"/>
      <c r="C241" s="29"/>
      <c r="D241" s="30">
        <f t="shared" ca="1" si="114"/>
        <v>0</v>
      </c>
      <c r="E241" s="30">
        <f t="shared" ca="1" si="115"/>
        <v>0</v>
      </c>
      <c r="F241" s="31"/>
      <c r="G241" s="31"/>
      <c r="H241" s="31"/>
      <c r="I241" s="47"/>
      <c r="J241" s="48"/>
      <c r="K241" s="48"/>
      <c r="L241" s="48"/>
      <c r="M241" s="48"/>
      <c r="N241" s="48"/>
      <c r="O241" s="48"/>
      <c r="P241" s="68" t="str">
        <f t="shared" si="116"/>
        <v/>
      </c>
      <c r="Q241" s="70" t="str">
        <f t="shared" si="117"/>
        <v/>
      </c>
      <c r="S241" s="647"/>
    </row>
    <row r="242" spans="1:19">
      <c r="A242" s="32">
        <f t="shared" si="118"/>
        <v>44378</v>
      </c>
      <c r="B242" s="29"/>
      <c r="C242" s="29"/>
      <c r="D242" s="30">
        <f t="shared" ca="1" si="114"/>
        <v>0</v>
      </c>
      <c r="E242" s="30">
        <f t="shared" ca="1" si="115"/>
        <v>0</v>
      </c>
      <c r="F242" s="31"/>
      <c r="G242" s="31"/>
      <c r="H242" s="31"/>
      <c r="I242" s="47"/>
      <c r="J242" s="48"/>
      <c r="K242" s="48"/>
      <c r="L242" s="48"/>
      <c r="M242" s="48"/>
      <c r="N242" s="48"/>
      <c r="O242" s="48"/>
      <c r="P242" s="68" t="str">
        <f t="shared" si="116"/>
        <v/>
      </c>
      <c r="Q242" s="70" t="str">
        <f t="shared" si="117"/>
        <v/>
      </c>
      <c r="S242" s="647"/>
    </row>
    <row r="243" spans="1:19">
      <c r="A243" s="32">
        <f t="shared" si="118"/>
        <v>44348</v>
      </c>
      <c r="B243" s="29"/>
      <c r="C243" s="29"/>
      <c r="D243" s="30">
        <f t="shared" ca="1" si="114"/>
        <v>0</v>
      </c>
      <c r="E243" s="30">
        <f t="shared" ca="1" si="115"/>
        <v>0</v>
      </c>
      <c r="F243" s="31"/>
      <c r="G243" s="31"/>
      <c r="H243" s="31"/>
      <c r="I243" s="47"/>
      <c r="J243" s="48"/>
      <c r="K243" s="48"/>
      <c r="L243" s="48"/>
      <c r="M243" s="48"/>
      <c r="N243" s="48"/>
      <c r="O243" s="48"/>
      <c r="P243" s="68" t="str">
        <f t="shared" si="116"/>
        <v/>
      </c>
      <c r="Q243" s="70" t="str">
        <f t="shared" si="117"/>
        <v/>
      </c>
      <c r="S243" s="647">
        <f>IFERROR(IF(J234="Yes",AVERAGE(J237:O248),0),"")</f>
        <v>0</v>
      </c>
    </row>
    <row r="244" spans="1:19">
      <c r="A244" s="32">
        <f t="shared" si="118"/>
        <v>44317</v>
      </c>
      <c r="B244" s="29"/>
      <c r="C244" s="29"/>
      <c r="D244" s="30">
        <f t="shared" ca="1" si="114"/>
        <v>0</v>
      </c>
      <c r="E244" s="30">
        <f t="shared" ca="1" si="115"/>
        <v>0</v>
      </c>
      <c r="F244" s="31"/>
      <c r="G244" s="31"/>
      <c r="H244" s="31"/>
      <c r="I244" s="47"/>
      <c r="J244" s="48"/>
      <c r="K244" s="48"/>
      <c r="L244" s="48"/>
      <c r="M244" s="48"/>
      <c r="N244" s="48"/>
      <c r="O244" s="48"/>
      <c r="P244" s="68" t="str">
        <f t="shared" si="116"/>
        <v/>
      </c>
      <c r="Q244" s="70" t="str">
        <f t="shared" si="117"/>
        <v/>
      </c>
      <c r="S244" s="647"/>
    </row>
    <row r="245" spans="1:19">
      <c r="A245" s="32">
        <f t="shared" si="118"/>
        <v>44287</v>
      </c>
      <c r="B245" s="29"/>
      <c r="C245" s="29"/>
      <c r="D245" s="30">
        <f t="shared" ca="1" si="114"/>
        <v>0</v>
      </c>
      <c r="E245" s="30">
        <f t="shared" ca="1" si="115"/>
        <v>0</v>
      </c>
      <c r="F245" s="31"/>
      <c r="G245" s="31"/>
      <c r="H245" s="31"/>
      <c r="I245" s="47"/>
      <c r="J245" s="48"/>
      <c r="K245" s="48"/>
      <c r="L245" s="48"/>
      <c r="M245" s="48"/>
      <c r="N245" s="48"/>
      <c r="O245" s="48"/>
      <c r="P245" s="68" t="str">
        <f t="shared" si="116"/>
        <v/>
      </c>
      <c r="Q245" s="70" t="str">
        <f t="shared" si="117"/>
        <v/>
      </c>
      <c r="S245" s="647"/>
    </row>
    <row r="246" spans="1:19">
      <c r="A246" s="32">
        <f t="shared" si="118"/>
        <v>44256</v>
      </c>
      <c r="B246" s="29"/>
      <c r="C246" s="29"/>
      <c r="D246" s="30">
        <f t="shared" ca="1" si="114"/>
        <v>0</v>
      </c>
      <c r="E246" s="30">
        <f t="shared" ca="1" si="115"/>
        <v>0</v>
      </c>
      <c r="F246" s="31"/>
      <c r="G246" s="31"/>
      <c r="H246" s="31"/>
      <c r="I246" s="47"/>
      <c r="J246" s="48"/>
      <c r="K246" s="48"/>
      <c r="L246" s="48"/>
      <c r="M246" s="48"/>
      <c r="N246" s="48"/>
      <c r="O246" s="48"/>
      <c r="P246" s="68" t="str">
        <f t="shared" si="116"/>
        <v/>
      </c>
      <c r="Q246" s="70" t="str">
        <f t="shared" si="117"/>
        <v/>
      </c>
      <c r="S246" s="647"/>
    </row>
    <row r="247" spans="1:19">
      <c r="A247" s="32">
        <f t="shared" si="118"/>
        <v>44228</v>
      </c>
      <c r="B247" s="29"/>
      <c r="C247" s="29"/>
      <c r="D247" s="30">
        <f t="shared" ca="1" si="114"/>
        <v>0</v>
      </c>
      <c r="E247" s="30">
        <f t="shared" ca="1" si="115"/>
        <v>0</v>
      </c>
      <c r="F247" s="31"/>
      <c r="G247" s="31"/>
      <c r="H247" s="31"/>
      <c r="I247" s="47"/>
      <c r="J247" s="48"/>
      <c r="K247" s="48"/>
      <c r="L247" s="48"/>
      <c r="M247" s="48"/>
      <c r="N247" s="48"/>
      <c r="O247" s="48"/>
      <c r="P247" s="68" t="str">
        <f t="shared" si="116"/>
        <v/>
      </c>
      <c r="Q247" s="70" t="str">
        <f t="shared" si="117"/>
        <v/>
      </c>
      <c r="S247" s="647"/>
    </row>
    <row r="248" spans="1:19">
      <c r="A248" s="32">
        <f t="shared" si="118"/>
        <v>44197</v>
      </c>
      <c r="B248" s="29"/>
      <c r="C248" s="29"/>
      <c r="D248" s="30">
        <f t="shared" ca="1" si="114"/>
        <v>0</v>
      </c>
      <c r="E248" s="30">
        <f t="shared" ca="1" si="115"/>
        <v>0</v>
      </c>
      <c r="F248" s="31"/>
      <c r="G248" s="31"/>
      <c r="H248" s="31"/>
      <c r="I248" s="47"/>
      <c r="J248" s="48"/>
      <c r="K248" s="48"/>
      <c r="L248" s="48"/>
      <c r="M248" s="48"/>
      <c r="N248" s="48"/>
      <c r="O248" s="48"/>
      <c r="P248" s="68" t="str">
        <f t="shared" si="116"/>
        <v/>
      </c>
      <c r="Q248" s="70" t="str">
        <f t="shared" si="117"/>
        <v/>
      </c>
      <c r="S248" s="647"/>
    </row>
    <row r="249" spans="1:19">
      <c r="A249" s="26" t="s">
        <v>194</v>
      </c>
      <c r="B249" s="33">
        <f t="shared" ref="B249:H249" si="119">SUM(B237:B248)</f>
        <v>0</v>
      </c>
      <c r="C249" s="33">
        <f t="shared" si="119"/>
        <v>0</v>
      </c>
      <c r="D249" s="33">
        <f t="shared" ca="1" si="119"/>
        <v>0</v>
      </c>
      <c r="E249" s="33">
        <f t="shared" ca="1" si="119"/>
        <v>0</v>
      </c>
      <c r="F249" s="33">
        <f t="shared" si="119"/>
        <v>0</v>
      </c>
      <c r="G249" s="33">
        <f t="shared" si="119"/>
        <v>0</v>
      </c>
      <c r="H249" s="33">
        <f t="shared" si="119"/>
        <v>0</v>
      </c>
      <c r="I249" s="33"/>
      <c r="J249" s="33" t="str">
        <f t="shared" ref="J249" si="120">IFERROR(AVERAGE(J237:J248),"")</f>
        <v/>
      </c>
      <c r="K249" s="33" t="str">
        <f t="shared" ref="K249" si="121">IFERROR(AVERAGE(K237:K248),"")</f>
        <v/>
      </c>
      <c r="L249" s="33" t="str">
        <f t="shared" ref="L249" si="122">IFERROR(AVERAGE(L237:L248),"")</f>
        <v/>
      </c>
      <c r="M249" s="33" t="str">
        <f t="shared" ref="M249" si="123">IFERROR(AVERAGE(M237:M248),"")</f>
        <v/>
      </c>
      <c r="N249" s="33" t="str">
        <f t="shared" ref="N249" si="124">IFERROR(AVERAGE(N237:N248),"")</f>
        <v/>
      </c>
      <c r="O249" s="33" t="str">
        <f t="shared" ref="O249:P249" si="125">IFERROR(AVERAGE(O237:O248),"")</f>
        <v/>
      </c>
      <c r="P249" s="69" t="str">
        <f t="shared" si="125"/>
        <v/>
      </c>
      <c r="Q249" s="70" t="str">
        <f t="shared" si="117"/>
        <v/>
      </c>
    </row>
    <row r="250" spans="1:19">
      <c r="A250" s="26" t="s">
        <v>373</v>
      </c>
      <c r="B250" s="33" t="str">
        <f t="shared" ref="B250:H250" si="126">IFERROR(+AVERAGE(B237:B248),"")</f>
        <v/>
      </c>
      <c r="C250" s="33" t="str">
        <f t="shared" si="126"/>
        <v/>
      </c>
      <c r="D250" s="33">
        <f t="shared" ref="D250:E250" ca="1" si="127">+AVERAGE(D237:D248)</f>
        <v>0</v>
      </c>
      <c r="E250" s="33">
        <f t="shared" ca="1" si="127"/>
        <v>0</v>
      </c>
      <c r="F250" s="33" t="str">
        <f t="shared" si="126"/>
        <v/>
      </c>
      <c r="G250" s="33" t="str">
        <f t="shared" si="126"/>
        <v/>
      </c>
      <c r="H250" s="33" t="str">
        <f t="shared" si="126"/>
        <v/>
      </c>
      <c r="I250" s="52"/>
      <c r="J250" s="52"/>
      <c r="K250" s="53"/>
      <c r="L250" s="53"/>
      <c r="M250" s="54"/>
      <c r="N250" s="53"/>
      <c r="O250" s="55"/>
      <c r="P250" s="67" t="str">
        <f>IFERROR(AVERAGE(J237:O248),"")</f>
        <v/>
      </c>
      <c r="Q250" s="67"/>
    </row>
    <row r="251" spans="1:19" ht="16.5" customHeight="1"/>
  </sheetData>
  <sheetProtection algorithmName="SHA-512" hashValue="OjawiRCppx2zKn5yBF1zwgnn0dW06vEggwy7g5G83/RrNLHl2pMEUUCJO3sR13LFsp1MAAJro2XJPcPnAMGP0g==" saltValue="BczRJstkFjBDnDSc37djbQ==" spinCount="100000" sheet="1" objects="1" scenarios="1" formatColumns="0"/>
  <mergeCells count="330">
    <mergeCell ref="A1:C1"/>
    <mergeCell ref="D1:F1"/>
    <mergeCell ref="H1:O1"/>
    <mergeCell ref="B2:C2"/>
    <mergeCell ref="D2:E2"/>
    <mergeCell ref="J2:O2"/>
    <mergeCell ref="D18:E18"/>
    <mergeCell ref="F18:G18"/>
    <mergeCell ref="D19:E19"/>
    <mergeCell ref="F19:G19"/>
    <mergeCell ref="I2:I3"/>
    <mergeCell ref="A20:C20"/>
    <mergeCell ref="D20:E20"/>
    <mergeCell ref="F20:G20"/>
    <mergeCell ref="A22:C22"/>
    <mergeCell ref="D22:O22"/>
    <mergeCell ref="A23:C23"/>
    <mergeCell ref="D23:O23"/>
    <mergeCell ref="A24:B24"/>
    <mergeCell ref="C24:G24"/>
    <mergeCell ref="H24:I24"/>
    <mergeCell ref="J24:O24"/>
    <mergeCell ref="A25:B25"/>
    <mergeCell ref="C25:G25"/>
    <mergeCell ref="H25:I25"/>
    <mergeCell ref="J25:O25"/>
    <mergeCell ref="A26:B26"/>
    <mergeCell ref="C26:G26"/>
    <mergeCell ref="H26:I26"/>
    <mergeCell ref="J26:O26"/>
    <mergeCell ref="A27:C27"/>
    <mergeCell ref="D27:G27"/>
    <mergeCell ref="H27:I27"/>
    <mergeCell ref="J27:O27"/>
    <mergeCell ref="B28:C28"/>
    <mergeCell ref="D28:E28"/>
    <mergeCell ref="J28:O28"/>
    <mergeCell ref="A45:C45"/>
    <mergeCell ref="D45:O45"/>
    <mergeCell ref="A46:C46"/>
    <mergeCell ref="D46:O46"/>
    <mergeCell ref="A47:B47"/>
    <mergeCell ref="C47:G47"/>
    <mergeCell ref="H47:I47"/>
    <mergeCell ref="J47:O47"/>
    <mergeCell ref="I28:I29"/>
    <mergeCell ref="A48:B48"/>
    <mergeCell ref="C48:G48"/>
    <mergeCell ref="H48:I48"/>
    <mergeCell ref="J48:O48"/>
    <mergeCell ref="A49:B49"/>
    <mergeCell ref="C49:G49"/>
    <mergeCell ref="H49:I49"/>
    <mergeCell ref="J49:O49"/>
    <mergeCell ref="A50:C50"/>
    <mergeCell ref="D50:G50"/>
    <mergeCell ref="H50:I50"/>
    <mergeCell ref="J50:O50"/>
    <mergeCell ref="B51:C51"/>
    <mergeCell ref="D51:E51"/>
    <mergeCell ref="J51:O51"/>
    <mergeCell ref="A68:C68"/>
    <mergeCell ref="D68:O68"/>
    <mergeCell ref="A69:C69"/>
    <mergeCell ref="D69:O69"/>
    <mergeCell ref="A70:B70"/>
    <mergeCell ref="C70:G70"/>
    <mergeCell ref="H70:I70"/>
    <mergeCell ref="J70:O70"/>
    <mergeCell ref="I51:I52"/>
    <mergeCell ref="A71:B71"/>
    <mergeCell ref="C71:G71"/>
    <mergeCell ref="H71:I71"/>
    <mergeCell ref="J71:O71"/>
    <mergeCell ref="A72:B72"/>
    <mergeCell ref="C72:G72"/>
    <mergeCell ref="H72:I72"/>
    <mergeCell ref="J72:O72"/>
    <mergeCell ref="A73:C73"/>
    <mergeCell ref="D73:G73"/>
    <mergeCell ref="H73:I73"/>
    <mergeCell ref="J73:O73"/>
    <mergeCell ref="B74:C74"/>
    <mergeCell ref="D74:E74"/>
    <mergeCell ref="J74:O74"/>
    <mergeCell ref="A91:C91"/>
    <mergeCell ref="D91:O91"/>
    <mergeCell ref="A92:C92"/>
    <mergeCell ref="D92:O92"/>
    <mergeCell ref="A93:B93"/>
    <mergeCell ref="C93:G93"/>
    <mergeCell ref="H93:I93"/>
    <mergeCell ref="J93:O93"/>
    <mergeCell ref="I74:I75"/>
    <mergeCell ref="A94:B94"/>
    <mergeCell ref="C94:G94"/>
    <mergeCell ref="H94:I94"/>
    <mergeCell ref="J94:O94"/>
    <mergeCell ref="A95:B95"/>
    <mergeCell ref="C95:G95"/>
    <mergeCell ref="H95:I95"/>
    <mergeCell ref="J95:O95"/>
    <mergeCell ref="A96:C96"/>
    <mergeCell ref="D96:G96"/>
    <mergeCell ref="H96:I96"/>
    <mergeCell ref="J96:O96"/>
    <mergeCell ref="B97:C97"/>
    <mergeCell ref="D97:E97"/>
    <mergeCell ref="J97:O97"/>
    <mergeCell ref="A114:C114"/>
    <mergeCell ref="D114:O114"/>
    <mergeCell ref="A115:C115"/>
    <mergeCell ref="D115:O115"/>
    <mergeCell ref="A116:B116"/>
    <mergeCell ref="C116:G116"/>
    <mergeCell ref="H116:I116"/>
    <mergeCell ref="J116:O116"/>
    <mergeCell ref="I97:I98"/>
    <mergeCell ref="A117:B117"/>
    <mergeCell ref="C117:G117"/>
    <mergeCell ref="H117:I117"/>
    <mergeCell ref="J117:O117"/>
    <mergeCell ref="A118:B118"/>
    <mergeCell ref="C118:G118"/>
    <mergeCell ref="H118:I118"/>
    <mergeCell ref="J118:O118"/>
    <mergeCell ref="A119:C119"/>
    <mergeCell ref="D119:G119"/>
    <mergeCell ref="H119:I119"/>
    <mergeCell ref="J119:O119"/>
    <mergeCell ref="B120:C120"/>
    <mergeCell ref="D120:E120"/>
    <mergeCell ref="J120:O120"/>
    <mergeCell ref="A137:C137"/>
    <mergeCell ref="D137:O137"/>
    <mergeCell ref="A138:C138"/>
    <mergeCell ref="D138:O138"/>
    <mergeCell ref="A139:B139"/>
    <mergeCell ref="C139:G139"/>
    <mergeCell ref="H139:I139"/>
    <mergeCell ref="J139:O139"/>
    <mergeCell ref="I120:I121"/>
    <mergeCell ref="A140:B140"/>
    <mergeCell ref="C140:G140"/>
    <mergeCell ref="H140:I140"/>
    <mergeCell ref="J140:O140"/>
    <mergeCell ref="A141:B141"/>
    <mergeCell ref="C141:G141"/>
    <mergeCell ref="H141:I141"/>
    <mergeCell ref="J141:O141"/>
    <mergeCell ref="A142:C142"/>
    <mergeCell ref="D142:G142"/>
    <mergeCell ref="H142:I142"/>
    <mergeCell ref="J142:O142"/>
    <mergeCell ref="B143:C143"/>
    <mergeCell ref="D143:E143"/>
    <mergeCell ref="J143:O143"/>
    <mergeCell ref="A160:C160"/>
    <mergeCell ref="D160:O160"/>
    <mergeCell ref="A161:C161"/>
    <mergeCell ref="D161:O161"/>
    <mergeCell ref="A162:B162"/>
    <mergeCell ref="C162:G162"/>
    <mergeCell ref="H162:I162"/>
    <mergeCell ref="J162:O162"/>
    <mergeCell ref="I143:I144"/>
    <mergeCell ref="A163:B163"/>
    <mergeCell ref="C163:G163"/>
    <mergeCell ref="H163:I163"/>
    <mergeCell ref="J163:O163"/>
    <mergeCell ref="A164:B164"/>
    <mergeCell ref="C164:G164"/>
    <mergeCell ref="H164:I164"/>
    <mergeCell ref="J164:O164"/>
    <mergeCell ref="A165:C165"/>
    <mergeCell ref="D165:G165"/>
    <mergeCell ref="H165:I165"/>
    <mergeCell ref="J165:O165"/>
    <mergeCell ref="B166:C166"/>
    <mergeCell ref="D166:E166"/>
    <mergeCell ref="J166:O166"/>
    <mergeCell ref="A183:C183"/>
    <mergeCell ref="D183:O183"/>
    <mergeCell ref="A184:C184"/>
    <mergeCell ref="D184:O184"/>
    <mergeCell ref="A185:B185"/>
    <mergeCell ref="C185:G185"/>
    <mergeCell ref="H185:I185"/>
    <mergeCell ref="J185:O185"/>
    <mergeCell ref="I166:I167"/>
    <mergeCell ref="A186:B186"/>
    <mergeCell ref="C186:G186"/>
    <mergeCell ref="H186:I186"/>
    <mergeCell ref="J186:O186"/>
    <mergeCell ref="A187:B187"/>
    <mergeCell ref="C187:G187"/>
    <mergeCell ref="H187:I187"/>
    <mergeCell ref="J187:O187"/>
    <mergeCell ref="A188:C188"/>
    <mergeCell ref="D188:G188"/>
    <mergeCell ref="H188:I188"/>
    <mergeCell ref="J188:O188"/>
    <mergeCell ref="B189:C189"/>
    <mergeCell ref="D189:E189"/>
    <mergeCell ref="J189:O189"/>
    <mergeCell ref="A206:C206"/>
    <mergeCell ref="D206:O206"/>
    <mergeCell ref="A207:C207"/>
    <mergeCell ref="D207:O207"/>
    <mergeCell ref="A208:B208"/>
    <mergeCell ref="C208:G208"/>
    <mergeCell ref="H208:I208"/>
    <mergeCell ref="J208:O208"/>
    <mergeCell ref="I189:I190"/>
    <mergeCell ref="A209:B209"/>
    <mergeCell ref="C209:G209"/>
    <mergeCell ref="H209:I209"/>
    <mergeCell ref="J209:O209"/>
    <mergeCell ref="A210:B210"/>
    <mergeCell ref="C210:G210"/>
    <mergeCell ref="H210:I210"/>
    <mergeCell ref="J210:O210"/>
    <mergeCell ref="A211:C211"/>
    <mergeCell ref="D211:G211"/>
    <mergeCell ref="H211:I211"/>
    <mergeCell ref="J211:O211"/>
    <mergeCell ref="B212:C212"/>
    <mergeCell ref="D212:E212"/>
    <mergeCell ref="J212:O212"/>
    <mergeCell ref="A229:C229"/>
    <mergeCell ref="D229:O229"/>
    <mergeCell ref="A230:C230"/>
    <mergeCell ref="D230:O230"/>
    <mergeCell ref="A231:B231"/>
    <mergeCell ref="C231:G231"/>
    <mergeCell ref="H231:I231"/>
    <mergeCell ref="J231:O231"/>
    <mergeCell ref="I212:I213"/>
    <mergeCell ref="A232:B232"/>
    <mergeCell ref="C232:G232"/>
    <mergeCell ref="H232:I232"/>
    <mergeCell ref="J232:O232"/>
    <mergeCell ref="A233:B233"/>
    <mergeCell ref="C233:G233"/>
    <mergeCell ref="H233:I233"/>
    <mergeCell ref="J233:O233"/>
    <mergeCell ref="A234:C234"/>
    <mergeCell ref="D234:G234"/>
    <mergeCell ref="H234:I234"/>
    <mergeCell ref="J234:O234"/>
    <mergeCell ref="B235:C235"/>
    <mergeCell ref="D235:E235"/>
    <mergeCell ref="J235:O235"/>
    <mergeCell ref="F2:F3"/>
    <mergeCell ref="F28:F29"/>
    <mergeCell ref="F51:F52"/>
    <mergeCell ref="F74:F75"/>
    <mergeCell ref="F97:F98"/>
    <mergeCell ref="F120:F121"/>
    <mergeCell ref="F143:F144"/>
    <mergeCell ref="F166:F167"/>
    <mergeCell ref="F189:F190"/>
    <mergeCell ref="F212:F213"/>
    <mergeCell ref="F235:F236"/>
    <mergeCell ref="G2:G3"/>
    <mergeCell ref="G28:G29"/>
    <mergeCell ref="G51:G52"/>
    <mergeCell ref="G74:G75"/>
    <mergeCell ref="G97:G98"/>
    <mergeCell ref="G120:G121"/>
    <mergeCell ref="G143:G144"/>
    <mergeCell ref="G166:G167"/>
    <mergeCell ref="G189:G190"/>
    <mergeCell ref="G212:G213"/>
    <mergeCell ref="G235:G236"/>
    <mergeCell ref="H2:H3"/>
    <mergeCell ref="H28:H29"/>
    <mergeCell ref="H51:H52"/>
    <mergeCell ref="H74:H75"/>
    <mergeCell ref="H97:H98"/>
    <mergeCell ref="H120:H121"/>
    <mergeCell ref="H143:H144"/>
    <mergeCell ref="H166:H167"/>
    <mergeCell ref="H189:H190"/>
    <mergeCell ref="H212:H213"/>
    <mergeCell ref="H235:H236"/>
    <mergeCell ref="P2:P3"/>
    <mergeCell ref="P28:P29"/>
    <mergeCell ref="P51:P52"/>
    <mergeCell ref="P74:P75"/>
    <mergeCell ref="P97:P98"/>
    <mergeCell ref="P120:P121"/>
    <mergeCell ref="P143:P144"/>
    <mergeCell ref="P166:P167"/>
    <mergeCell ref="P189:P190"/>
    <mergeCell ref="Q51:Q52"/>
    <mergeCell ref="Q74:Q75"/>
    <mergeCell ref="Q97:Q98"/>
    <mergeCell ref="Q120:Q121"/>
    <mergeCell ref="Q143:Q144"/>
    <mergeCell ref="Q166:Q167"/>
    <mergeCell ref="Q189:Q190"/>
    <mergeCell ref="Q212:Q213"/>
    <mergeCell ref="I235:I236"/>
    <mergeCell ref="P212:P213"/>
    <mergeCell ref="P235:P236"/>
    <mergeCell ref="S237:S242"/>
    <mergeCell ref="S243:S248"/>
    <mergeCell ref="Q235:Q236"/>
    <mergeCell ref="S4:S9"/>
    <mergeCell ref="S10:S15"/>
    <mergeCell ref="S30:S35"/>
    <mergeCell ref="S36:S41"/>
    <mergeCell ref="S53:S58"/>
    <mergeCell ref="S59:S64"/>
    <mergeCell ref="S76:S81"/>
    <mergeCell ref="S82:S87"/>
    <mergeCell ref="S99:S104"/>
    <mergeCell ref="S105:S110"/>
    <mergeCell ref="S122:S127"/>
    <mergeCell ref="S128:S133"/>
    <mergeCell ref="S145:S150"/>
    <mergeCell ref="S151:S156"/>
    <mergeCell ref="S168:S173"/>
    <mergeCell ref="S174:S179"/>
    <mergeCell ref="S191:S196"/>
    <mergeCell ref="S197:S202"/>
    <mergeCell ref="S214:S219"/>
    <mergeCell ref="S220:S225"/>
    <mergeCell ref="Q28:Q29"/>
  </mergeCells>
  <conditionalFormatting sqref="A20:C20">
    <cfRule type="containsText" dxfId="77" priority="115" operator="containsText" text="Recheck on BTO">
      <formula>NOT(ISERROR(SEARCH("Recheck on BTO",A20)))</formula>
    </cfRule>
  </conditionalFormatting>
  <conditionalFormatting sqref="J26:O26">
    <cfRule type="cellIs" dxfId="76" priority="146" operator="greaterThan">
      <formula>0</formula>
    </cfRule>
    <cfRule type="expression" dxfId="75" priority="147">
      <formula>J25="Cash Credit"</formula>
    </cfRule>
    <cfRule type="cellIs" dxfId="74" priority="148" operator="greaterThan">
      <formula>0</formula>
    </cfRule>
    <cfRule type="expression" dxfId="73" priority="149">
      <formula>J25="Overdraft"</formula>
    </cfRule>
  </conditionalFormatting>
  <conditionalFormatting sqref="J27:O27">
    <cfRule type="expression" dxfId="72" priority="112">
      <formula>$H$27&lt;&gt;""</formula>
    </cfRule>
  </conditionalFormatting>
  <conditionalFormatting sqref="J49:O49">
    <cfRule type="cellIs" dxfId="71" priority="60" operator="greaterThan">
      <formula>0</formula>
    </cfRule>
    <cfRule type="expression" dxfId="70" priority="61">
      <formula>J48="Cash Credit"</formula>
    </cfRule>
    <cfRule type="cellIs" dxfId="69" priority="62" operator="greaterThan">
      <formula>0</formula>
    </cfRule>
    <cfRule type="expression" dxfId="68" priority="63">
      <formula>J48="Overdraft"</formula>
    </cfRule>
  </conditionalFormatting>
  <conditionalFormatting sqref="J50:O50">
    <cfRule type="expression" dxfId="67" priority="57">
      <formula>$H$27&lt;&gt;""</formula>
    </cfRule>
  </conditionalFormatting>
  <conditionalFormatting sqref="J72:O72">
    <cfRule type="cellIs" dxfId="66" priority="53" operator="greaterThan">
      <formula>0</formula>
    </cfRule>
    <cfRule type="expression" dxfId="65" priority="54">
      <formula>J71="Cash Credit"</formula>
    </cfRule>
    <cfRule type="cellIs" dxfId="64" priority="55" operator="greaterThan">
      <formula>0</formula>
    </cfRule>
    <cfRule type="expression" dxfId="63" priority="56">
      <formula>J71="Overdraft"</formula>
    </cfRule>
  </conditionalFormatting>
  <conditionalFormatting sqref="J73:O73">
    <cfRule type="expression" dxfId="62" priority="50">
      <formula>$H$27&lt;&gt;""</formula>
    </cfRule>
  </conditionalFormatting>
  <conditionalFormatting sqref="J95:O95">
    <cfRule type="cellIs" dxfId="61" priority="46" operator="greaterThan">
      <formula>0</formula>
    </cfRule>
    <cfRule type="expression" dxfId="60" priority="47">
      <formula>J94="Cash Credit"</formula>
    </cfRule>
    <cfRule type="cellIs" dxfId="59" priority="48" operator="greaterThan">
      <formula>0</formula>
    </cfRule>
    <cfRule type="expression" dxfId="58" priority="49">
      <formula>J94="Overdraft"</formula>
    </cfRule>
  </conditionalFormatting>
  <conditionalFormatting sqref="J118:O118">
    <cfRule type="cellIs" dxfId="57" priority="39" operator="greaterThan">
      <formula>0</formula>
    </cfRule>
    <cfRule type="expression" dxfId="56" priority="40">
      <formula>J117="Cash Credit"</formula>
    </cfRule>
    <cfRule type="cellIs" dxfId="55" priority="41" operator="greaterThan">
      <formula>0</formula>
    </cfRule>
    <cfRule type="expression" dxfId="54" priority="42">
      <formula>J117="Overdraft"</formula>
    </cfRule>
  </conditionalFormatting>
  <conditionalFormatting sqref="J141:O141">
    <cfRule type="cellIs" dxfId="53" priority="32" operator="greaterThan">
      <formula>0</formula>
    </cfRule>
    <cfRule type="expression" dxfId="52" priority="33">
      <formula>J140="Cash Credit"</formula>
    </cfRule>
    <cfRule type="cellIs" dxfId="51" priority="34" operator="greaterThan">
      <formula>0</formula>
    </cfRule>
    <cfRule type="expression" dxfId="50" priority="35">
      <formula>J140="Overdraft"</formula>
    </cfRule>
  </conditionalFormatting>
  <conditionalFormatting sqref="J164:O164">
    <cfRule type="cellIs" dxfId="49" priority="25" operator="greaterThan">
      <formula>0</formula>
    </cfRule>
    <cfRule type="expression" dxfId="48" priority="26">
      <formula>J163="Cash Credit"</formula>
    </cfRule>
    <cfRule type="cellIs" dxfId="47" priority="27" operator="greaterThan">
      <formula>0</formula>
    </cfRule>
    <cfRule type="expression" dxfId="46" priority="28">
      <formula>J163="Overdraft"</formula>
    </cfRule>
  </conditionalFormatting>
  <conditionalFormatting sqref="J187:O187">
    <cfRule type="cellIs" dxfId="45" priority="18" operator="greaterThan">
      <formula>0</formula>
    </cfRule>
    <cfRule type="expression" dxfId="44" priority="19">
      <formula>J186="Cash Credit"</formula>
    </cfRule>
    <cfRule type="cellIs" dxfId="43" priority="20" operator="greaterThan">
      <formula>0</formula>
    </cfRule>
    <cfRule type="expression" dxfId="42" priority="21">
      <formula>J186="Overdraft"</formula>
    </cfRule>
  </conditionalFormatting>
  <conditionalFormatting sqref="J210:O210">
    <cfRule type="cellIs" dxfId="41" priority="11" operator="greaterThan">
      <formula>0</formula>
    </cfRule>
    <cfRule type="expression" dxfId="40" priority="12">
      <formula>J209="Cash Credit"</formula>
    </cfRule>
    <cfRule type="cellIs" dxfId="39" priority="13" operator="greaterThan">
      <formula>0</formula>
    </cfRule>
    <cfRule type="expression" dxfId="38" priority="14">
      <formula>J209="Overdraft"</formula>
    </cfRule>
  </conditionalFormatting>
  <conditionalFormatting sqref="J233:O233">
    <cfRule type="cellIs" dxfId="37" priority="4" operator="greaterThan">
      <formula>0</formula>
    </cfRule>
    <cfRule type="expression" dxfId="36" priority="5">
      <formula>J232="Cash Credit"</formula>
    </cfRule>
    <cfRule type="cellIs" dxfId="35" priority="6" operator="greaterThan">
      <formula>0</formula>
    </cfRule>
    <cfRule type="expression" dxfId="34" priority="7">
      <formula>J232="Overdraft"</formula>
    </cfRule>
  </conditionalFormatting>
  <conditionalFormatting sqref="I30:I41">
    <cfRule type="cellIs" dxfId="33" priority="124" operator="equal">
      <formula>"No"</formula>
    </cfRule>
    <cfRule type="cellIs" dxfId="32" priority="125" operator="equal">
      <formula>"Yes"</formula>
    </cfRule>
  </conditionalFormatting>
  <conditionalFormatting sqref="I53:I64">
    <cfRule type="cellIs" dxfId="31" priority="58" operator="equal">
      <formula>"No"</formula>
    </cfRule>
    <cfRule type="cellIs" dxfId="30" priority="59" operator="equal">
      <formula>"Yes"</formula>
    </cfRule>
  </conditionalFormatting>
  <conditionalFormatting sqref="I76:I87">
    <cfRule type="cellIs" dxfId="29" priority="51" operator="equal">
      <formula>"No"</formula>
    </cfRule>
    <cfRule type="cellIs" dxfId="28" priority="52" operator="equal">
      <formula>"Yes"</formula>
    </cfRule>
  </conditionalFormatting>
  <conditionalFormatting sqref="I99:I110">
    <cfRule type="cellIs" dxfId="27" priority="44" operator="equal">
      <formula>"No"</formula>
    </cfRule>
    <cfRule type="cellIs" dxfId="26" priority="45" operator="equal">
      <formula>"Yes"</formula>
    </cfRule>
  </conditionalFormatting>
  <conditionalFormatting sqref="I122:I133">
    <cfRule type="cellIs" dxfId="25" priority="37" operator="equal">
      <formula>"No"</formula>
    </cfRule>
    <cfRule type="cellIs" dxfId="24" priority="38" operator="equal">
      <formula>"Yes"</formula>
    </cfRule>
  </conditionalFormatting>
  <conditionalFormatting sqref="I145:I156">
    <cfRule type="cellIs" dxfId="23" priority="30" operator="equal">
      <formula>"No"</formula>
    </cfRule>
    <cfRule type="cellIs" dxfId="22" priority="31" operator="equal">
      <formula>"Yes"</formula>
    </cfRule>
  </conditionalFormatting>
  <conditionalFormatting sqref="I168:I179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I191:I202">
    <cfRule type="cellIs" dxfId="19" priority="16" operator="equal">
      <formula>"No"</formula>
    </cfRule>
    <cfRule type="cellIs" dxfId="18" priority="17" operator="equal">
      <formula>"Yes"</formula>
    </cfRule>
  </conditionalFormatting>
  <conditionalFormatting sqref="I214:I225">
    <cfRule type="cellIs" dxfId="17" priority="9" operator="equal">
      <formula>"No"</formula>
    </cfRule>
    <cfRule type="cellIs" dxfId="16" priority="10" operator="equal">
      <formula>"Yes"</formula>
    </cfRule>
  </conditionalFormatting>
  <conditionalFormatting sqref="I237:I248">
    <cfRule type="cellIs" dxfId="15" priority="2" operator="equal">
      <formula>"No"</formula>
    </cfRule>
    <cfRule type="cellIs" dxfId="14" priority="3" operator="equal">
      <formula>"Yes"</formula>
    </cfRule>
  </conditionalFormatting>
  <dataValidations count="5">
    <dataValidation type="list" allowBlank="1" showInputMessage="1" showErrorMessage="1" sqref="J71:O71 J94:O94 J117:O117 J140:O140 J163:O163 J186:O186 J209:O209 J232:O232" xr:uid="{00000000-0002-0000-0900-000000000000}">
      <formula1>"Current Account, Savings Account, Overdraft, Cash Credit"</formula1>
    </dataValidation>
    <dataValidation type="list" allowBlank="1" showInputMessage="1" showErrorMessage="1" sqref="J27:O27 J50:O50 J73:O73 I30:I41 I53:I64 I76:I87 I99:I110 I122:I133 I145:I156 I168:I179 I191:I202 I214:I225 I237:I248" xr:uid="{00000000-0002-0000-0900-000001000000}">
      <formula1>"Yes,No"</formula1>
    </dataValidation>
    <dataValidation type="list" allowBlank="1" showInputMessage="1" showErrorMessage="1" sqref="J25:O25 J48:O48" xr:uid="{00000000-0002-0000-0900-000002000000}">
      <formula1>"Current Account, Savings Account"</formula1>
    </dataValidation>
    <dataValidation type="list" allowBlank="1" showInputMessage="1" showErrorMessage="1" sqref="G1" xr:uid="{00000000-0002-0000-0900-000003000000}">
      <formula1>"Absolute,Lacs"</formula1>
    </dataValidation>
    <dataValidation type="whole" operator="greaterThan" allowBlank="1" showInputMessage="1" showErrorMessage="1" errorTitle="Error" error="Please mention Limit greater than 50000" sqref="J26:O26 J49:O49 J72:O72 J95:O95 J118:O118 J141:O141 J164:O164 J187:O187 J210:O210 J233:O233" xr:uid="{00000000-0002-0000-0900-000004000000}">
      <formula1>50000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11"/>
  <sheetViews>
    <sheetView workbookViewId="0">
      <selection activeCell="D2" sqref="D2"/>
    </sheetView>
  </sheetViews>
  <sheetFormatPr defaultColWidth="9.140625" defaultRowHeight="15"/>
  <sheetData>
    <row r="1" spans="1:17">
      <c r="A1" s="1" t="s">
        <v>403</v>
      </c>
      <c r="B1" s="1" t="s">
        <v>341</v>
      </c>
      <c r="C1" s="1" t="s">
        <v>404</v>
      </c>
      <c r="D1" s="1" t="s">
        <v>345</v>
      </c>
      <c r="E1" s="2"/>
      <c r="F1" s="3">
        <v>44501</v>
      </c>
      <c r="G1" s="4">
        <f t="shared" ref="G1:Q1" si="0">EDATE(F1,-1)</f>
        <v>44470</v>
      </c>
      <c r="H1" s="4">
        <f t="shared" si="0"/>
        <v>44440</v>
      </c>
      <c r="I1" s="4">
        <f t="shared" si="0"/>
        <v>44409</v>
      </c>
      <c r="J1" s="4">
        <f t="shared" si="0"/>
        <v>44378</v>
      </c>
      <c r="K1" s="4">
        <f t="shared" si="0"/>
        <v>44348</v>
      </c>
      <c r="L1" s="4">
        <f t="shared" si="0"/>
        <v>44317</v>
      </c>
      <c r="M1" s="4">
        <f t="shared" si="0"/>
        <v>44287</v>
      </c>
      <c r="N1" s="4">
        <f t="shared" si="0"/>
        <v>44256</v>
      </c>
      <c r="O1" s="4">
        <f t="shared" si="0"/>
        <v>44228</v>
      </c>
      <c r="P1" s="4">
        <f t="shared" si="0"/>
        <v>44197</v>
      </c>
      <c r="Q1" s="4">
        <f t="shared" si="0"/>
        <v>44166</v>
      </c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</sheetData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3"/>
  <sheetViews>
    <sheetView workbookViewId="0">
      <selection activeCell="C7" sqref="C7"/>
    </sheetView>
  </sheetViews>
  <sheetFormatPr defaultColWidth="0" defaultRowHeight="15"/>
  <cols>
    <col min="1" max="1" width="19.5703125" style="92" customWidth="1"/>
    <col min="2" max="2" width="26.7109375" style="434" customWidth="1"/>
    <col min="3" max="3" width="33.28515625" style="434" customWidth="1"/>
    <col min="4" max="4" width="17.28515625" style="92" customWidth="1"/>
    <col min="5" max="5" width="7" style="92" customWidth="1"/>
    <col min="6" max="6" width="75.42578125" style="92" customWidth="1"/>
    <col min="7" max="8" width="9.140625" style="92" hidden="1" customWidth="1"/>
    <col min="9" max="9" width="28.85546875" style="434" hidden="1" customWidth="1"/>
    <col min="10" max="10" width="31.140625" style="434" hidden="1" customWidth="1"/>
    <col min="11" max="14" width="9.140625" style="92" hidden="1" customWidth="1"/>
    <col min="15" max="15" width="31.140625" style="92" hidden="1" customWidth="1"/>
    <col min="16" max="16384" width="9.140625" style="92" hidden="1"/>
  </cols>
  <sheetData>
    <row r="1" spans="1:10">
      <c r="B1" s="435"/>
      <c r="C1" s="436" t="s">
        <v>59</v>
      </c>
      <c r="F1" s="323" t="s">
        <v>60</v>
      </c>
      <c r="I1" s="92"/>
      <c r="J1" s="448"/>
    </row>
    <row r="2" spans="1:10">
      <c r="B2" s="437"/>
      <c r="C2" s="436" t="s">
        <v>61</v>
      </c>
      <c r="F2" t="s">
        <v>62</v>
      </c>
      <c r="I2" s="92"/>
    </row>
    <row r="3" spans="1:10">
      <c r="F3" t="s">
        <v>63</v>
      </c>
      <c r="I3" s="92"/>
    </row>
    <row r="4" spans="1:10">
      <c r="B4" s="503" t="s">
        <v>64</v>
      </c>
      <c r="C4" s="503"/>
      <c r="F4" t="s">
        <v>65</v>
      </c>
      <c r="I4" s="92"/>
    </row>
    <row r="5" spans="1:10">
      <c r="F5" t="s">
        <v>66</v>
      </c>
      <c r="I5" s="92"/>
    </row>
    <row r="6" spans="1:10">
      <c r="B6" s="504" t="s">
        <v>67</v>
      </c>
      <c r="C6" s="504"/>
      <c r="D6" s="423" t="s">
        <v>68</v>
      </c>
      <c r="F6" t="s">
        <v>69</v>
      </c>
    </row>
    <row r="7" spans="1:10">
      <c r="B7" s="438" t="s">
        <v>60</v>
      </c>
      <c r="C7" s="439" t="s">
        <v>45</v>
      </c>
      <c r="D7" s="505"/>
      <c r="F7" t="s">
        <v>70</v>
      </c>
      <c r="I7" s="449"/>
      <c r="J7" s="449"/>
    </row>
    <row r="8" spans="1:10" ht="30">
      <c r="B8" s="438" t="s">
        <v>71</v>
      </c>
      <c r="C8" s="440">
        <f>'Financial Spread- 1'!C56/100000</f>
        <v>0</v>
      </c>
      <c r="D8" s="506"/>
      <c r="F8" t="s">
        <v>72</v>
      </c>
      <c r="I8" s="450"/>
      <c r="J8" s="450"/>
    </row>
    <row r="9" spans="1:10" ht="30">
      <c r="B9" s="438" t="s">
        <v>73</v>
      </c>
      <c r="C9" s="440">
        <f>'Financial Spread- 1'!C6/100000</f>
        <v>0</v>
      </c>
      <c r="D9" s="506"/>
      <c r="F9" t="s">
        <v>74</v>
      </c>
      <c r="I9" s="450"/>
      <c r="J9" s="450"/>
    </row>
    <row r="10" spans="1:10">
      <c r="B10" s="441" t="s">
        <v>75</v>
      </c>
      <c r="C10" s="442" t="str">
        <f>IF(OR(J9="No",J10="No",J11="Not MSME",J12="Not MSME"),"No","Yes")</f>
        <v>Yes</v>
      </c>
      <c r="D10" s="506"/>
      <c r="F10" t="s">
        <v>76</v>
      </c>
      <c r="I10" s="450" t="s">
        <v>77</v>
      </c>
      <c r="J10" s="450" t="str">
        <f>IF(C7="Others","Yes","No")</f>
        <v>Yes</v>
      </c>
    </row>
    <row r="11" spans="1:10">
      <c r="B11" s="441" t="s">
        <v>78</v>
      </c>
      <c r="C11" s="442" t="str">
        <f>IF(C10="No","Not Applicable",IF(OR(J11="Medium",J12="Medium"),"Medium",IF(OR(J11="Small",J12="Small"),"Small","Micro")))</f>
        <v>Micro</v>
      </c>
      <c r="D11" s="507"/>
      <c r="F11" t="s">
        <v>79</v>
      </c>
      <c r="I11" s="450" t="s">
        <v>80</v>
      </c>
      <c r="J11" s="451" t="str">
        <f>IF(C8&gt;5000,"Not MSME",IF(C8&gt;1000,"Medium",IF(C8&gt;100,"Small","Micro")))</f>
        <v>Micro</v>
      </c>
    </row>
    <row r="12" spans="1:10">
      <c r="F12" t="s">
        <v>81</v>
      </c>
      <c r="I12" s="450" t="s">
        <v>80</v>
      </c>
      <c r="J12" s="451" t="str">
        <f>IF(C9&gt;25000,"Not MSME",IF(C9&gt;5000,"Medium",IF(C9&gt;500,"Small","Micro")))</f>
        <v>Micro</v>
      </c>
    </row>
    <row r="13" spans="1:10">
      <c r="A13" s="443" t="s">
        <v>82</v>
      </c>
      <c r="B13" s="444" t="s">
        <v>83</v>
      </c>
      <c r="C13" s="444" t="s">
        <v>84</v>
      </c>
      <c r="D13" s="444" t="s">
        <v>85</v>
      </c>
      <c r="F13" t="s">
        <v>86</v>
      </c>
      <c r="I13" s="452"/>
      <c r="J13" s="452"/>
    </row>
    <row r="14" spans="1:10" ht="15" customHeight="1">
      <c r="A14" s="445" t="s">
        <v>71</v>
      </c>
      <c r="B14" s="446" t="s">
        <v>87</v>
      </c>
      <c r="C14" s="446" t="s">
        <v>88</v>
      </c>
      <c r="D14" s="446" t="s">
        <v>89</v>
      </c>
      <c r="F14" t="s">
        <v>90</v>
      </c>
      <c r="I14" s="452"/>
      <c r="J14" s="452"/>
    </row>
    <row r="15" spans="1:10" ht="30">
      <c r="A15" s="445" t="s">
        <v>91</v>
      </c>
      <c r="B15" s="446" t="s">
        <v>92</v>
      </c>
      <c r="C15" s="446" t="s">
        <v>93</v>
      </c>
      <c r="D15" s="446" t="s">
        <v>94</v>
      </c>
      <c r="F15" t="s">
        <v>95</v>
      </c>
    </row>
    <row r="16" spans="1:10">
      <c r="B16" s="92"/>
      <c r="C16" s="92"/>
      <c r="E16" s="447"/>
      <c r="F16" t="s">
        <v>96</v>
      </c>
      <c r="J16" s="92"/>
    </row>
    <row r="17" spans="2:10">
      <c r="B17" s="92"/>
      <c r="C17" s="92"/>
      <c r="E17" s="447"/>
      <c r="F17" s="113" t="s">
        <v>45</v>
      </c>
      <c r="I17" s="453"/>
      <c r="J17" s="92"/>
    </row>
    <row r="18" spans="2:10">
      <c r="I18" s="453"/>
      <c r="J18" s="92"/>
    </row>
    <row r="19" spans="2:10">
      <c r="I19" s="453"/>
      <c r="J19" s="92"/>
    </row>
    <row r="20" spans="2:10">
      <c r="I20" s="92"/>
    </row>
    <row r="21" spans="2:10">
      <c r="I21" s="92"/>
    </row>
    <row r="22" spans="2:10">
      <c r="I22" s="92"/>
    </row>
    <row r="23" spans="2:10">
      <c r="I23" s="92"/>
    </row>
  </sheetData>
  <sheetProtection algorithmName="SHA-512" hashValue="DRmwTYy42hyDVBA67gK5LKThKY3JE8S+lLQpXtVd1fxCSBD7HS1DZQAnxPplW1zU3BFr/k03768x20y8ZVBTWw==" saltValue="NnXFAYX7BhQJoB6bDNmcBg==" spinCount="100000" sheet="1" objects="1" scenarios="1" formatCells="0"/>
  <mergeCells count="3">
    <mergeCell ref="B4:C4"/>
    <mergeCell ref="B6:C6"/>
    <mergeCell ref="D7:D11"/>
  </mergeCells>
  <dataValidations count="1">
    <dataValidation type="list" showInputMessage="1" showErrorMessage="1" sqref="C7" xr:uid="{00000000-0002-0000-0100-000000000000}">
      <formula1>$F$2:$F$17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02"/>
  <sheetViews>
    <sheetView topLeftCell="A16" workbookViewId="0">
      <selection activeCell="C24" sqref="C24"/>
    </sheetView>
  </sheetViews>
  <sheetFormatPr defaultColWidth="9" defaultRowHeight="15"/>
  <cols>
    <col min="1" max="1" width="36.7109375" style="113" customWidth="1"/>
    <col min="2" max="2" width="27.42578125" style="113" customWidth="1"/>
    <col min="3" max="3" width="25.42578125" style="113" customWidth="1"/>
    <col min="4" max="4" width="15.7109375" style="113" customWidth="1"/>
    <col min="5" max="5" width="27.42578125" style="113" customWidth="1"/>
    <col min="6" max="6" width="4.140625" style="210" customWidth="1"/>
    <col min="7" max="7" width="32.140625" style="113" customWidth="1"/>
    <col min="8" max="8" width="23.5703125" style="113" customWidth="1"/>
    <col min="9" max="9" width="23.5703125" style="240" customWidth="1"/>
    <col min="10" max="10" width="13.5703125" style="113" customWidth="1"/>
    <col min="11" max="11" width="77.140625" style="113" customWidth="1"/>
    <col min="12" max="12" width="15.42578125" style="113" customWidth="1"/>
    <col min="13" max="13" width="29.140625" style="113" customWidth="1"/>
    <col min="14" max="16384" width="9" style="113"/>
  </cols>
  <sheetData>
    <row r="1" spans="1:16" ht="15.75">
      <c r="A1" s="513" t="s">
        <v>97</v>
      </c>
      <c r="B1" s="514"/>
      <c r="C1" s="515"/>
      <c r="D1" s="349"/>
      <c r="E1" s="349"/>
      <c r="F1" s="350"/>
      <c r="G1" s="350"/>
      <c r="H1" s="350"/>
      <c r="I1" s="350"/>
      <c r="J1" s="350"/>
      <c r="K1" s="392"/>
      <c r="L1" s="392"/>
      <c r="M1" s="392"/>
      <c r="N1" s="392"/>
      <c r="O1" s="210"/>
      <c r="P1" s="210"/>
    </row>
    <row r="2" spans="1:16" ht="15.75">
      <c r="A2" s="351" t="s">
        <v>98</v>
      </c>
      <c r="B2" s="244">
        <f>C2-366</f>
        <v>43555</v>
      </c>
      <c r="C2" s="245">
        <v>43921</v>
      </c>
      <c r="D2" s="352"/>
      <c r="E2" s="350"/>
      <c r="F2" s="350"/>
      <c r="G2" s="353"/>
      <c r="H2" s="353"/>
      <c r="I2" s="353"/>
      <c r="J2" s="353"/>
      <c r="K2" s="353"/>
      <c r="L2" s="350"/>
      <c r="M2" s="350"/>
      <c r="N2" s="350"/>
      <c r="O2" s="210"/>
      <c r="P2" s="210"/>
    </row>
    <row r="3" spans="1:16" ht="15.75">
      <c r="A3" s="354" t="s">
        <v>99</v>
      </c>
      <c r="B3" s="355"/>
      <c r="C3" s="409"/>
      <c r="D3" s="350" t="str">
        <f>IF(C3="","Please input","")</f>
        <v>Please input</v>
      </c>
      <c r="E3" s="364"/>
      <c r="F3" s="410"/>
      <c r="G3" s="380"/>
      <c r="H3" s="380"/>
      <c r="I3" s="393"/>
      <c r="J3" s="210"/>
      <c r="K3" s="350"/>
      <c r="L3" s="350"/>
      <c r="M3" s="350"/>
      <c r="N3" s="350"/>
      <c r="O3" s="210"/>
      <c r="P3" s="210"/>
    </row>
    <row r="4" spans="1:16">
      <c r="A4" s="357" t="s">
        <v>100</v>
      </c>
      <c r="B4" s="252">
        <v>43768</v>
      </c>
      <c r="C4" s="252">
        <v>44241</v>
      </c>
      <c r="D4" s="350"/>
      <c r="E4" s="350"/>
      <c r="F4" s="350"/>
      <c r="G4" s="210"/>
      <c r="H4" s="210"/>
      <c r="I4" s="393"/>
      <c r="J4" s="210"/>
      <c r="K4" s="350"/>
      <c r="L4" s="350"/>
      <c r="M4" s="350"/>
      <c r="N4" s="350"/>
      <c r="O4" s="210"/>
      <c r="P4" s="210"/>
    </row>
    <row r="5" spans="1:16" ht="15.75">
      <c r="A5" s="516" t="s">
        <v>101</v>
      </c>
      <c r="B5" s="517"/>
      <c r="C5" s="517"/>
      <c r="D5" s="358" t="s">
        <v>102</v>
      </c>
      <c r="E5" s="358" t="s">
        <v>68</v>
      </c>
      <c r="F5" s="350"/>
      <c r="G5" s="518" t="s">
        <v>103</v>
      </c>
      <c r="H5" s="519"/>
      <c r="I5" s="520"/>
      <c r="K5" s="350"/>
      <c r="L5" s="350"/>
      <c r="M5" s="350"/>
      <c r="N5" s="350"/>
      <c r="O5" s="210"/>
      <c r="P5" s="210"/>
    </row>
    <row r="6" spans="1:16">
      <c r="A6" s="411" t="s">
        <v>104</v>
      </c>
      <c r="B6" s="360"/>
      <c r="C6" s="360"/>
      <c r="D6" s="256" t="str">
        <f>IFERROR((C6-B6)/B6,"")</f>
        <v/>
      </c>
      <c r="E6" s="361"/>
      <c r="F6" s="350"/>
      <c r="G6" s="258" t="s">
        <v>105</v>
      </c>
      <c r="H6" s="259">
        <f>B2</f>
        <v>43555</v>
      </c>
      <c r="I6" s="319">
        <f>H6+365</f>
        <v>43920</v>
      </c>
      <c r="K6" s="350"/>
      <c r="L6" s="350"/>
      <c r="M6" s="350"/>
      <c r="N6" s="350"/>
      <c r="O6" s="210"/>
      <c r="P6" s="210"/>
    </row>
    <row r="7" spans="1:16" ht="30">
      <c r="A7" s="269" t="s">
        <v>106</v>
      </c>
      <c r="B7" s="360"/>
      <c r="C7" s="360"/>
      <c r="D7" s="256" t="str">
        <f>IFERROR((C7-B7)/B7,"")</f>
        <v/>
      </c>
      <c r="E7" s="361"/>
      <c r="F7" s="350"/>
      <c r="G7" s="261" t="s">
        <v>107</v>
      </c>
      <c r="H7" s="262">
        <f>B6/100000</f>
        <v>0</v>
      </c>
      <c r="I7" s="320">
        <f>C6/100000</f>
        <v>0</v>
      </c>
      <c r="K7" s="350"/>
      <c r="L7" s="350"/>
      <c r="M7" s="350"/>
      <c r="N7" s="350"/>
      <c r="O7" s="210"/>
      <c r="P7" s="210"/>
    </row>
    <row r="8" spans="1:16" ht="15.75">
      <c r="A8" s="358" t="s">
        <v>108</v>
      </c>
      <c r="B8" s="521"/>
      <c r="C8" s="521"/>
      <c r="D8" s="264"/>
      <c r="E8" s="361"/>
      <c r="F8" s="350"/>
      <c r="G8" s="261" t="s">
        <v>109</v>
      </c>
      <c r="H8" s="265"/>
      <c r="I8" s="394" t="str">
        <f>IFERROR((I7-H7)/H7,"")</f>
        <v/>
      </c>
      <c r="K8" s="350"/>
      <c r="L8" s="350"/>
      <c r="M8" s="350"/>
      <c r="N8" s="350"/>
      <c r="O8" s="210"/>
      <c r="P8" s="210"/>
    </row>
    <row r="9" spans="1:16">
      <c r="A9" s="266" t="s">
        <v>110</v>
      </c>
      <c r="B9" s="360"/>
      <c r="C9" s="360"/>
      <c r="D9" s="256" t="str">
        <f t="shared" ref="D9:D27" si="0">IFERROR((C9-B9)/B9,"")</f>
        <v/>
      </c>
      <c r="E9" s="361"/>
      <c r="F9" s="350"/>
      <c r="G9" s="261" t="s">
        <v>111</v>
      </c>
      <c r="H9" s="262">
        <f>B19/100000</f>
        <v>0</v>
      </c>
      <c r="I9" s="320">
        <f>C19/100000</f>
        <v>0</v>
      </c>
      <c r="K9" s="350"/>
      <c r="L9" s="350"/>
      <c r="M9" s="350"/>
      <c r="N9" s="350"/>
      <c r="O9" s="210"/>
      <c r="P9" s="210"/>
    </row>
    <row r="10" spans="1:16">
      <c r="A10" s="266" t="s">
        <v>112</v>
      </c>
      <c r="B10" s="360"/>
      <c r="C10" s="360"/>
      <c r="D10" s="256" t="str">
        <f t="shared" si="0"/>
        <v/>
      </c>
      <c r="E10" s="361"/>
      <c r="F10" s="364"/>
      <c r="G10" s="261" t="s">
        <v>113</v>
      </c>
      <c r="H10" s="262">
        <f>B23/100000</f>
        <v>0</v>
      </c>
      <c r="I10" s="320">
        <f>C23/100000</f>
        <v>0</v>
      </c>
      <c r="K10" s="350"/>
      <c r="L10" s="350"/>
      <c r="M10" s="350"/>
      <c r="N10" s="350"/>
      <c r="O10" s="210"/>
      <c r="P10" s="210"/>
    </row>
    <row r="11" spans="1:16">
      <c r="A11" s="266" t="s">
        <v>114</v>
      </c>
      <c r="B11" s="360"/>
      <c r="C11" s="360"/>
      <c r="D11" s="256" t="str">
        <f t="shared" si="0"/>
        <v/>
      </c>
      <c r="E11" s="361"/>
      <c r="F11" s="364"/>
      <c r="G11" s="261" t="s">
        <v>115</v>
      </c>
      <c r="H11" s="262">
        <f>B25/100000</f>
        <v>0</v>
      </c>
      <c r="I11" s="320">
        <f>C25/100000</f>
        <v>0</v>
      </c>
      <c r="K11" s="350"/>
      <c r="L11" s="350"/>
      <c r="M11" s="350"/>
      <c r="N11" s="350"/>
      <c r="O11" s="210"/>
      <c r="P11" s="210"/>
    </row>
    <row r="12" spans="1:16">
      <c r="A12" s="269" t="s">
        <v>116</v>
      </c>
      <c r="B12" s="360"/>
      <c r="C12" s="360"/>
      <c r="D12" s="256" t="str">
        <f t="shared" si="0"/>
        <v/>
      </c>
      <c r="E12" s="361"/>
      <c r="F12" s="364"/>
      <c r="G12" s="261" t="s">
        <v>117</v>
      </c>
      <c r="H12" s="262">
        <f>B27/100000</f>
        <v>0</v>
      </c>
      <c r="I12" s="320">
        <f>C27/100000</f>
        <v>0</v>
      </c>
      <c r="K12" s="210"/>
      <c r="L12" s="350"/>
      <c r="M12" s="350"/>
      <c r="N12" s="350"/>
      <c r="O12" s="210"/>
      <c r="P12" s="210"/>
    </row>
    <row r="13" spans="1:16">
      <c r="A13" s="269" t="s">
        <v>118</v>
      </c>
      <c r="B13" s="360"/>
      <c r="C13" s="360"/>
      <c r="D13" s="256" t="str">
        <f t="shared" si="0"/>
        <v/>
      </c>
      <c r="E13" s="361"/>
      <c r="F13" s="364"/>
      <c r="G13" s="261" t="s">
        <v>119</v>
      </c>
      <c r="H13" s="270">
        <f>(B27+B24+B22+B18+B17)/100000</f>
        <v>0</v>
      </c>
      <c r="I13" s="322">
        <f>(C27+C24+C22+C18+C17)/100000</f>
        <v>0</v>
      </c>
      <c r="K13" s="330" t="s">
        <v>120</v>
      </c>
      <c r="L13" s="350"/>
      <c r="M13" s="350"/>
      <c r="N13" s="350"/>
      <c r="O13" s="210"/>
      <c r="P13" s="210"/>
    </row>
    <row r="14" spans="1:16" ht="15.75">
      <c r="A14" s="412" t="s">
        <v>121</v>
      </c>
      <c r="B14" s="271">
        <f>B6+B7-(B10+B12+B13-B11)</f>
        <v>0</v>
      </c>
      <c r="C14" s="271">
        <f>C6+C7-(C10+C12+C13-C11)</f>
        <v>0</v>
      </c>
      <c r="D14" s="256" t="str">
        <f t="shared" si="0"/>
        <v/>
      </c>
      <c r="E14" s="361"/>
      <c r="F14" s="350"/>
      <c r="G14" s="261" t="s">
        <v>122</v>
      </c>
      <c r="H14" s="272" t="str">
        <f>IFERROR(B14/(B7+B6),"")</f>
        <v/>
      </c>
      <c r="I14" s="321" t="str">
        <f>IFERROR(C14/(C7+C6),"")</f>
        <v/>
      </c>
      <c r="K14" s="395"/>
      <c r="L14" s="350"/>
      <c r="M14" s="350"/>
      <c r="N14" s="350"/>
      <c r="O14" s="210"/>
      <c r="P14" s="210"/>
    </row>
    <row r="15" spans="1:16">
      <c r="A15" s="269" t="s">
        <v>123</v>
      </c>
      <c r="B15" s="360"/>
      <c r="C15" s="360"/>
      <c r="D15" s="256" t="str">
        <f t="shared" si="0"/>
        <v/>
      </c>
      <c r="E15" s="361"/>
      <c r="F15" s="364"/>
      <c r="G15" s="261" t="s">
        <v>124</v>
      </c>
      <c r="H15" s="102" t="str">
        <f>IFERROR(H11/H7,"")</f>
        <v/>
      </c>
      <c r="I15" s="325" t="str">
        <f>IFERROR(I11/I7,"")</f>
        <v/>
      </c>
      <c r="K15" s="395"/>
      <c r="L15" s="350"/>
      <c r="M15" s="350"/>
      <c r="N15" s="350"/>
      <c r="O15" s="210"/>
      <c r="P15" s="210"/>
    </row>
    <row r="16" spans="1:16">
      <c r="A16" s="269" t="s">
        <v>125</v>
      </c>
      <c r="B16" s="363"/>
      <c r="C16" s="363"/>
      <c r="D16" s="256" t="str">
        <f t="shared" si="0"/>
        <v/>
      </c>
      <c r="E16" s="361"/>
      <c r="F16" s="350"/>
      <c r="G16" s="261" t="s">
        <v>126</v>
      </c>
      <c r="H16" s="270">
        <f>SUM(B49+B50+B51+B52+B44)/100000</f>
        <v>0</v>
      </c>
      <c r="I16" s="322">
        <f>SUM(C49+C50+C51+C52+C44)/100000</f>
        <v>0</v>
      </c>
      <c r="K16" s="330" t="s">
        <v>127</v>
      </c>
      <c r="L16" s="350"/>
      <c r="M16" s="350"/>
      <c r="N16" s="350"/>
      <c r="O16" s="210"/>
      <c r="P16" s="210"/>
    </row>
    <row r="17" spans="1:16" ht="30">
      <c r="A17" s="266" t="s">
        <v>128</v>
      </c>
      <c r="B17" s="363"/>
      <c r="C17" s="363"/>
      <c r="D17" s="256" t="str">
        <f t="shared" si="0"/>
        <v/>
      </c>
      <c r="E17" s="361"/>
      <c r="F17" s="350"/>
      <c r="G17" s="261" t="s">
        <v>129</v>
      </c>
      <c r="H17" s="270">
        <f>SUM(B58+B60+B61+B62+B63+B64+B65+B66+B68)/100000</f>
        <v>0</v>
      </c>
      <c r="I17" s="322">
        <f>SUM(C58+C60+C61+C62+C63+C64+C65+C66+C68)/100000</f>
        <v>0</v>
      </c>
      <c r="K17" s="330" t="s">
        <v>130</v>
      </c>
      <c r="L17" s="350"/>
      <c r="M17" s="350"/>
      <c r="N17" s="350"/>
      <c r="O17" s="210"/>
      <c r="P17" s="210"/>
    </row>
    <row r="18" spans="1:16">
      <c r="A18" s="269" t="s">
        <v>131</v>
      </c>
      <c r="B18" s="360"/>
      <c r="C18" s="360"/>
      <c r="D18" s="256" t="str">
        <f t="shared" si="0"/>
        <v/>
      </c>
      <c r="E18" s="361"/>
      <c r="F18" s="364"/>
      <c r="G18" s="261" t="s">
        <v>132</v>
      </c>
      <c r="H18" s="270">
        <f>(B48-B44)/100000</f>
        <v>0</v>
      </c>
      <c r="I18" s="322">
        <f>(C48-C44)/100000</f>
        <v>0</v>
      </c>
      <c r="K18" s="330" t="s">
        <v>133</v>
      </c>
      <c r="L18" s="350"/>
      <c r="M18" s="350"/>
      <c r="N18" s="350"/>
      <c r="O18" s="210"/>
      <c r="P18" s="210"/>
    </row>
    <row r="19" spans="1:16" ht="15.75">
      <c r="A19" s="412" t="s">
        <v>134</v>
      </c>
      <c r="B19" s="271">
        <f>B14-B15-B16-B18</f>
        <v>0</v>
      </c>
      <c r="C19" s="271">
        <f>C14-C15-C16-C18</f>
        <v>0</v>
      </c>
      <c r="D19" s="256" t="str">
        <f t="shared" si="0"/>
        <v/>
      </c>
      <c r="E19" s="361"/>
      <c r="F19" s="350"/>
      <c r="G19" s="261" t="s">
        <v>135</v>
      </c>
      <c r="H19" s="270">
        <f>B43/100000</f>
        <v>0</v>
      </c>
      <c r="I19" s="322">
        <f>C43/100000</f>
        <v>0</v>
      </c>
      <c r="K19" s="330" t="s">
        <v>136</v>
      </c>
      <c r="L19" s="350"/>
      <c r="M19" s="350"/>
      <c r="N19" s="350"/>
      <c r="O19" s="210"/>
      <c r="P19" s="210"/>
    </row>
    <row r="20" spans="1:16">
      <c r="A20" s="269" t="s">
        <v>137</v>
      </c>
      <c r="B20" s="360"/>
      <c r="C20" s="360"/>
      <c r="D20" s="256" t="str">
        <f t="shared" si="0"/>
        <v/>
      </c>
      <c r="E20" s="361"/>
      <c r="F20" s="364"/>
      <c r="G20" s="522" t="s">
        <v>138</v>
      </c>
      <c r="H20" s="523"/>
      <c r="I20" s="524"/>
      <c r="K20" s="395"/>
      <c r="L20" s="350"/>
      <c r="M20" s="350"/>
      <c r="N20" s="350"/>
      <c r="O20" s="210"/>
      <c r="P20" s="210"/>
    </row>
    <row r="21" spans="1:16">
      <c r="A21" s="269" t="s">
        <v>139</v>
      </c>
      <c r="B21" s="360"/>
      <c r="C21" s="360"/>
      <c r="D21" s="256" t="str">
        <f t="shared" si="0"/>
        <v/>
      </c>
      <c r="E21" s="361"/>
      <c r="F21" s="350"/>
      <c r="G21" s="276" t="s">
        <v>105</v>
      </c>
      <c r="H21" s="277">
        <f>B2</f>
        <v>43555</v>
      </c>
      <c r="I21" s="422">
        <f>H21+365</f>
        <v>43920</v>
      </c>
      <c r="J21" s="423" t="s">
        <v>140</v>
      </c>
      <c r="K21" s="395"/>
      <c r="L21" s="350"/>
      <c r="M21" s="350"/>
      <c r="N21" s="350"/>
      <c r="O21" s="210"/>
      <c r="P21" s="210"/>
    </row>
    <row r="22" spans="1:16">
      <c r="A22" s="269" t="s">
        <v>141</v>
      </c>
      <c r="B22" s="363"/>
      <c r="C22" s="363"/>
      <c r="D22" s="256" t="str">
        <f t="shared" si="0"/>
        <v/>
      </c>
      <c r="E22" s="361"/>
      <c r="F22" s="350"/>
      <c r="G22" s="261" t="s">
        <v>142</v>
      </c>
      <c r="H22" s="278">
        <f>IFERROR((B60+B61)/100000,"")</f>
        <v>0</v>
      </c>
      <c r="I22" s="424">
        <f>IFERROR((C60+C61)/100000,"")</f>
        <v>0</v>
      </c>
      <c r="J22" s="425"/>
      <c r="K22" s="395"/>
      <c r="L22" s="350"/>
      <c r="M22" s="350"/>
      <c r="N22" s="350"/>
      <c r="O22" s="210"/>
      <c r="P22" s="210"/>
    </row>
    <row r="23" spans="1:16" ht="31.5">
      <c r="A23" s="412" t="s">
        <v>143</v>
      </c>
      <c r="B23" s="279">
        <f>B19-B20-B21-B22-B17+B9</f>
        <v>0</v>
      </c>
      <c r="C23" s="279">
        <f>C19-C20-C21-C22-C17+C9</f>
        <v>0</v>
      </c>
      <c r="D23" s="256" t="str">
        <f t="shared" si="0"/>
        <v/>
      </c>
      <c r="E23" s="361"/>
      <c r="F23" s="350"/>
      <c r="G23" s="261" t="s">
        <v>144</v>
      </c>
      <c r="H23" s="278">
        <f>IFERROR(B49/100000,"")</f>
        <v>0</v>
      </c>
      <c r="I23" s="424">
        <f>IFERROR(C49/100000,"")</f>
        <v>0</v>
      </c>
      <c r="J23" s="425"/>
      <c r="K23" s="395"/>
      <c r="L23" s="350"/>
      <c r="M23" s="350"/>
      <c r="N23" s="350"/>
      <c r="O23" s="210"/>
      <c r="P23" s="210"/>
    </row>
    <row r="24" spans="1:16">
      <c r="A24" s="269" t="s">
        <v>145</v>
      </c>
      <c r="B24" s="360"/>
      <c r="C24" s="360"/>
      <c r="D24" s="256" t="str">
        <f t="shared" si="0"/>
        <v/>
      </c>
      <c r="E24" s="361"/>
      <c r="F24" s="364"/>
      <c r="G24" s="261" t="s">
        <v>146</v>
      </c>
      <c r="H24" s="278">
        <f>IFERROR(B58/100000,"")</f>
        <v>0</v>
      </c>
      <c r="I24" s="424">
        <f>IFERROR(C58/100000,"")</f>
        <v>0</v>
      </c>
      <c r="J24" s="425"/>
      <c r="K24" s="395"/>
      <c r="L24" s="350"/>
      <c r="M24" s="350"/>
      <c r="N24" s="350"/>
      <c r="O24" s="210"/>
      <c r="P24" s="210"/>
    </row>
    <row r="25" spans="1:16" ht="15.75">
      <c r="A25" s="413" t="s">
        <v>147</v>
      </c>
      <c r="B25" s="281">
        <f>B23-B24</f>
        <v>0</v>
      </c>
      <c r="C25" s="281">
        <f>C23-C24</f>
        <v>0</v>
      </c>
      <c r="D25" s="256" t="str">
        <f t="shared" si="0"/>
        <v/>
      </c>
      <c r="E25" s="361"/>
      <c r="F25" s="364"/>
      <c r="G25" s="261" t="s">
        <v>148</v>
      </c>
      <c r="H25" s="282" t="str">
        <f>IFERROR(ROUND((H22*100000)/B6*365,0),"")</f>
        <v/>
      </c>
      <c r="I25" s="426" t="str">
        <f>IFERROR(ROUND((I22*100000)/C6*365,0),"")</f>
        <v/>
      </c>
      <c r="J25" s="425" t="s">
        <v>149</v>
      </c>
      <c r="K25" s="395" t="s">
        <v>150</v>
      </c>
      <c r="L25" s="350"/>
      <c r="M25" s="350"/>
      <c r="N25" s="350"/>
      <c r="O25" s="210"/>
      <c r="P25" s="210"/>
    </row>
    <row r="26" spans="1:16">
      <c r="A26" s="269" t="s">
        <v>151</v>
      </c>
      <c r="B26" s="367"/>
      <c r="C26" s="367"/>
      <c r="D26" s="256" t="str">
        <f t="shared" si="0"/>
        <v/>
      </c>
      <c r="E26" s="361"/>
      <c r="F26" s="364"/>
      <c r="G26" s="261" t="s">
        <v>152</v>
      </c>
      <c r="H26" s="278" t="str">
        <f>IFERROR(ROUND((H23*100000/B12)*365,0),"")</f>
        <v/>
      </c>
      <c r="I26" s="424" t="str">
        <f>IFERROR(ROUND((I23*100000/C12)*365,0),"")</f>
        <v/>
      </c>
      <c r="J26" s="425" t="s">
        <v>149</v>
      </c>
      <c r="K26" s="395" t="s">
        <v>153</v>
      </c>
      <c r="L26" s="350"/>
      <c r="M26" s="350"/>
      <c r="N26" s="350"/>
      <c r="O26" s="210"/>
      <c r="P26" s="210"/>
    </row>
    <row r="27" spans="1:16" ht="15.75">
      <c r="A27" s="413" t="s">
        <v>117</v>
      </c>
      <c r="B27" s="283">
        <f>+B25-B26</f>
        <v>0</v>
      </c>
      <c r="C27" s="283">
        <f>C25-C26</f>
        <v>0</v>
      </c>
      <c r="D27" s="256" t="str">
        <f t="shared" si="0"/>
        <v/>
      </c>
      <c r="E27" s="368"/>
      <c r="F27" s="364"/>
      <c r="G27" s="261" t="s">
        <v>154</v>
      </c>
      <c r="H27" s="278" t="str">
        <f>IFERROR(ROUND(B58/(B10+B12+B13-B11)*365,0),"")</f>
        <v/>
      </c>
      <c r="I27" s="424" t="str">
        <f>IFERROR(ROUND(C58/(C10+C12+C13-C11)*365,0),"")</f>
        <v/>
      </c>
      <c r="J27" s="425" t="s">
        <v>149</v>
      </c>
      <c r="K27" s="330" t="s">
        <v>155</v>
      </c>
      <c r="L27" s="350"/>
      <c r="M27" s="350"/>
      <c r="N27" s="350"/>
      <c r="O27" s="210"/>
      <c r="P27" s="210"/>
    </row>
    <row r="28" spans="1:16">
      <c r="F28" s="350"/>
      <c r="G28" s="261" t="s">
        <v>156</v>
      </c>
      <c r="H28" s="290" t="str">
        <f>IFERROR((B10+B12+B13-B11)/((B10+B11)/2),"")</f>
        <v/>
      </c>
      <c r="I28" s="427" t="str">
        <f>IFERROR((C10+C12+C13-C11)/((C10+C11)/2),"")</f>
        <v/>
      </c>
      <c r="J28" s="425" t="s">
        <v>157</v>
      </c>
      <c r="K28" s="330" t="s">
        <v>158</v>
      </c>
      <c r="L28" s="350"/>
      <c r="M28" s="350"/>
      <c r="N28" s="350"/>
      <c r="O28" s="210"/>
      <c r="P28" s="210"/>
    </row>
    <row r="29" spans="1:16" ht="45">
      <c r="A29" s="285" t="s">
        <v>159</v>
      </c>
      <c r="B29" s="369">
        <f>B22+B18</f>
        <v>0</v>
      </c>
      <c r="C29" s="369">
        <f>C22+C18</f>
        <v>0</v>
      </c>
      <c r="D29" s="304"/>
      <c r="E29" s="304"/>
      <c r="F29" s="350"/>
      <c r="G29" s="261" t="s">
        <v>160</v>
      </c>
      <c r="H29" s="278">
        <f>H17-H16</f>
        <v>0</v>
      </c>
      <c r="I29" s="424">
        <f>I17-I16</f>
        <v>0</v>
      </c>
      <c r="J29" s="425"/>
      <c r="K29" s="395" t="s">
        <v>161</v>
      </c>
      <c r="L29" s="350"/>
      <c r="M29" s="350"/>
      <c r="N29" s="350"/>
      <c r="O29" s="210"/>
      <c r="P29" s="210"/>
    </row>
    <row r="30" spans="1:16">
      <c r="A30" s="289" t="s">
        <v>162</v>
      </c>
      <c r="B30" s="371"/>
      <c r="C30" s="371"/>
      <c r="E30" s="304"/>
      <c r="F30" s="350"/>
      <c r="G30" s="261" t="s">
        <v>163</v>
      </c>
      <c r="H30" s="290" t="str">
        <f>IFERROR(H17/H16,"")</f>
        <v/>
      </c>
      <c r="I30" s="427" t="str">
        <f>IFERROR(I17/I16,"")</f>
        <v/>
      </c>
      <c r="J30" s="428">
        <v>1.3</v>
      </c>
      <c r="K30" s="395" t="s">
        <v>164</v>
      </c>
      <c r="L30" s="350"/>
      <c r="M30" s="350"/>
      <c r="N30" s="350"/>
      <c r="O30" s="210"/>
      <c r="P30" s="210"/>
    </row>
    <row r="31" spans="1:16">
      <c r="A31" s="291" t="s">
        <v>165</v>
      </c>
      <c r="B31" s="292">
        <f>B29-B30</f>
        <v>0</v>
      </c>
      <c r="C31" s="373">
        <f>C29-C30</f>
        <v>0</v>
      </c>
      <c r="F31" s="350"/>
      <c r="G31" s="261" t="s">
        <v>166</v>
      </c>
      <c r="H31" s="290" t="str">
        <f>IFERROR((H17-H24)/H16,"")</f>
        <v/>
      </c>
      <c r="I31" s="427" t="str">
        <f>IFERROR((I17-I24)/I16,"")</f>
        <v/>
      </c>
      <c r="J31" s="428">
        <v>1</v>
      </c>
      <c r="K31" s="396" t="s">
        <v>167</v>
      </c>
      <c r="L31" s="350"/>
      <c r="M31" s="350"/>
      <c r="N31" s="350"/>
      <c r="O31" s="210"/>
      <c r="P31" s="210"/>
    </row>
    <row r="32" spans="1:16">
      <c r="F32" s="350"/>
      <c r="G32" s="261" t="s">
        <v>168</v>
      </c>
      <c r="H32" s="290" t="str">
        <f>IFERROR(B19/(B20+B21),"")</f>
        <v/>
      </c>
      <c r="I32" s="427" t="str">
        <f>IFERROR(C19/(C20+C21),"")</f>
        <v/>
      </c>
      <c r="J32" s="428">
        <v>2</v>
      </c>
      <c r="K32" s="330" t="s">
        <v>169</v>
      </c>
      <c r="L32" s="350"/>
      <c r="M32" s="350"/>
      <c r="N32" s="350"/>
      <c r="O32" s="210"/>
      <c r="P32" s="210"/>
    </row>
    <row r="33" spans="1:16" ht="15.75">
      <c r="A33" s="508" t="s">
        <v>170</v>
      </c>
      <c r="B33" s="509"/>
      <c r="C33" s="510"/>
      <c r="D33" s="294"/>
      <c r="E33" s="295"/>
      <c r="F33" s="350"/>
      <c r="G33" s="261" t="s">
        <v>171</v>
      </c>
      <c r="H33" s="290" t="str">
        <f>IFERROR(H18/H19,"")</f>
        <v/>
      </c>
      <c r="I33" s="427" t="str">
        <f>IFERROR(I18/I19,"")</f>
        <v/>
      </c>
      <c r="J33" s="428">
        <v>3</v>
      </c>
      <c r="K33" s="395" t="s">
        <v>172</v>
      </c>
      <c r="L33" s="350"/>
      <c r="M33" s="350"/>
      <c r="N33" s="350"/>
      <c r="O33" s="210"/>
      <c r="P33" s="210"/>
    </row>
    <row r="34" spans="1:16" ht="15.75">
      <c r="A34" s="374" t="s">
        <v>98</v>
      </c>
      <c r="B34" s="298">
        <f>B2</f>
        <v>43555</v>
      </c>
      <c r="C34" s="298">
        <f>B34+365</f>
        <v>43920</v>
      </c>
      <c r="D34" s="298" t="s">
        <v>102</v>
      </c>
      <c r="E34" s="299" t="s">
        <v>68</v>
      </c>
      <c r="F34" s="350"/>
      <c r="G34" s="274" t="s">
        <v>173</v>
      </c>
      <c r="H34" s="296" t="str">
        <f>IFERROR((H18+H16)/H19,"")</f>
        <v/>
      </c>
      <c r="I34" s="429" t="str">
        <f>IFERROR((I18+I16)/I19,"")</f>
        <v/>
      </c>
      <c r="J34" s="428">
        <v>7</v>
      </c>
      <c r="K34" s="430" t="s">
        <v>174</v>
      </c>
      <c r="L34" s="350"/>
      <c r="M34" s="350"/>
      <c r="N34" s="350"/>
      <c r="O34" s="210"/>
      <c r="P34" s="210"/>
    </row>
    <row r="35" spans="1:16" ht="15.75">
      <c r="A35" s="414" t="s">
        <v>175</v>
      </c>
      <c r="B35" s="363"/>
      <c r="C35" s="363"/>
      <c r="D35" s="265"/>
      <c r="E35" s="376"/>
      <c r="F35" s="350"/>
      <c r="K35" s="395"/>
      <c r="L35" s="350"/>
      <c r="M35" s="350"/>
      <c r="N35" s="350"/>
      <c r="O35" s="210"/>
      <c r="P35" s="210"/>
    </row>
    <row r="36" spans="1:16">
      <c r="A36" s="269" t="s">
        <v>176</v>
      </c>
      <c r="B36" s="367"/>
      <c r="C36" s="367"/>
      <c r="D36" s="256" t="str">
        <f t="shared" ref="D36:D69" si="1">IFERROR((C36-B36)/B36,"")</f>
        <v/>
      </c>
      <c r="E36" s="361"/>
      <c r="F36" s="377"/>
      <c r="G36" s="511"/>
      <c r="H36" s="511"/>
      <c r="I36" s="378"/>
      <c r="J36" s="350"/>
      <c r="K36" s="350"/>
      <c r="L36" s="350"/>
      <c r="M36" s="350"/>
      <c r="N36" s="350"/>
      <c r="O36" s="210"/>
      <c r="P36" s="210"/>
    </row>
    <row r="37" spans="1:16">
      <c r="A37" s="269" t="s">
        <v>177</v>
      </c>
      <c r="B37" s="363"/>
      <c r="C37" s="363"/>
      <c r="D37" s="256" t="str">
        <f t="shared" si="1"/>
        <v/>
      </c>
      <c r="E37" s="361"/>
      <c r="F37" s="350"/>
      <c r="G37" s="379"/>
      <c r="H37" s="380"/>
      <c r="I37" s="398"/>
      <c r="J37" s="210"/>
      <c r="K37" s="350"/>
      <c r="L37" s="350"/>
      <c r="M37" s="350"/>
      <c r="N37" s="350"/>
      <c r="O37" s="210"/>
      <c r="P37" s="210"/>
    </row>
    <row r="38" spans="1:16" ht="30">
      <c r="A38" s="269" t="s">
        <v>178</v>
      </c>
      <c r="B38" s="363"/>
      <c r="C38" s="363"/>
      <c r="D38" s="256" t="str">
        <f t="shared" si="1"/>
        <v/>
      </c>
      <c r="E38" s="361"/>
      <c r="F38" s="364"/>
      <c r="G38" s="210"/>
      <c r="H38" s="198"/>
      <c r="I38" s="399"/>
      <c r="J38" s="210"/>
      <c r="K38" s="350"/>
      <c r="L38" s="350"/>
      <c r="M38" s="350"/>
      <c r="N38" s="350"/>
      <c r="O38" s="210"/>
      <c r="P38" s="210"/>
    </row>
    <row r="39" spans="1:16">
      <c r="A39" s="415" t="s">
        <v>179</v>
      </c>
      <c r="B39" s="281">
        <f>B36+B37</f>
        <v>0</v>
      </c>
      <c r="C39" s="281">
        <f>C36+C37</f>
        <v>0</v>
      </c>
      <c r="D39" s="256" t="str">
        <f t="shared" si="1"/>
        <v/>
      </c>
      <c r="E39" s="361"/>
      <c r="F39" s="364"/>
      <c r="G39" s="210"/>
      <c r="H39" s="210"/>
      <c r="I39" s="393"/>
      <c r="J39" s="210"/>
      <c r="K39" s="350"/>
      <c r="L39" s="350"/>
      <c r="M39" s="350"/>
      <c r="N39" s="350"/>
      <c r="O39" s="210"/>
      <c r="P39" s="210"/>
    </row>
    <row r="40" spans="1:16">
      <c r="A40" s="269" t="s">
        <v>180</v>
      </c>
      <c r="B40" s="363"/>
      <c r="C40" s="363"/>
      <c r="D40" s="256" t="str">
        <f t="shared" si="1"/>
        <v/>
      </c>
      <c r="E40" s="361"/>
      <c r="F40" s="350"/>
      <c r="G40" s="210"/>
      <c r="H40" s="380"/>
      <c r="I40" s="398"/>
      <c r="J40" s="210"/>
      <c r="K40" s="350"/>
      <c r="L40" s="350"/>
      <c r="M40" s="350"/>
      <c r="N40" s="350"/>
      <c r="O40" s="210"/>
      <c r="P40" s="210"/>
    </row>
    <row r="41" spans="1:16" ht="30">
      <c r="A41" s="269" t="s">
        <v>181</v>
      </c>
      <c r="B41" s="363"/>
      <c r="C41" s="363"/>
      <c r="D41" s="256" t="str">
        <f t="shared" si="1"/>
        <v/>
      </c>
      <c r="E41" s="361"/>
      <c r="F41" s="364"/>
      <c r="G41" s="210"/>
      <c r="H41" s="210"/>
      <c r="I41" s="393"/>
      <c r="J41" s="210"/>
      <c r="K41" s="350"/>
      <c r="L41" s="350"/>
      <c r="M41" s="350"/>
      <c r="N41" s="350"/>
      <c r="O41" s="210"/>
      <c r="P41" s="210"/>
    </row>
    <row r="42" spans="1:16">
      <c r="A42" s="269" t="s">
        <v>182</v>
      </c>
      <c r="B42" s="363"/>
      <c r="C42" s="363"/>
      <c r="D42" s="256" t="str">
        <f t="shared" si="1"/>
        <v/>
      </c>
      <c r="E42" s="361"/>
      <c r="F42" s="364"/>
      <c r="G42" s="210"/>
      <c r="H42" s="210"/>
      <c r="I42" s="393"/>
      <c r="J42" s="210"/>
      <c r="K42" s="350"/>
      <c r="L42" s="350"/>
      <c r="M42" s="350"/>
      <c r="N42" s="350"/>
      <c r="O42" s="210"/>
      <c r="P42" s="210"/>
    </row>
    <row r="43" spans="1:16">
      <c r="A43" s="415" t="s">
        <v>183</v>
      </c>
      <c r="B43" s="281">
        <f>B39+B41-B40-B42-B57-B61</f>
        <v>0</v>
      </c>
      <c r="C43" s="281">
        <f>(C39+C41-C40-C42-C57-C61)</f>
        <v>0</v>
      </c>
      <c r="D43" s="256"/>
      <c r="E43" s="361"/>
      <c r="F43" s="364"/>
      <c r="G43" s="210"/>
      <c r="H43" s="210"/>
      <c r="I43" s="393"/>
      <c r="J43" s="210"/>
      <c r="K43" s="350"/>
      <c r="L43" s="350"/>
      <c r="M43" s="350"/>
      <c r="N43" s="350"/>
      <c r="O43" s="210"/>
      <c r="P43" s="210"/>
    </row>
    <row r="44" spans="1:16" ht="30">
      <c r="A44" s="269" t="s">
        <v>184</v>
      </c>
      <c r="B44" s="416"/>
      <c r="C44" s="367"/>
      <c r="D44" s="256" t="str">
        <f t="shared" si="1"/>
        <v/>
      </c>
      <c r="E44" s="361"/>
      <c r="F44" s="364"/>
      <c r="G44" s="210"/>
      <c r="H44" s="210"/>
      <c r="I44" s="393"/>
      <c r="J44" s="210"/>
      <c r="K44" s="350"/>
      <c r="L44" s="350"/>
      <c r="M44" s="350"/>
      <c r="N44" s="350"/>
      <c r="O44" s="210"/>
      <c r="P44" s="210"/>
    </row>
    <row r="45" spans="1:16">
      <c r="A45" s="269" t="s">
        <v>185</v>
      </c>
      <c r="B45" s="417"/>
      <c r="C45" s="367"/>
      <c r="D45" s="256" t="str">
        <f t="shared" si="1"/>
        <v/>
      </c>
      <c r="E45" s="361"/>
      <c r="F45" s="364"/>
      <c r="G45" s="210"/>
      <c r="H45" s="210"/>
      <c r="I45" s="393"/>
      <c r="J45" s="210"/>
      <c r="K45" s="350"/>
      <c r="L45" s="350"/>
      <c r="M45" s="350"/>
      <c r="N45" s="350"/>
      <c r="O45" s="210"/>
      <c r="P45" s="210"/>
    </row>
    <row r="46" spans="1:16">
      <c r="A46" s="269" t="s">
        <v>186</v>
      </c>
      <c r="B46" s="418"/>
      <c r="C46" s="367"/>
      <c r="D46" s="256" t="str">
        <f t="shared" si="1"/>
        <v/>
      </c>
      <c r="E46" s="361"/>
      <c r="F46" s="364"/>
      <c r="G46" s="210"/>
      <c r="H46" s="210"/>
      <c r="I46" s="393"/>
      <c r="J46" s="210"/>
      <c r="K46" s="350"/>
      <c r="L46" s="350"/>
      <c r="M46" s="350"/>
      <c r="N46" s="350"/>
      <c r="O46" s="210"/>
      <c r="P46" s="210"/>
    </row>
    <row r="47" spans="1:16">
      <c r="A47" s="269" t="s">
        <v>187</v>
      </c>
      <c r="B47" s="363"/>
      <c r="C47" s="363"/>
      <c r="D47" s="256" t="str">
        <f t="shared" si="1"/>
        <v/>
      </c>
      <c r="E47" s="361"/>
      <c r="F47" s="364"/>
      <c r="G47" s="210"/>
      <c r="H47" s="210"/>
      <c r="I47" s="393"/>
      <c r="J47" s="210"/>
      <c r="K47" s="350"/>
      <c r="L47" s="350"/>
      <c r="M47" s="350"/>
      <c r="N47" s="350"/>
      <c r="O47" s="210"/>
      <c r="P47" s="210"/>
    </row>
    <row r="48" spans="1:16">
      <c r="A48" s="415" t="s">
        <v>188</v>
      </c>
      <c r="B48" s="281">
        <f>SUM(B44+B45+B46+B47)</f>
        <v>0</v>
      </c>
      <c r="C48" s="281">
        <f>SUM(C44+C45+C46+C47)</f>
        <v>0</v>
      </c>
      <c r="D48" s="256" t="str">
        <f t="shared" si="1"/>
        <v/>
      </c>
      <c r="E48" s="361"/>
      <c r="F48" s="350"/>
      <c r="G48" s="210"/>
      <c r="H48" s="210"/>
      <c r="I48" s="393"/>
      <c r="J48" s="210"/>
      <c r="K48" s="350"/>
      <c r="L48" s="350"/>
      <c r="M48" s="350"/>
      <c r="N48" s="350"/>
      <c r="O48" s="210"/>
      <c r="P48" s="210"/>
    </row>
    <row r="49" spans="1:16">
      <c r="A49" s="269" t="s">
        <v>189</v>
      </c>
      <c r="B49" s="417"/>
      <c r="C49" s="367"/>
      <c r="D49" s="256" t="str">
        <f t="shared" si="1"/>
        <v/>
      </c>
      <c r="E49" s="361"/>
      <c r="F49" s="364"/>
      <c r="G49" s="210"/>
      <c r="H49" s="210"/>
      <c r="I49" s="393"/>
      <c r="J49" s="210"/>
      <c r="K49" s="350"/>
      <c r="L49" s="350"/>
      <c r="M49" s="350"/>
      <c r="N49" s="350"/>
      <c r="O49" s="210"/>
      <c r="P49" s="210"/>
    </row>
    <row r="50" spans="1:16">
      <c r="A50" s="269" t="s">
        <v>190</v>
      </c>
      <c r="B50" s="363"/>
      <c r="C50" s="363"/>
      <c r="D50" s="256" t="str">
        <f t="shared" si="1"/>
        <v/>
      </c>
      <c r="E50" s="361"/>
      <c r="F50" s="364"/>
      <c r="G50" s="210"/>
      <c r="H50" s="210"/>
      <c r="I50" s="393"/>
      <c r="J50" s="210"/>
      <c r="K50" s="350"/>
      <c r="L50" s="350"/>
      <c r="M50" s="350"/>
      <c r="N50" s="350"/>
      <c r="O50" s="210"/>
      <c r="P50" s="210"/>
    </row>
    <row r="51" spans="1:16">
      <c r="A51" s="269" t="s">
        <v>191</v>
      </c>
      <c r="B51" s="384"/>
      <c r="C51" s="383"/>
      <c r="D51" s="256" t="str">
        <f t="shared" si="1"/>
        <v/>
      </c>
      <c r="E51" s="361"/>
      <c r="F51" s="364"/>
      <c r="G51" s="210"/>
      <c r="H51" s="210"/>
      <c r="I51" s="393"/>
      <c r="J51" s="210"/>
      <c r="K51" s="350"/>
      <c r="L51" s="350"/>
      <c r="M51" s="350"/>
      <c r="N51" s="350"/>
      <c r="O51" s="210"/>
      <c r="P51" s="210"/>
    </row>
    <row r="52" spans="1:16">
      <c r="A52" s="269" t="s">
        <v>192</v>
      </c>
      <c r="B52" s="418"/>
      <c r="C52" s="367"/>
      <c r="D52" s="256" t="str">
        <f t="shared" si="1"/>
        <v/>
      </c>
      <c r="E52" s="361"/>
      <c r="F52" s="364"/>
      <c r="G52" s="350"/>
      <c r="H52" s="350"/>
      <c r="I52" s="350"/>
      <c r="J52" s="350"/>
      <c r="K52" s="350"/>
      <c r="L52" s="350"/>
      <c r="M52" s="350"/>
      <c r="N52" s="350"/>
      <c r="O52" s="210"/>
      <c r="P52" s="210"/>
    </row>
    <row r="53" spans="1:16">
      <c r="A53" s="269" t="s">
        <v>193</v>
      </c>
      <c r="B53" s="363"/>
      <c r="C53" s="363"/>
      <c r="D53" s="256" t="str">
        <f t="shared" si="1"/>
        <v/>
      </c>
      <c r="E53" s="361"/>
      <c r="F53" s="364"/>
      <c r="G53" s="350"/>
      <c r="H53" s="350"/>
      <c r="I53" s="350"/>
      <c r="J53" s="350"/>
      <c r="K53" s="350"/>
      <c r="L53" s="210"/>
      <c r="M53" s="210"/>
      <c r="N53" s="210"/>
      <c r="O53" s="210"/>
      <c r="P53" s="210"/>
    </row>
    <row r="54" spans="1:16" ht="15.75">
      <c r="A54" s="419" t="s">
        <v>194</v>
      </c>
      <c r="B54" s="311">
        <f>SUM(B38+B39+B41+B48+B49+B50+B51+B52+B53)</f>
        <v>0</v>
      </c>
      <c r="C54" s="311">
        <f>SUM(C38+C39+C41+C48+C49+C50+C51+C52+C53)</f>
        <v>0</v>
      </c>
      <c r="D54" s="256" t="str">
        <f t="shared" si="1"/>
        <v/>
      </c>
      <c r="E54" s="361"/>
      <c r="F54" s="350"/>
      <c r="G54" s="386"/>
      <c r="H54" s="350"/>
      <c r="I54" s="350"/>
      <c r="J54" s="210"/>
      <c r="K54" s="350"/>
      <c r="L54" s="210"/>
      <c r="M54" s="210"/>
      <c r="N54" s="210"/>
      <c r="O54" s="210"/>
      <c r="P54" s="210"/>
    </row>
    <row r="55" spans="1:16" ht="15.75">
      <c r="A55" s="414" t="s">
        <v>195</v>
      </c>
      <c r="B55" s="387"/>
      <c r="C55" s="387"/>
      <c r="D55" s="256" t="str">
        <f t="shared" si="1"/>
        <v/>
      </c>
      <c r="E55" s="361"/>
      <c r="F55" s="350"/>
      <c r="G55" s="350"/>
      <c r="H55" s="350"/>
      <c r="I55" s="350"/>
      <c r="J55" s="210"/>
      <c r="K55" s="350"/>
      <c r="L55" s="210"/>
      <c r="M55" s="210"/>
      <c r="N55" s="210"/>
      <c r="O55" s="210"/>
      <c r="P55" s="210"/>
    </row>
    <row r="56" spans="1:16" ht="30">
      <c r="A56" s="266" t="s">
        <v>196</v>
      </c>
      <c r="B56" s="420"/>
      <c r="C56" s="420"/>
      <c r="D56" s="256" t="str">
        <f t="shared" si="1"/>
        <v/>
      </c>
      <c r="E56" s="361"/>
      <c r="F56" s="379"/>
      <c r="G56" s="350"/>
      <c r="H56" s="350"/>
      <c r="I56" s="350"/>
      <c r="J56" s="210"/>
      <c r="K56" s="350"/>
    </row>
    <row r="57" spans="1:16">
      <c r="A57" s="266" t="s">
        <v>197</v>
      </c>
      <c r="B57" s="363"/>
      <c r="C57" s="363"/>
      <c r="D57" s="256"/>
      <c r="E57" s="361"/>
      <c r="F57" s="379"/>
      <c r="G57" s="210"/>
      <c r="H57" s="210"/>
      <c r="I57" s="393"/>
      <c r="J57" s="210"/>
      <c r="K57" s="350"/>
    </row>
    <row r="58" spans="1:16">
      <c r="A58" s="266" t="s">
        <v>198</v>
      </c>
      <c r="B58" s="417"/>
      <c r="C58" s="367"/>
      <c r="D58" s="256" t="str">
        <f t="shared" si="1"/>
        <v/>
      </c>
      <c r="E58" s="361"/>
      <c r="G58" s="210"/>
      <c r="H58" s="210"/>
      <c r="I58" s="393"/>
      <c r="J58" s="210"/>
      <c r="K58" s="350"/>
    </row>
    <row r="59" spans="1:16">
      <c r="A59" s="421" t="s">
        <v>199</v>
      </c>
      <c r="B59" s="512"/>
      <c r="C59" s="512"/>
      <c r="D59" s="256" t="str">
        <f t="shared" si="1"/>
        <v/>
      </c>
      <c r="E59" s="361"/>
      <c r="G59" s="210"/>
      <c r="H59" s="210"/>
      <c r="I59" s="393"/>
      <c r="J59" s="210"/>
      <c r="K59" s="350"/>
    </row>
    <row r="60" spans="1:16">
      <c r="A60" s="389" t="s">
        <v>200</v>
      </c>
      <c r="B60" s="416"/>
      <c r="C60" s="367"/>
      <c r="D60" s="256" t="str">
        <f t="shared" si="1"/>
        <v/>
      </c>
      <c r="E60" s="361"/>
      <c r="G60" s="210"/>
      <c r="H60" s="210"/>
      <c r="I60" s="393"/>
      <c r="J60" s="210"/>
      <c r="K60" s="350"/>
    </row>
    <row r="61" spans="1:16">
      <c r="A61" s="390" t="s">
        <v>201</v>
      </c>
      <c r="B61" s="391"/>
      <c r="C61" s="391"/>
      <c r="D61" s="256" t="str">
        <f t="shared" si="1"/>
        <v/>
      </c>
      <c r="E61" s="361"/>
      <c r="G61" s="210"/>
      <c r="H61" s="210"/>
      <c r="I61" s="393"/>
      <c r="J61" s="210"/>
      <c r="K61" s="350"/>
    </row>
    <row r="62" spans="1:16">
      <c r="A62" s="266" t="s">
        <v>202</v>
      </c>
      <c r="B62" s="363"/>
      <c r="C62" s="363"/>
      <c r="D62" s="256" t="str">
        <f t="shared" si="1"/>
        <v/>
      </c>
      <c r="E62" s="361"/>
      <c r="G62" s="210"/>
      <c r="H62" s="210"/>
      <c r="I62" s="393"/>
      <c r="J62" s="210"/>
      <c r="K62" s="350"/>
    </row>
    <row r="63" spans="1:16">
      <c r="A63" s="266" t="s">
        <v>203</v>
      </c>
      <c r="B63" s="363"/>
      <c r="C63" s="363"/>
      <c r="D63" s="256"/>
      <c r="E63" s="361"/>
      <c r="G63" s="210"/>
      <c r="H63" s="210"/>
      <c r="I63" s="393"/>
      <c r="J63" s="210"/>
      <c r="K63" s="350"/>
    </row>
    <row r="64" spans="1:16">
      <c r="A64" s="266" t="s">
        <v>204</v>
      </c>
      <c r="B64" s="418"/>
      <c r="C64" s="367"/>
      <c r="D64" s="256" t="str">
        <f t="shared" si="1"/>
        <v/>
      </c>
      <c r="E64" s="361"/>
      <c r="G64" s="210"/>
      <c r="H64" s="210"/>
      <c r="I64" s="393"/>
      <c r="J64" s="210"/>
      <c r="K64" s="350"/>
    </row>
    <row r="65" spans="1:11">
      <c r="A65" s="266" t="s">
        <v>205</v>
      </c>
      <c r="B65" s="418"/>
      <c r="C65" s="367"/>
      <c r="D65" s="256" t="str">
        <f t="shared" si="1"/>
        <v/>
      </c>
      <c r="E65" s="361"/>
      <c r="G65" s="350"/>
      <c r="H65" s="350"/>
      <c r="I65" s="350"/>
      <c r="J65" s="350"/>
      <c r="K65" s="350"/>
    </row>
    <row r="66" spans="1:11">
      <c r="A66" s="266" t="s">
        <v>206</v>
      </c>
      <c r="B66" s="363"/>
      <c r="C66" s="363"/>
      <c r="D66" s="256" t="str">
        <f t="shared" si="1"/>
        <v/>
      </c>
      <c r="E66" s="361"/>
      <c r="G66" s="210"/>
      <c r="H66" s="210"/>
      <c r="I66" s="393"/>
      <c r="J66" s="210"/>
      <c r="K66" s="210"/>
    </row>
    <row r="67" spans="1:11" ht="30">
      <c r="A67" s="431" t="s">
        <v>207</v>
      </c>
      <c r="B67" s="363"/>
      <c r="C67" s="363"/>
      <c r="D67" s="256" t="str">
        <f t="shared" si="1"/>
        <v/>
      </c>
      <c r="E67" s="361"/>
      <c r="G67" s="210"/>
      <c r="H67" s="210"/>
      <c r="I67" s="393"/>
      <c r="J67" s="210"/>
      <c r="K67" s="210"/>
    </row>
    <row r="68" spans="1:11">
      <c r="A68" s="266" t="s">
        <v>208</v>
      </c>
      <c r="B68" s="418"/>
      <c r="C68" s="367"/>
      <c r="D68" s="256" t="str">
        <f t="shared" si="1"/>
        <v/>
      </c>
      <c r="E68" s="361"/>
      <c r="G68" s="210"/>
      <c r="H68" s="210"/>
      <c r="I68" s="393"/>
      <c r="J68" s="210"/>
      <c r="K68" s="210"/>
    </row>
    <row r="69" spans="1:11" ht="15.75">
      <c r="A69" s="419" t="s">
        <v>194</v>
      </c>
      <c r="B69" s="311">
        <f>SUM(B56:B68)+B40</f>
        <v>0</v>
      </c>
      <c r="C69" s="311">
        <f>SUM(C56:C68)+C40</f>
        <v>0</v>
      </c>
      <c r="D69" s="256" t="str">
        <f t="shared" si="1"/>
        <v/>
      </c>
      <c r="E69" s="361"/>
      <c r="G69" s="210"/>
      <c r="H69" s="210"/>
      <c r="I69" s="393"/>
      <c r="J69" s="210"/>
      <c r="K69" s="210"/>
    </row>
    <row r="70" spans="1:11">
      <c r="A70" s="402" t="s">
        <v>209</v>
      </c>
      <c r="B70" s="339">
        <f>B54-B69</f>
        <v>0</v>
      </c>
      <c r="C70" s="339">
        <f>C54-C69</f>
        <v>0</v>
      </c>
      <c r="D70" s="340"/>
      <c r="E70" s="403"/>
      <c r="G70" s="210"/>
      <c r="H70" s="210"/>
      <c r="I70" s="393"/>
      <c r="J70" s="210"/>
      <c r="K70" s="210"/>
    </row>
    <row r="71" spans="1:11">
      <c r="A71" s="210"/>
      <c r="B71" s="210"/>
      <c r="C71" s="210"/>
      <c r="D71" s="210"/>
      <c r="E71" s="210"/>
      <c r="G71" s="210"/>
      <c r="H71" s="210"/>
      <c r="I71" s="393"/>
      <c r="J71" s="210"/>
      <c r="K71" s="210"/>
    </row>
    <row r="72" spans="1:11">
      <c r="A72" s="210"/>
      <c r="B72" s="210"/>
      <c r="C72" s="210"/>
      <c r="D72" s="210"/>
      <c r="E72" s="210"/>
      <c r="G72" s="210"/>
      <c r="H72" s="210"/>
      <c r="I72" s="393"/>
      <c r="J72" s="210"/>
      <c r="K72" s="210"/>
    </row>
    <row r="73" spans="1:11">
      <c r="A73" s="210"/>
      <c r="B73" s="210"/>
      <c r="C73" s="210"/>
      <c r="D73" s="210"/>
      <c r="E73" s="210"/>
      <c r="G73" s="210"/>
      <c r="H73" s="210"/>
      <c r="I73" s="393"/>
      <c r="J73" s="210"/>
      <c r="K73" s="210"/>
    </row>
    <row r="74" spans="1:11">
      <c r="A74" s="210"/>
      <c r="B74" s="210"/>
      <c r="C74" s="210"/>
      <c r="D74" s="210"/>
      <c r="E74" s="210"/>
      <c r="G74" s="210"/>
      <c r="H74" s="210"/>
      <c r="I74" s="393"/>
      <c r="J74" s="210"/>
      <c r="K74" s="210"/>
    </row>
    <row r="75" spans="1:11">
      <c r="A75" s="210"/>
      <c r="B75" s="210"/>
      <c r="C75" s="210"/>
      <c r="D75" s="210"/>
      <c r="E75" s="210"/>
      <c r="G75" s="210"/>
      <c r="H75" s="210"/>
      <c r="I75" s="393"/>
      <c r="J75" s="210"/>
      <c r="K75" s="210"/>
    </row>
    <row r="76" spans="1:11" ht="15.75">
      <c r="A76" s="210"/>
      <c r="B76" s="210"/>
      <c r="C76" s="210"/>
      <c r="D76" s="404"/>
      <c r="E76" s="350"/>
      <c r="G76" s="210"/>
      <c r="H76" s="210"/>
      <c r="I76" s="393"/>
      <c r="J76" s="210"/>
      <c r="K76" s="210"/>
    </row>
    <row r="77" spans="1:11">
      <c r="A77" s="210"/>
      <c r="B77" s="210"/>
      <c r="C77" s="210"/>
      <c r="D77" s="405"/>
      <c r="E77" s="350"/>
      <c r="G77" s="210"/>
      <c r="H77" s="210"/>
      <c r="I77" s="393"/>
      <c r="J77" s="210"/>
      <c r="K77" s="210"/>
    </row>
    <row r="78" spans="1:11">
      <c r="A78" s="210"/>
      <c r="B78" s="210"/>
      <c r="C78" s="210"/>
      <c r="D78" s="406"/>
      <c r="E78" s="350"/>
      <c r="G78" s="210"/>
      <c r="H78" s="210"/>
      <c r="I78" s="393"/>
      <c r="J78" s="210"/>
      <c r="K78" s="210"/>
    </row>
    <row r="79" spans="1:11">
      <c r="A79" s="210"/>
      <c r="B79" s="210"/>
      <c r="C79" s="210"/>
      <c r="D79" s="407"/>
      <c r="E79" s="350"/>
      <c r="G79" s="210"/>
      <c r="H79" s="210"/>
      <c r="I79" s="393"/>
      <c r="J79" s="210"/>
      <c r="K79" s="210"/>
    </row>
    <row r="80" spans="1:11">
      <c r="A80" s="210"/>
      <c r="B80" s="210"/>
      <c r="C80" s="210"/>
      <c r="D80" s="406"/>
      <c r="E80" s="350"/>
      <c r="G80" s="210"/>
      <c r="H80" s="210"/>
      <c r="I80" s="393"/>
      <c r="J80" s="210"/>
      <c r="K80" s="210"/>
    </row>
    <row r="81" spans="1:11">
      <c r="A81" s="210"/>
      <c r="B81" s="210"/>
      <c r="C81" s="210"/>
      <c r="D81" s="406"/>
      <c r="E81" s="350"/>
      <c r="G81" s="210"/>
      <c r="H81" s="210"/>
      <c r="I81" s="393"/>
      <c r="J81" s="210"/>
      <c r="K81" s="210"/>
    </row>
    <row r="82" spans="1:11">
      <c r="A82" s="210"/>
      <c r="B82" s="210"/>
      <c r="C82" s="210"/>
      <c r="D82" s="406"/>
      <c r="E82" s="350"/>
      <c r="G82" s="210"/>
      <c r="H82" s="210"/>
      <c r="I82" s="393"/>
      <c r="J82" s="210"/>
      <c r="K82" s="210"/>
    </row>
    <row r="83" spans="1:11">
      <c r="A83" s="210"/>
      <c r="B83" s="210"/>
      <c r="C83" s="210"/>
      <c r="D83" s="406"/>
      <c r="E83" s="350"/>
      <c r="G83" s="210"/>
      <c r="H83" s="210"/>
      <c r="I83" s="393"/>
      <c r="J83" s="210"/>
      <c r="K83" s="210"/>
    </row>
    <row r="84" spans="1:11">
      <c r="A84" s="210"/>
      <c r="B84" s="210"/>
      <c r="C84" s="210"/>
      <c r="D84" s="408"/>
      <c r="E84" s="210"/>
      <c r="G84" s="210"/>
      <c r="H84" s="210"/>
      <c r="I84" s="393"/>
      <c r="J84" s="210"/>
      <c r="K84" s="210"/>
    </row>
    <row r="85" spans="1:11">
      <c r="A85" s="210"/>
      <c r="B85" s="210"/>
      <c r="C85" s="210"/>
      <c r="D85" s="406"/>
      <c r="E85" s="210"/>
      <c r="G85" s="210"/>
      <c r="H85" s="210"/>
      <c r="I85" s="393"/>
      <c r="J85" s="210"/>
      <c r="K85" s="210"/>
    </row>
    <row r="86" spans="1:11">
      <c r="A86" s="210"/>
      <c r="B86" s="210"/>
      <c r="C86" s="210"/>
      <c r="D86" s="406"/>
      <c r="E86" s="210"/>
      <c r="G86" s="210"/>
      <c r="H86" s="210"/>
      <c r="I86" s="393"/>
      <c r="J86" s="210"/>
      <c r="K86" s="210"/>
    </row>
    <row r="87" spans="1:11">
      <c r="A87" s="210"/>
      <c r="B87" s="210"/>
      <c r="C87" s="210"/>
      <c r="D87" s="408"/>
      <c r="E87" s="210"/>
      <c r="G87" s="210"/>
      <c r="H87" s="210"/>
      <c r="I87" s="393"/>
      <c r="J87" s="210"/>
      <c r="K87" s="210"/>
    </row>
    <row r="88" spans="1:11">
      <c r="A88" s="210"/>
      <c r="B88" s="210"/>
      <c r="C88" s="210"/>
      <c r="D88" s="408"/>
      <c r="E88" s="210"/>
      <c r="G88" s="210"/>
      <c r="H88" s="210"/>
      <c r="I88" s="393"/>
      <c r="J88" s="210"/>
      <c r="K88" s="210"/>
    </row>
    <row r="89" spans="1:11">
      <c r="A89" s="210"/>
      <c r="B89" s="210"/>
      <c r="C89" s="210"/>
      <c r="D89" s="406"/>
      <c r="E89" s="210"/>
    </row>
    <row r="90" spans="1:11">
      <c r="A90" s="210"/>
      <c r="B90" s="210"/>
      <c r="C90" s="210"/>
      <c r="D90" s="408"/>
      <c r="E90" s="210"/>
    </row>
    <row r="91" spans="1:11">
      <c r="A91" s="210"/>
      <c r="B91" s="210"/>
      <c r="C91" s="210"/>
      <c r="D91" s="378"/>
      <c r="E91" s="210"/>
    </row>
    <row r="92" spans="1:11">
      <c r="A92" s="210"/>
      <c r="B92" s="210"/>
      <c r="C92" s="210"/>
      <c r="D92" s="432"/>
      <c r="E92" s="210"/>
    </row>
    <row r="93" spans="1:11">
      <c r="A93" s="210"/>
      <c r="B93" s="210"/>
      <c r="C93" s="210"/>
      <c r="D93" s="433"/>
      <c r="E93" s="210"/>
    </row>
    <row r="94" spans="1:11">
      <c r="A94" s="210"/>
      <c r="B94" s="210"/>
      <c r="C94" s="210"/>
      <c r="D94" s="433"/>
      <c r="E94" s="210"/>
    </row>
    <row r="95" spans="1:11">
      <c r="D95" s="348"/>
    </row>
    <row r="96" spans="1:11">
      <c r="D96" s="347"/>
    </row>
    <row r="97" spans="4:4">
      <c r="D97" s="347"/>
    </row>
    <row r="98" spans="4:4">
      <c r="D98" s="347"/>
    </row>
    <row r="99" spans="4:4">
      <c r="D99" s="348"/>
    </row>
    <row r="100" spans="4:4">
      <c r="D100" s="348"/>
    </row>
    <row r="101" spans="4:4">
      <c r="D101" s="348"/>
    </row>
    <row r="102" spans="4:4">
      <c r="D102" s="348"/>
    </row>
  </sheetData>
  <sheetProtection algorithmName="SHA-512" hashValue="9kivQOT/FR/KUH3YohWGEiZqxsc8gbhsi8YbhUNZSuhDaftWDKBRK1uKUa2sHIcjvGt1guZUrGkEvZhk2855IA==" saltValue="Yij6V23dblvqlHtlUuToFA==" spinCount="100000" sheet="1" objects="1" scenarios="1"/>
  <protectedRanges>
    <protectedRange sqref="E3:E4 B34:E34 D5:E5 B2:D4" name="Range5_1" securityDescriptor=""/>
    <protectedRange sqref="B33:C33 B8:E8" name="Range1_1" securityDescriptor=""/>
    <protectedRange sqref="B59:C59 E59" name="Range2_1" securityDescriptor=""/>
    <protectedRange sqref="E16:E17" name="Range1_1_2" securityDescriptor=""/>
    <protectedRange sqref="E21:E22" name="Range1_1_3" securityDescriptor=""/>
    <protectedRange sqref="G2:I2" name="Range5_1_3" securityDescriptor=""/>
    <protectedRange sqref="H6:I7 D77:D78" name="Range5_1_3_1" securityDescriptor=""/>
    <protectedRange sqref="E11" name="Range1_1_1_1" securityDescriptor=""/>
    <protectedRange sqref="B35:C35" name="Range1_1_4" securityDescriptor=""/>
    <protectedRange sqref="E37:E38 E40" name="Range1_1_6_1" securityDescriptor=""/>
    <protectedRange sqref="E50" name="Range1_1_7_1" securityDescriptor=""/>
    <protectedRange sqref="E53" name="Range1_3_1" securityDescriptor=""/>
    <protectedRange sqref="E62:E64" name="Range2_1_4_1" securityDescriptor=""/>
    <protectedRange sqref="B11:C11" name="Range1_1_1_1_1" securityDescriptor=""/>
    <protectedRange sqref="B16:C17" name="Range1_1_2_1" securityDescriptor=""/>
    <protectedRange sqref="B21:C22" name="Range1_1_3_1" securityDescriptor=""/>
    <protectedRange sqref="B38:C38" name="Range1_1_6_1_1" securityDescriptor=""/>
    <protectedRange sqref="B50:C50" name="Range1_1_7_1_1" securityDescriptor=""/>
    <protectedRange sqref="B53:C53" name="Range1_3_1_1" securityDescriptor=""/>
    <protectedRange sqref="B40:C40" name="Range2_1_3_1_1" securityDescriptor=""/>
    <protectedRange sqref="B62:C64" name="Range2_1_4_1_1" securityDescriptor=""/>
  </protectedRanges>
  <mergeCells count="8">
    <mergeCell ref="A33:C33"/>
    <mergeCell ref="G36:H36"/>
    <mergeCell ref="B59:C59"/>
    <mergeCell ref="A1:C1"/>
    <mergeCell ref="A5:C5"/>
    <mergeCell ref="G5:I5"/>
    <mergeCell ref="B8:C8"/>
    <mergeCell ref="G20:I20"/>
  </mergeCells>
  <conditionalFormatting sqref="D3">
    <cfRule type="containsText" dxfId="292" priority="1" operator="containsText" text="Please input">
      <formula>NOT(ISERROR(SEARCH("Please input",D3)))</formula>
    </cfRule>
  </conditionalFormatting>
  <conditionalFormatting sqref="H28">
    <cfRule type="cellIs" dxfId="291" priority="11" operator="lessThan">
      <formula>4</formula>
    </cfRule>
    <cfRule type="cellIs" dxfId="290" priority="12" operator="greaterThanOrEqual">
      <formula>4</formula>
    </cfRule>
  </conditionalFormatting>
  <conditionalFormatting sqref="I28">
    <cfRule type="cellIs" dxfId="289" priority="7" operator="lessThan">
      <formula>4</formula>
    </cfRule>
    <cfRule type="cellIs" dxfId="288" priority="8" operator="greaterThanOrEqual">
      <formula>4</formula>
    </cfRule>
  </conditionalFormatting>
  <conditionalFormatting sqref="I30">
    <cfRule type="cellIs" dxfId="287" priority="2" operator="lessThan">
      <formula>1.3</formula>
    </cfRule>
  </conditionalFormatting>
  <conditionalFormatting sqref="I31">
    <cfRule type="cellIs" dxfId="286" priority="3" operator="lessThan">
      <formula>1</formula>
    </cfRule>
  </conditionalFormatting>
  <conditionalFormatting sqref="I32">
    <cfRule type="cellIs" dxfId="285" priority="4" operator="lessThan">
      <formula>2</formula>
    </cfRule>
  </conditionalFormatting>
  <conditionalFormatting sqref="I33">
    <cfRule type="cellIs" dxfId="284" priority="6" operator="greaterThan">
      <formula>3</formula>
    </cfRule>
  </conditionalFormatting>
  <conditionalFormatting sqref="I34">
    <cfRule type="cellIs" dxfId="283" priority="5" operator="greaterThan">
      <formula>7</formula>
    </cfRule>
  </conditionalFormatting>
  <conditionalFormatting sqref="H25:I27">
    <cfRule type="cellIs" dxfId="282" priority="22" operator="lessThan">
      <formula>90</formula>
    </cfRule>
    <cfRule type="cellIs" dxfId="281" priority="23" operator="greaterThanOrEqual">
      <formula>90</formula>
    </cfRule>
  </conditionalFormatting>
  <dataValidations count="2">
    <dataValidation type="list" allowBlank="1" showInputMessage="1" showErrorMessage="1" sqref="B3" xr:uid="{00000000-0002-0000-0200-000000000000}">
      <formula1>"Audited,UnAudited, 44ADA, 44AD"</formula1>
    </dataValidation>
    <dataValidation type="list" allowBlank="1" showInputMessage="1" showErrorMessage="1" sqref="C3" xr:uid="{00000000-0002-0000-0200-000001000000}">
      <formula1>"Audited,UnAudited,44ADA,44AD"</formula1>
    </dataValidation>
  </dataValidations>
  <pageMargins left="0.69930555555555596" right="0.69930555555555596" top="0.75" bottom="0.75" header="0.3" footer="0.3"/>
  <pageSetup scale="31" orientation="portrait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02"/>
  <sheetViews>
    <sheetView zoomScale="98" zoomScaleNormal="98" workbookViewId="0">
      <selection activeCell="C6" sqref="C6"/>
    </sheetView>
  </sheetViews>
  <sheetFormatPr defaultColWidth="9" defaultRowHeight="15"/>
  <cols>
    <col min="1" max="1" width="36.7109375" style="113" customWidth="1"/>
    <col min="2" max="2" width="27.42578125" style="113" customWidth="1"/>
    <col min="3" max="3" width="25.42578125" style="113" customWidth="1"/>
    <col min="4" max="4" width="15.7109375" style="113" customWidth="1"/>
    <col min="5" max="5" width="27.42578125" style="113" customWidth="1"/>
    <col min="6" max="6" width="5.28515625" style="210" customWidth="1"/>
    <col min="7" max="7" width="32.140625" style="113" customWidth="1"/>
    <col min="8" max="8" width="23.5703125" style="113" customWidth="1"/>
    <col min="9" max="9" width="23.5703125" style="240" customWidth="1"/>
    <col min="10" max="10" width="7.28515625" style="210" customWidth="1"/>
    <col min="11" max="11" width="15" style="210" customWidth="1"/>
    <col min="12" max="12" width="15.42578125" style="210" customWidth="1"/>
    <col min="13" max="13" width="29.140625" style="210" customWidth="1"/>
    <col min="14" max="15" width="9" style="210"/>
    <col min="16" max="16384" width="9" style="113"/>
  </cols>
  <sheetData>
    <row r="1" spans="1:14" ht="15.75">
      <c r="A1" s="513" t="s">
        <v>97</v>
      </c>
      <c r="B1" s="514"/>
      <c r="C1" s="529"/>
      <c r="D1" s="349"/>
      <c r="E1" s="349"/>
      <c r="F1" s="350"/>
      <c r="G1" s="350"/>
      <c r="H1" s="350"/>
      <c r="I1" s="350"/>
      <c r="J1" s="350"/>
      <c r="K1" s="392"/>
      <c r="L1" s="392"/>
      <c r="M1" s="392"/>
      <c r="N1" s="392"/>
    </row>
    <row r="2" spans="1:14" ht="15.75">
      <c r="A2" s="351" t="s">
        <v>98</v>
      </c>
      <c r="B2" s="244">
        <f>C2-366</f>
        <v>43920</v>
      </c>
      <c r="C2" s="245">
        <v>44286</v>
      </c>
      <c r="D2" s="352"/>
      <c r="E2" s="350"/>
      <c r="F2" s="350"/>
      <c r="G2" s="353"/>
      <c r="H2" s="353"/>
      <c r="I2" s="353"/>
      <c r="J2" s="530"/>
      <c r="K2" s="530"/>
      <c r="L2" s="350"/>
      <c r="M2" s="350"/>
      <c r="N2" s="350"/>
    </row>
    <row r="3" spans="1:14" ht="15.75">
      <c r="A3" s="354" t="s">
        <v>99</v>
      </c>
      <c r="B3" s="355" t="s">
        <v>210</v>
      </c>
      <c r="C3" s="356" t="s">
        <v>211</v>
      </c>
      <c r="D3" s="350"/>
      <c r="E3" s="350"/>
      <c r="F3" s="350"/>
      <c r="G3" s="210"/>
      <c r="H3" s="210"/>
      <c r="I3" s="393"/>
      <c r="K3" s="350"/>
      <c r="L3" s="350"/>
      <c r="M3" s="350"/>
      <c r="N3" s="350"/>
    </row>
    <row r="4" spans="1:14">
      <c r="A4" s="357" t="s">
        <v>212</v>
      </c>
      <c r="B4" s="77" t="s">
        <v>213</v>
      </c>
      <c r="C4" s="77">
        <v>44297</v>
      </c>
      <c r="D4" s="350"/>
      <c r="E4" s="350"/>
      <c r="F4" s="350"/>
      <c r="G4" s="210"/>
      <c r="H4" s="210"/>
      <c r="I4" s="393"/>
      <c r="K4" s="350"/>
      <c r="L4" s="350"/>
      <c r="M4" s="350"/>
      <c r="N4" s="350"/>
    </row>
    <row r="5" spans="1:14" ht="15.75">
      <c r="A5" s="516" t="s">
        <v>101</v>
      </c>
      <c r="B5" s="517"/>
      <c r="C5" s="517"/>
      <c r="D5" s="358" t="s">
        <v>102</v>
      </c>
      <c r="E5" s="358" t="s">
        <v>68</v>
      </c>
      <c r="F5" s="350"/>
      <c r="G5" s="531" t="s">
        <v>103</v>
      </c>
      <c r="H5" s="532"/>
      <c r="I5" s="533"/>
      <c r="K5" s="350"/>
      <c r="L5" s="350"/>
      <c r="M5" s="350"/>
      <c r="N5" s="350"/>
    </row>
    <row r="6" spans="1:14">
      <c r="A6" s="359" t="s">
        <v>104</v>
      </c>
      <c r="B6" s="360"/>
      <c r="C6" s="360"/>
      <c r="D6" s="256" t="str">
        <f>IFERROR((C6-B6)/B6,"")</f>
        <v/>
      </c>
      <c r="E6" s="361"/>
      <c r="F6" s="350"/>
      <c r="G6" s="258" t="s">
        <v>105</v>
      </c>
      <c r="H6" s="259">
        <f>B2</f>
        <v>43920</v>
      </c>
      <c r="I6" s="319">
        <f>H6+365</f>
        <v>44285</v>
      </c>
      <c r="K6" s="350"/>
      <c r="L6" s="350"/>
      <c r="M6" s="350"/>
      <c r="N6" s="350"/>
    </row>
    <row r="7" spans="1:14" ht="30" customHeight="1">
      <c r="A7" s="362" t="s">
        <v>106</v>
      </c>
      <c r="B7" s="363"/>
      <c r="C7" s="363"/>
      <c r="D7" s="256" t="str">
        <f>IFERROR((C7-B7)/B7,"")</f>
        <v/>
      </c>
      <c r="E7" s="361"/>
      <c r="F7" s="350"/>
      <c r="G7" s="261" t="s">
        <v>107</v>
      </c>
      <c r="H7" s="262">
        <f>B6/100000</f>
        <v>0</v>
      </c>
      <c r="I7" s="320">
        <f>C6/100000</f>
        <v>0</v>
      </c>
      <c r="K7" s="350"/>
      <c r="L7" s="350"/>
      <c r="M7" s="350"/>
      <c r="N7" s="350"/>
    </row>
    <row r="8" spans="1:14" ht="21.75" customHeight="1">
      <c r="A8" s="358" t="s">
        <v>108</v>
      </c>
      <c r="B8" s="521"/>
      <c r="C8" s="521"/>
      <c r="D8" s="264"/>
      <c r="E8" s="361"/>
      <c r="F8" s="350"/>
      <c r="G8" s="261" t="s">
        <v>109</v>
      </c>
      <c r="H8" s="265"/>
      <c r="I8" s="394" t="str">
        <f>IFERROR((I7-H7)/H7,"")</f>
        <v/>
      </c>
      <c r="K8" s="350"/>
      <c r="L8" s="350"/>
      <c r="M8" s="350"/>
      <c r="N8" s="350"/>
    </row>
    <row r="9" spans="1:14">
      <c r="A9" s="266" t="s">
        <v>110</v>
      </c>
      <c r="B9" s="360"/>
      <c r="C9" s="360"/>
      <c r="D9" s="256" t="str">
        <f t="shared" ref="D9:D27" si="0">IFERROR((C9-B9)/B9,"")</f>
        <v/>
      </c>
      <c r="E9" s="361"/>
      <c r="F9" s="350"/>
      <c r="G9" s="261" t="s">
        <v>111</v>
      </c>
      <c r="H9" s="262">
        <f>B19/100000</f>
        <v>0</v>
      </c>
      <c r="I9" s="320">
        <f>C19/100000</f>
        <v>0</v>
      </c>
      <c r="K9" s="350"/>
      <c r="L9" s="350"/>
      <c r="M9" s="350"/>
      <c r="N9" s="350"/>
    </row>
    <row r="10" spans="1:14">
      <c r="A10" s="266" t="s">
        <v>112</v>
      </c>
      <c r="B10" s="363"/>
      <c r="C10" s="363"/>
      <c r="D10" s="256" t="str">
        <f t="shared" si="0"/>
        <v/>
      </c>
      <c r="E10" s="361"/>
      <c r="F10" s="364"/>
      <c r="G10" s="261" t="s">
        <v>113</v>
      </c>
      <c r="H10" s="262">
        <f>B23/100000</f>
        <v>0</v>
      </c>
      <c r="I10" s="320">
        <f>C23/100000</f>
        <v>0</v>
      </c>
      <c r="K10" s="350"/>
      <c r="L10" s="350"/>
      <c r="M10" s="350"/>
      <c r="N10" s="350"/>
    </row>
    <row r="11" spans="1:14">
      <c r="A11" s="266" t="s">
        <v>114</v>
      </c>
      <c r="B11" s="363"/>
      <c r="C11" s="363"/>
      <c r="D11" s="256" t="str">
        <f t="shared" si="0"/>
        <v/>
      </c>
      <c r="E11" s="361"/>
      <c r="F11" s="364"/>
      <c r="G11" s="261" t="s">
        <v>115</v>
      </c>
      <c r="H11" s="262">
        <f>B25/100000</f>
        <v>0</v>
      </c>
      <c r="I11" s="320">
        <f>C25/100000</f>
        <v>0</v>
      </c>
      <c r="K11" s="350"/>
      <c r="L11" s="350"/>
      <c r="M11" s="350"/>
      <c r="N11" s="350"/>
    </row>
    <row r="12" spans="1:14">
      <c r="A12" s="269" t="s">
        <v>116</v>
      </c>
      <c r="B12" s="363"/>
      <c r="C12" s="363"/>
      <c r="D12" s="256" t="str">
        <f t="shared" si="0"/>
        <v/>
      </c>
      <c r="E12" s="361"/>
      <c r="F12" s="364"/>
      <c r="G12" s="261" t="s">
        <v>117</v>
      </c>
      <c r="H12" s="262">
        <f>B27/100000</f>
        <v>0</v>
      </c>
      <c r="I12" s="320">
        <f>C27/100000</f>
        <v>0</v>
      </c>
      <c r="L12" s="350"/>
      <c r="M12" s="350"/>
      <c r="N12" s="350"/>
    </row>
    <row r="13" spans="1:14">
      <c r="A13" s="269" t="s">
        <v>118</v>
      </c>
      <c r="B13" s="360"/>
      <c r="C13" s="360"/>
      <c r="D13" s="256" t="str">
        <f t="shared" si="0"/>
        <v/>
      </c>
      <c r="E13" s="361"/>
      <c r="F13" s="364"/>
      <c r="G13" s="261" t="s">
        <v>119</v>
      </c>
      <c r="H13" s="270">
        <f>(B27+B24+B22+B18+B17)/100000</f>
        <v>0</v>
      </c>
      <c r="I13" s="322">
        <f>(C27+C24+C22+C18+C17)/100000</f>
        <v>0</v>
      </c>
      <c r="K13" s="330" t="s">
        <v>120</v>
      </c>
      <c r="L13" s="350"/>
      <c r="M13" s="350"/>
      <c r="N13" s="350"/>
    </row>
    <row r="14" spans="1:14" ht="15.75">
      <c r="A14" s="358" t="s">
        <v>121</v>
      </c>
      <c r="B14" s="271">
        <f>B6+B7-(B10+B12+B13-B11)</f>
        <v>0</v>
      </c>
      <c r="C14" s="271">
        <f>C6+C7-(C10+C12+C13-C11)</f>
        <v>0</v>
      </c>
      <c r="D14" s="256" t="str">
        <f t="shared" si="0"/>
        <v/>
      </c>
      <c r="E14" s="361"/>
      <c r="F14" s="350"/>
      <c r="G14" s="261" t="s">
        <v>122</v>
      </c>
      <c r="H14" s="272" t="str">
        <f>IFERROR(B14/(B7+B6),"")</f>
        <v/>
      </c>
      <c r="I14" s="321" t="str">
        <f>IFERROR(C14/(C7+C6),"")</f>
        <v/>
      </c>
      <c r="K14" s="395"/>
      <c r="L14" s="350"/>
      <c r="M14" s="350"/>
      <c r="N14" s="350"/>
    </row>
    <row r="15" spans="1:14">
      <c r="A15" s="362" t="s">
        <v>123</v>
      </c>
      <c r="B15" s="360"/>
      <c r="C15" s="360"/>
      <c r="D15" s="256" t="str">
        <f t="shared" si="0"/>
        <v/>
      </c>
      <c r="E15" s="361"/>
      <c r="F15" s="364"/>
      <c r="G15" s="261" t="s">
        <v>124</v>
      </c>
      <c r="H15" s="102" t="str">
        <f>IFERROR(H11/H7,"")</f>
        <v/>
      </c>
      <c r="I15" s="325" t="str">
        <f>IFERROR(I11/I7,"")</f>
        <v/>
      </c>
      <c r="K15" s="395"/>
      <c r="L15" s="350"/>
      <c r="M15" s="350"/>
      <c r="N15" s="350"/>
    </row>
    <row r="16" spans="1:14">
      <c r="A16" s="362" t="s">
        <v>125</v>
      </c>
      <c r="B16" s="363"/>
      <c r="C16" s="363"/>
      <c r="D16" s="256" t="str">
        <f t="shared" si="0"/>
        <v/>
      </c>
      <c r="E16" s="361"/>
      <c r="F16" s="350"/>
      <c r="G16" s="261" t="s">
        <v>126</v>
      </c>
      <c r="H16" s="270">
        <f>SUM(B49+B50+B51+B52+B44)/100000</f>
        <v>0</v>
      </c>
      <c r="I16" s="322">
        <f>SUM(C49+C50+C51+C52+C44)/100000</f>
        <v>0</v>
      </c>
      <c r="K16" s="330" t="s">
        <v>127</v>
      </c>
      <c r="L16" s="350"/>
      <c r="M16" s="350"/>
      <c r="N16" s="350"/>
    </row>
    <row r="17" spans="1:14" ht="30">
      <c r="A17" s="365" t="s">
        <v>128</v>
      </c>
      <c r="B17" s="363"/>
      <c r="C17" s="363"/>
      <c r="D17" s="256" t="str">
        <f t="shared" si="0"/>
        <v/>
      </c>
      <c r="E17" s="361"/>
      <c r="F17" s="350"/>
      <c r="G17" s="261" t="s">
        <v>129</v>
      </c>
      <c r="H17" s="270">
        <f>SUM(B58+B60+B61+B62+B63+B64+B65+B66+B68)/100000</f>
        <v>0</v>
      </c>
      <c r="I17" s="322">
        <f>SUM(C58+C60+C61+C62+C63+C64+C65+C66+C68)/100000</f>
        <v>0</v>
      </c>
      <c r="K17" s="330" t="s">
        <v>130</v>
      </c>
      <c r="L17" s="350"/>
      <c r="M17" s="350"/>
      <c r="N17" s="350"/>
    </row>
    <row r="18" spans="1:14">
      <c r="A18" s="362" t="s">
        <v>131</v>
      </c>
      <c r="B18" s="363"/>
      <c r="C18" s="363"/>
      <c r="D18" s="256" t="str">
        <f t="shared" si="0"/>
        <v/>
      </c>
      <c r="E18" s="361"/>
      <c r="F18" s="364"/>
      <c r="G18" s="261" t="s">
        <v>132</v>
      </c>
      <c r="H18" s="270">
        <f>(B48-B44)/100000</f>
        <v>0</v>
      </c>
      <c r="I18" s="322">
        <f>(C48-C44)/100000</f>
        <v>0</v>
      </c>
      <c r="K18" s="330" t="s">
        <v>133</v>
      </c>
      <c r="L18" s="350"/>
      <c r="M18" s="350"/>
      <c r="N18" s="350"/>
    </row>
    <row r="19" spans="1:14" ht="15.75">
      <c r="A19" s="358" t="s">
        <v>134</v>
      </c>
      <c r="B19" s="271">
        <f>B14-B15-B16-B18</f>
        <v>0</v>
      </c>
      <c r="C19" s="271">
        <f>C14-C15-C16-C18</f>
        <v>0</v>
      </c>
      <c r="D19" s="256" t="str">
        <f t="shared" si="0"/>
        <v/>
      </c>
      <c r="E19" s="361"/>
      <c r="F19" s="350"/>
      <c r="G19" s="274" t="s">
        <v>135</v>
      </c>
      <c r="H19" s="275">
        <f>B43/100000</f>
        <v>0</v>
      </c>
      <c r="I19" s="326">
        <f>C43/100000</f>
        <v>0</v>
      </c>
      <c r="K19" s="330" t="s">
        <v>136</v>
      </c>
      <c r="L19" s="350"/>
      <c r="M19" s="350"/>
      <c r="N19" s="350"/>
    </row>
    <row r="20" spans="1:14" ht="15" customHeight="1">
      <c r="A20" s="362" t="s">
        <v>137</v>
      </c>
      <c r="B20" s="360"/>
      <c r="C20" s="360"/>
      <c r="D20" s="256" t="str">
        <f t="shared" si="0"/>
        <v/>
      </c>
      <c r="E20" s="361"/>
      <c r="F20" s="364"/>
      <c r="G20" s="525" t="s">
        <v>138</v>
      </c>
      <c r="H20" s="526"/>
      <c r="I20" s="527"/>
      <c r="K20" s="395"/>
      <c r="L20" s="350"/>
      <c r="M20" s="350"/>
      <c r="N20" s="350"/>
    </row>
    <row r="21" spans="1:14">
      <c r="A21" s="362" t="s">
        <v>139</v>
      </c>
      <c r="B21" s="360"/>
      <c r="C21" s="360"/>
      <c r="D21" s="256" t="str">
        <f t="shared" si="0"/>
        <v/>
      </c>
      <c r="E21" s="361"/>
      <c r="F21" s="350"/>
      <c r="G21" s="276" t="s">
        <v>105</v>
      </c>
      <c r="H21" s="277">
        <f>B2</f>
        <v>43920</v>
      </c>
      <c r="I21" s="327">
        <f>H21+365</f>
        <v>44285</v>
      </c>
      <c r="K21" s="395"/>
      <c r="L21" s="350"/>
      <c r="M21" s="350"/>
      <c r="N21" s="350"/>
    </row>
    <row r="22" spans="1:14" ht="33" customHeight="1">
      <c r="A22" s="362" t="s">
        <v>141</v>
      </c>
      <c r="B22" s="363">
        <v>0</v>
      </c>
      <c r="C22" s="363"/>
      <c r="D22" s="256" t="str">
        <f t="shared" si="0"/>
        <v/>
      </c>
      <c r="E22" s="361"/>
      <c r="F22" s="350"/>
      <c r="G22" s="261" t="s">
        <v>142</v>
      </c>
      <c r="H22" s="278">
        <f>IFERROR((B60+B61)/100000,"")</f>
        <v>0</v>
      </c>
      <c r="I22" s="328">
        <f>IFERROR((C60+C61)/100000,"")</f>
        <v>0</v>
      </c>
      <c r="K22" s="395"/>
      <c r="L22" s="350"/>
      <c r="M22" s="350"/>
      <c r="N22" s="350"/>
    </row>
    <row r="23" spans="1:14" ht="31.5">
      <c r="A23" s="358" t="s">
        <v>143</v>
      </c>
      <c r="B23" s="279">
        <f>B19-B20-B21-B22-B17+B9</f>
        <v>0</v>
      </c>
      <c r="C23" s="279">
        <f>C19-C20-C21-C22-C17+C9</f>
        <v>0</v>
      </c>
      <c r="D23" s="256" t="str">
        <f t="shared" si="0"/>
        <v/>
      </c>
      <c r="E23" s="361"/>
      <c r="F23" s="350"/>
      <c r="G23" s="261" t="s">
        <v>144</v>
      </c>
      <c r="H23" s="278">
        <f>IFERROR(B49/100000,"")</f>
        <v>0</v>
      </c>
      <c r="I23" s="328">
        <f>IFERROR(C49/100000,"")</f>
        <v>0</v>
      </c>
      <c r="K23" s="395"/>
      <c r="L23" s="350"/>
      <c r="M23" s="350"/>
      <c r="N23" s="350"/>
    </row>
    <row r="24" spans="1:14">
      <c r="A24" s="362" t="s">
        <v>145</v>
      </c>
      <c r="B24" s="360"/>
      <c r="C24" s="360"/>
      <c r="D24" s="256" t="str">
        <f t="shared" si="0"/>
        <v/>
      </c>
      <c r="E24" s="361"/>
      <c r="F24" s="364"/>
      <c r="G24" s="261" t="s">
        <v>146</v>
      </c>
      <c r="H24" s="278">
        <f>IFERROR(B58/100000,"")</f>
        <v>0</v>
      </c>
      <c r="I24" s="328">
        <f>IFERROR(C58/100000,"")</f>
        <v>0</v>
      </c>
      <c r="K24" s="395"/>
      <c r="L24" s="350"/>
      <c r="M24" s="350"/>
      <c r="N24" s="350"/>
    </row>
    <row r="25" spans="1:14" ht="15.75">
      <c r="A25" s="366" t="s">
        <v>147</v>
      </c>
      <c r="B25" s="281">
        <f>B23-B24</f>
        <v>0</v>
      </c>
      <c r="C25" s="281">
        <f>C23-C24</f>
        <v>0</v>
      </c>
      <c r="D25" s="256" t="str">
        <f t="shared" si="0"/>
        <v/>
      </c>
      <c r="E25" s="361"/>
      <c r="F25" s="364"/>
      <c r="G25" s="261" t="s">
        <v>148</v>
      </c>
      <c r="H25" s="282" t="str">
        <f>IFERROR(ROUND((H22*100000)/B6*365,0),"")</f>
        <v/>
      </c>
      <c r="I25" s="329" t="str">
        <f>IFERROR(ROUND((I22*100000)/C6*365,0),"")</f>
        <v/>
      </c>
      <c r="K25" s="395" t="s">
        <v>150</v>
      </c>
      <c r="L25" s="350"/>
      <c r="M25" s="350"/>
      <c r="N25" s="350"/>
    </row>
    <row r="26" spans="1:14">
      <c r="A26" s="362" t="s">
        <v>151</v>
      </c>
      <c r="B26" s="367"/>
      <c r="C26" s="367"/>
      <c r="D26" s="256" t="str">
        <f t="shared" si="0"/>
        <v/>
      </c>
      <c r="E26" s="361"/>
      <c r="F26" s="364"/>
      <c r="G26" s="261" t="s">
        <v>152</v>
      </c>
      <c r="H26" s="278" t="str">
        <f>IFERROR(ROUND((H23*100000/B12)*365,0),"")</f>
        <v/>
      </c>
      <c r="I26" s="328" t="str">
        <f>IFERROR(ROUND((I23*100000/C12)*365,0),"")</f>
        <v/>
      </c>
      <c r="K26" s="395" t="s">
        <v>153</v>
      </c>
      <c r="L26" s="350"/>
      <c r="M26" s="350"/>
      <c r="N26" s="350"/>
    </row>
    <row r="27" spans="1:14" ht="15.75">
      <c r="A27" s="366" t="s">
        <v>117</v>
      </c>
      <c r="B27" s="283">
        <f>+B25-B26</f>
        <v>0</v>
      </c>
      <c r="C27" s="283">
        <f>C25-C26</f>
        <v>0</v>
      </c>
      <c r="D27" s="256" t="str">
        <f t="shared" si="0"/>
        <v/>
      </c>
      <c r="E27" s="368"/>
      <c r="F27" s="364"/>
      <c r="G27" s="261" t="s">
        <v>154</v>
      </c>
      <c r="H27" s="328" t="str">
        <f>IFERROR(ROUND(B58/(B10+B12+B13-B11)*365,0),"")</f>
        <v/>
      </c>
      <c r="I27" s="328" t="str">
        <f>IFERROR(ROUND(C58/(C10+C12+C13-C11)*365,0),"")</f>
        <v/>
      </c>
      <c r="K27" s="330" t="s">
        <v>155</v>
      </c>
      <c r="L27" s="350"/>
      <c r="M27" s="350"/>
      <c r="N27" s="350"/>
    </row>
    <row r="28" spans="1:14">
      <c r="F28" s="350"/>
      <c r="G28" s="261" t="s">
        <v>156</v>
      </c>
      <c r="H28" s="278" t="str">
        <f>IFERROR((B10+B12+B13-B11)/((B10+B11)/2),"")</f>
        <v/>
      </c>
      <c r="I28" s="278" t="str">
        <f>IFERROR((C10+C12+C13-C11)/((C10+C11)/2),"")</f>
        <v/>
      </c>
      <c r="J28" s="113"/>
      <c r="K28" s="330" t="s">
        <v>158</v>
      </c>
      <c r="L28" s="350"/>
      <c r="M28" s="350"/>
      <c r="N28" s="350"/>
    </row>
    <row r="29" spans="1:14" ht="45">
      <c r="A29" s="285" t="s">
        <v>159</v>
      </c>
      <c r="B29" s="369"/>
      <c r="C29" s="370"/>
      <c r="F29" s="350"/>
      <c r="G29" s="261" t="s">
        <v>160</v>
      </c>
      <c r="H29" s="278">
        <f>H17-H16</f>
        <v>0</v>
      </c>
      <c r="I29" s="328">
        <f>I17-I16</f>
        <v>0</v>
      </c>
      <c r="K29" s="395" t="s">
        <v>161</v>
      </c>
      <c r="L29" s="350"/>
      <c r="M29" s="350"/>
      <c r="N29" s="350"/>
    </row>
    <row r="30" spans="1:14" ht="23.25" customHeight="1">
      <c r="A30" s="289" t="s">
        <v>162</v>
      </c>
      <c r="B30" s="371"/>
      <c r="C30" s="372"/>
      <c r="F30" s="350"/>
      <c r="G30" s="261" t="s">
        <v>163</v>
      </c>
      <c r="H30" s="290" t="str">
        <f>IFERROR(H17/H16,"")</f>
        <v/>
      </c>
      <c r="I30" s="331" t="str">
        <f>IFERROR(I17/I16,"")</f>
        <v/>
      </c>
      <c r="K30" s="395" t="s">
        <v>164</v>
      </c>
      <c r="L30" s="350"/>
      <c r="M30" s="350"/>
      <c r="N30" s="350"/>
    </row>
    <row r="31" spans="1:14" ht="45">
      <c r="A31" s="291" t="s">
        <v>165</v>
      </c>
      <c r="B31" s="292">
        <f>B29-B30</f>
        <v>0</v>
      </c>
      <c r="C31" s="373">
        <f>C29-C30</f>
        <v>0</v>
      </c>
      <c r="F31" s="350"/>
      <c r="G31" s="261" t="s">
        <v>166</v>
      </c>
      <c r="H31" s="290" t="str">
        <f>IFERROR((H17-H24)/H16,"")</f>
        <v/>
      </c>
      <c r="I31" s="331" t="str">
        <f>IFERROR((I17-I24)/I16,"")</f>
        <v/>
      </c>
      <c r="K31" s="396" t="s">
        <v>214</v>
      </c>
      <c r="L31" s="350"/>
      <c r="M31" s="350"/>
      <c r="N31" s="350"/>
    </row>
    <row r="32" spans="1:14">
      <c r="F32" s="350"/>
      <c r="G32" s="265" t="s">
        <v>168</v>
      </c>
      <c r="H32" s="290" t="str">
        <f>IFERROR(B19/(B20+B21),"")</f>
        <v/>
      </c>
      <c r="I32" s="290" t="str">
        <f>IFERROR(C19/(C20+C21),"")</f>
        <v/>
      </c>
      <c r="K32" s="330" t="s">
        <v>169</v>
      </c>
      <c r="L32" s="350"/>
      <c r="M32" s="350"/>
      <c r="N32" s="350"/>
    </row>
    <row r="33" spans="1:14" ht="15.75">
      <c r="A33" s="508" t="s">
        <v>170</v>
      </c>
      <c r="B33" s="509"/>
      <c r="C33" s="510"/>
      <c r="D33" s="294"/>
      <c r="E33" s="295"/>
      <c r="F33" s="350"/>
      <c r="G33" s="274" t="s">
        <v>171</v>
      </c>
      <c r="H33" s="296" t="str">
        <f>IFERROR(H18/H19,"")</f>
        <v/>
      </c>
      <c r="I33" s="333" t="str">
        <f>IFERROR(I18/I19,"")</f>
        <v/>
      </c>
      <c r="K33" s="395" t="s">
        <v>215</v>
      </c>
      <c r="L33" s="350"/>
      <c r="M33" s="350"/>
      <c r="N33" s="350"/>
    </row>
    <row r="34" spans="1:14" ht="15.75">
      <c r="A34" s="374" t="s">
        <v>98</v>
      </c>
      <c r="B34" s="298">
        <f>B2</f>
        <v>43920</v>
      </c>
      <c r="C34" s="298">
        <f>B34+365</f>
        <v>44285</v>
      </c>
      <c r="D34" s="298" t="s">
        <v>102</v>
      </c>
      <c r="E34" s="299" t="s">
        <v>68</v>
      </c>
      <c r="F34" s="350"/>
      <c r="G34" s="265" t="s">
        <v>173</v>
      </c>
      <c r="H34" s="290" t="str">
        <f>IFERROR((H18+H16)/H19,"")</f>
        <v/>
      </c>
      <c r="I34" s="290" t="str">
        <f>IFERROR((I18+I16)/I19,"")</f>
        <v/>
      </c>
      <c r="K34" s="397" t="s">
        <v>174</v>
      </c>
      <c r="L34" s="350"/>
      <c r="M34" s="350"/>
      <c r="N34" s="350"/>
    </row>
    <row r="35" spans="1:14" ht="18" customHeight="1">
      <c r="A35" s="375" t="s">
        <v>175</v>
      </c>
      <c r="B35" s="363"/>
      <c r="C35" s="363"/>
      <c r="D35" s="265"/>
      <c r="E35" s="376"/>
      <c r="F35" s="350"/>
      <c r="K35" s="395"/>
      <c r="L35" s="350"/>
      <c r="M35" s="350"/>
      <c r="N35" s="350"/>
    </row>
    <row r="36" spans="1:14">
      <c r="A36" s="362" t="s">
        <v>176</v>
      </c>
      <c r="B36" s="363"/>
      <c r="C36" s="363"/>
      <c r="D36" s="256" t="str">
        <f t="shared" ref="D36:D69" si="1">IFERROR((C36-B36)/B36,"")</f>
        <v/>
      </c>
      <c r="E36" s="361"/>
      <c r="F36" s="377"/>
      <c r="G36" s="511"/>
      <c r="H36" s="511"/>
      <c r="I36" s="378"/>
      <c r="J36" s="350"/>
      <c r="K36" s="350"/>
      <c r="L36" s="350"/>
      <c r="M36" s="350"/>
      <c r="N36" s="350"/>
    </row>
    <row r="37" spans="1:14">
      <c r="A37" s="362" t="s">
        <v>177</v>
      </c>
      <c r="B37" s="363"/>
      <c r="C37" s="363"/>
      <c r="D37" s="256" t="str">
        <f t="shared" si="1"/>
        <v/>
      </c>
      <c r="E37" s="361"/>
      <c r="F37" s="350"/>
      <c r="G37" s="379"/>
      <c r="H37" s="380"/>
      <c r="I37" s="398"/>
      <c r="K37" s="350"/>
      <c r="L37" s="350"/>
      <c r="M37" s="350"/>
      <c r="N37" s="350"/>
    </row>
    <row r="38" spans="1:14" ht="30">
      <c r="A38" s="362" t="s">
        <v>178</v>
      </c>
      <c r="B38" s="363"/>
      <c r="C38" s="363"/>
      <c r="D38" s="256" t="str">
        <f t="shared" si="1"/>
        <v/>
      </c>
      <c r="E38" s="361"/>
      <c r="F38" s="364"/>
      <c r="G38" s="210"/>
      <c r="H38" s="198"/>
      <c r="I38" s="399"/>
      <c r="K38" s="350"/>
      <c r="L38" s="350"/>
      <c r="M38" s="350"/>
      <c r="N38" s="350"/>
    </row>
    <row r="39" spans="1:14">
      <c r="A39" s="381" t="s">
        <v>179</v>
      </c>
      <c r="B39" s="281">
        <f>B36+B37</f>
        <v>0</v>
      </c>
      <c r="C39" s="281">
        <f>C36+C37</f>
        <v>0</v>
      </c>
      <c r="D39" s="256" t="str">
        <f t="shared" si="1"/>
        <v/>
      </c>
      <c r="E39" s="361"/>
      <c r="F39" s="364"/>
      <c r="G39" s="210"/>
      <c r="H39" s="210"/>
      <c r="I39" s="393"/>
      <c r="K39" s="350"/>
      <c r="L39" s="350"/>
      <c r="M39" s="350"/>
      <c r="N39" s="350"/>
    </row>
    <row r="40" spans="1:14">
      <c r="A40" s="362" t="s">
        <v>180</v>
      </c>
      <c r="B40" s="363"/>
      <c r="C40" s="363"/>
      <c r="D40" s="256" t="str">
        <f t="shared" si="1"/>
        <v/>
      </c>
      <c r="E40" s="361"/>
      <c r="F40" s="350"/>
      <c r="G40" s="210"/>
      <c r="H40" s="380"/>
      <c r="I40" s="398"/>
      <c r="K40" s="350"/>
      <c r="L40" s="350"/>
      <c r="M40" s="350"/>
      <c r="N40" s="350"/>
    </row>
    <row r="41" spans="1:14" ht="30">
      <c r="A41" s="362" t="s">
        <v>181</v>
      </c>
      <c r="B41" s="363"/>
      <c r="C41" s="363"/>
      <c r="D41" s="256" t="str">
        <f t="shared" si="1"/>
        <v/>
      </c>
      <c r="E41" s="361"/>
      <c r="F41" s="364"/>
      <c r="G41" s="210"/>
      <c r="H41" s="210"/>
      <c r="I41" s="393"/>
      <c r="K41" s="350"/>
      <c r="L41" s="350"/>
      <c r="M41" s="350"/>
      <c r="N41" s="350"/>
    </row>
    <row r="42" spans="1:14">
      <c r="A42" s="362" t="s">
        <v>182</v>
      </c>
      <c r="B42" s="363"/>
      <c r="C42" s="363"/>
      <c r="D42" s="256" t="str">
        <f t="shared" si="1"/>
        <v/>
      </c>
      <c r="E42" s="361"/>
      <c r="F42" s="364"/>
      <c r="G42" s="210"/>
      <c r="H42" s="210"/>
      <c r="I42" s="393"/>
      <c r="K42" s="350"/>
      <c r="L42" s="350"/>
      <c r="M42" s="350"/>
      <c r="N42" s="350"/>
    </row>
    <row r="43" spans="1:14">
      <c r="A43" s="381" t="s">
        <v>183</v>
      </c>
      <c r="B43" s="281">
        <f>B39+B41-B40-B42-B57-B61</f>
        <v>0</v>
      </c>
      <c r="C43" s="281">
        <f>(C39+C41-C40-C42-C57-C61)</f>
        <v>0</v>
      </c>
      <c r="D43" s="256"/>
      <c r="E43" s="361"/>
      <c r="F43" s="364"/>
      <c r="G43" s="210"/>
      <c r="H43" s="210"/>
      <c r="I43" s="393"/>
      <c r="K43" s="350"/>
      <c r="L43" s="350"/>
      <c r="M43" s="350"/>
      <c r="N43" s="350"/>
    </row>
    <row r="44" spans="1:14" ht="30">
      <c r="A44" s="362" t="s">
        <v>184</v>
      </c>
      <c r="B44" s="382"/>
      <c r="C44" s="383"/>
      <c r="D44" s="256" t="str">
        <f t="shared" si="1"/>
        <v/>
      </c>
      <c r="E44" s="361"/>
      <c r="F44" s="364"/>
      <c r="G44" s="210"/>
      <c r="H44" s="210"/>
      <c r="I44" s="393"/>
      <c r="K44" s="350"/>
      <c r="L44" s="350"/>
      <c r="M44" s="350"/>
      <c r="N44" s="350"/>
    </row>
    <row r="45" spans="1:14">
      <c r="A45" s="362" t="s">
        <v>185</v>
      </c>
      <c r="B45" s="382"/>
      <c r="C45" s="383"/>
      <c r="D45" s="256" t="str">
        <f t="shared" si="1"/>
        <v/>
      </c>
      <c r="E45" s="361"/>
      <c r="F45" s="364"/>
      <c r="G45" s="210"/>
      <c r="H45" s="210"/>
      <c r="I45" s="393"/>
      <c r="K45" s="350"/>
      <c r="L45" s="350"/>
      <c r="M45" s="350"/>
      <c r="N45" s="350"/>
    </row>
    <row r="46" spans="1:14">
      <c r="A46" s="362" t="s">
        <v>186</v>
      </c>
      <c r="B46" s="363"/>
      <c r="C46" s="363"/>
      <c r="D46" s="256" t="str">
        <f t="shared" si="1"/>
        <v/>
      </c>
      <c r="E46" s="361"/>
      <c r="F46" s="364"/>
      <c r="G46" s="210"/>
      <c r="H46" s="210"/>
      <c r="I46" s="393"/>
      <c r="K46" s="350"/>
      <c r="L46" s="350"/>
      <c r="M46" s="350"/>
      <c r="N46" s="350"/>
    </row>
    <row r="47" spans="1:14">
      <c r="A47" s="362" t="s">
        <v>187</v>
      </c>
      <c r="B47" s="363"/>
      <c r="C47" s="363"/>
      <c r="D47" s="256" t="str">
        <f t="shared" si="1"/>
        <v/>
      </c>
      <c r="E47" s="361"/>
      <c r="F47" s="364"/>
      <c r="G47" s="210"/>
      <c r="H47" s="210"/>
      <c r="I47" s="393"/>
      <c r="K47" s="350"/>
      <c r="L47" s="350"/>
      <c r="M47" s="350"/>
      <c r="N47" s="350"/>
    </row>
    <row r="48" spans="1:14">
      <c r="A48" s="381" t="s">
        <v>188</v>
      </c>
      <c r="B48" s="281">
        <f>SUM(B44+B45+B46+B47)</f>
        <v>0</v>
      </c>
      <c r="C48" s="281">
        <f>SUM(C44+C45+C46+C47)</f>
        <v>0</v>
      </c>
      <c r="D48" s="256" t="str">
        <f t="shared" si="1"/>
        <v/>
      </c>
      <c r="E48" s="361"/>
      <c r="F48" s="350"/>
      <c r="G48" s="210"/>
      <c r="H48" s="210"/>
      <c r="I48" s="393"/>
      <c r="K48" s="350"/>
      <c r="L48" s="350"/>
      <c r="M48" s="350"/>
      <c r="N48" s="350"/>
    </row>
    <row r="49" spans="1:14">
      <c r="A49" s="362" t="s">
        <v>189</v>
      </c>
      <c r="B49" s="384"/>
      <c r="C49" s="383"/>
      <c r="D49" s="256" t="str">
        <f t="shared" si="1"/>
        <v/>
      </c>
      <c r="E49" s="361"/>
      <c r="F49" s="364"/>
      <c r="G49" s="210"/>
      <c r="H49" s="210"/>
      <c r="I49" s="393"/>
      <c r="K49" s="350"/>
      <c r="L49" s="350"/>
      <c r="M49" s="350"/>
      <c r="N49" s="350"/>
    </row>
    <row r="50" spans="1:14">
      <c r="A50" s="362" t="s">
        <v>190</v>
      </c>
      <c r="B50" s="363"/>
      <c r="C50" s="363"/>
      <c r="D50" s="256" t="str">
        <f t="shared" si="1"/>
        <v/>
      </c>
      <c r="E50" s="361"/>
      <c r="F50" s="364"/>
      <c r="G50" s="210"/>
      <c r="H50" s="210"/>
      <c r="I50" s="393"/>
      <c r="K50" s="350"/>
      <c r="L50" s="350"/>
      <c r="M50" s="350"/>
      <c r="N50" s="350"/>
    </row>
    <row r="51" spans="1:14">
      <c r="A51" s="362" t="s">
        <v>191</v>
      </c>
      <c r="B51" s="384"/>
      <c r="C51" s="383"/>
      <c r="D51" s="256" t="str">
        <f t="shared" si="1"/>
        <v/>
      </c>
      <c r="E51" s="361"/>
      <c r="F51" s="364"/>
      <c r="G51" s="210"/>
      <c r="H51" s="210"/>
      <c r="I51" s="393"/>
      <c r="K51" s="350"/>
      <c r="L51" s="350"/>
      <c r="M51" s="350"/>
      <c r="N51" s="350"/>
    </row>
    <row r="52" spans="1:14">
      <c r="A52" s="362" t="s">
        <v>192</v>
      </c>
      <c r="B52" s="384"/>
      <c r="C52" s="383"/>
      <c r="D52" s="256" t="str">
        <f t="shared" si="1"/>
        <v/>
      </c>
      <c r="E52" s="361"/>
      <c r="F52" s="364"/>
      <c r="G52" s="350"/>
      <c r="H52" s="350"/>
      <c r="I52" s="350"/>
      <c r="J52" s="350"/>
      <c r="K52" s="350"/>
      <c r="L52" s="350"/>
      <c r="M52" s="350"/>
      <c r="N52" s="350"/>
    </row>
    <row r="53" spans="1:14">
      <c r="A53" s="362" t="s">
        <v>193</v>
      </c>
      <c r="B53" s="363"/>
      <c r="C53" s="363"/>
      <c r="D53" s="256" t="str">
        <f t="shared" si="1"/>
        <v/>
      </c>
      <c r="E53" s="361"/>
      <c r="F53" s="364"/>
      <c r="G53" s="350"/>
      <c r="H53" s="350"/>
      <c r="I53" s="350"/>
      <c r="J53" s="350"/>
      <c r="K53" s="350"/>
    </row>
    <row r="54" spans="1:14" ht="15.75">
      <c r="A54" s="385" t="s">
        <v>194</v>
      </c>
      <c r="B54" s="311">
        <f>SUM(B38+B39+B41+B48+B49+B50+B51+B52+B53)</f>
        <v>0</v>
      </c>
      <c r="C54" s="311">
        <f>SUM(C38+C39+C41+C48+C49+C50+C51+C52+C53)</f>
        <v>0</v>
      </c>
      <c r="D54" s="256" t="str">
        <f t="shared" si="1"/>
        <v/>
      </c>
      <c r="E54" s="361"/>
      <c r="F54" s="350"/>
      <c r="G54" s="386"/>
      <c r="H54" s="350"/>
      <c r="I54" s="350"/>
      <c r="K54" s="350"/>
    </row>
    <row r="55" spans="1:14" ht="15.75">
      <c r="A55" s="375" t="s">
        <v>195</v>
      </c>
      <c r="B55" s="387"/>
      <c r="C55" s="387"/>
      <c r="D55" s="256" t="str">
        <f t="shared" si="1"/>
        <v/>
      </c>
      <c r="E55" s="361"/>
      <c r="F55" s="350"/>
      <c r="G55" s="350"/>
      <c r="H55" s="350"/>
      <c r="I55" s="350"/>
      <c r="K55" s="350"/>
    </row>
    <row r="56" spans="1:14" ht="30">
      <c r="A56" s="365" t="s">
        <v>196</v>
      </c>
      <c r="B56" s="363"/>
      <c r="C56" s="363"/>
      <c r="D56" s="256" t="str">
        <f t="shared" si="1"/>
        <v/>
      </c>
      <c r="E56" s="361"/>
      <c r="F56" s="379"/>
      <c r="G56" s="350"/>
      <c r="H56" s="350"/>
      <c r="I56" s="350"/>
      <c r="K56" s="350"/>
    </row>
    <row r="57" spans="1:14">
      <c r="A57" s="365" t="s">
        <v>197</v>
      </c>
      <c r="B57" s="363"/>
      <c r="C57" s="363"/>
      <c r="D57" s="256"/>
      <c r="E57" s="361"/>
      <c r="F57" s="379"/>
      <c r="G57" s="210"/>
      <c r="H57" s="210"/>
      <c r="I57" s="393"/>
      <c r="K57" s="350"/>
    </row>
    <row r="58" spans="1:14">
      <c r="A58" s="365" t="s">
        <v>198</v>
      </c>
      <c r="B58" s="363"/>
      <c r="C58" s="363"/>
      <c r="D58" s="256" t="str">
        <f t="shared" si="1"/>
        <v/>
      </c>
      <c r="E58" s="361"/>
      <c r="G58" s="210"/>
      <c r="H58" s="210"/>
      <c r="I58" s="393"/>
      <c r="K58" s="350"/>
    </row>
    <row r="59" spans="1:14">
      <c r="A59" s="388" t="s">
        <v>199</v>
      </c>
      <c r="B59" s="528"/>
      <c r="C59" s="528"/>
      <c r="D59" s="256" t="str">
        <f t="shared" si="1"/>
        <v/>
      </c>
      <c r="E59" s="361"/>
      <c r="G59" s="210"/>
      <c r="H59" s="210"/>
      <c r="I59" s="393"/>
      <c r="K59" s="350"/>
    </row>
    <row r="60" spans="1:14">
      <c r="A60" s="389" t="s">
        <v>200</v>
      </c>
      <c r="B60" s="363"/>
      <c r="C60" s="363"/>
      <c r="D60" s="256" t="str">
        <f t="shared" si="1"/>
        <v/>
      </c>
      <c r="E60" s="361"/>
      <c r="G60" s="210"/>
      <c r="H60" s="210"/>
      <c r="I60" s="393"/>
      <c r="K60" s="350"/>
    </row>
    <row r="61" spans="1:14">
      <c r="A61" s="390" t="s">
        <v>201</v>
      </c>
      <c r="B61" s="391"/>
      <c r="C61" s="391"/>
      <c r="D61" s="256" t="str">
        <f t="shared" si="1"/>
        <v/>
      </c>
      <c r="E61" s="361"/>
      <c r="G61" s="210"/>
      <c r="H61" s="210"/>
      <c r="I61" s="393"/>
      <c r="K61" s="350"/>
    </row>
    <row r="62" spans="1:14">
      <c r="A62" s="365" t="s">
        <v>202</v>
      </c>
      <c r="B62" s="363"/>
      <c r="C62" s="363"/>
      <c r="D62" s="256" t="str">
        <f t="shared" si="1"/>
        <v/>
      </c>
      <c r="E62" s="361"/>
      <c r="G62" s="210"/>
      <c r="H62" s="210"/>
      <c r="I62" s="393"/>
      <c r="K62" s="350"/>
    </row>
    <row r="63" spans="1:14">
      <c r="A63" s="365" t="s">
        <v>203</v>
      </c>
      <c r="B63" s="363"/>
      <c r="C63" s="363"/>
      <c r="D63" s="256"/>
      <c r="E63" s="361"/>
      <c r="G63" s="210"/>
      <c r="H63" s="210"/>
      <c r="I63" s="393"/>
      <c r="K63" s="350"/>
    </row>
    <row r="64" spans="1:14">
      <c r="A64" s="365" t="s">
        <v>204</v>
      </c>
      <c r="B64" s="363"/>
      <c r="C64" s="363"/>
      <c r="D64" s="256" t="str">
        <f t="shared" si="1"/>
        <v/>
      </c>
      <c r="E64" s="361"/>
      <c r="G64" s="210"/>
      <c r="H64" s="210"/>
      <c r="I64" s="393"/>
      <c r="K64" s="350"/>
    </row>
    <row r="65" spans="1:19">
      <c r="A65" s="365" t="s">
        <v>205</v>
      </c>
      <c r="B65" s="400"/>
      <c r="C65" s="383"/>
      <c r="D65" s="256" t="str">
        <f t="shared" si="1"/>
        <v/>
      </c>
      <c r="E65" s="361"/>
      <c r="G65" s="350"/>
      <c r="H65" s="350"/>
      <c r="I65" s="350"/>
      <c r="J65" s="350"/>
      <c r="K65" s="350"/>
    </row>
    <row r="66" spans="1:19">
      <c r="A66" s="365" t="s">
        <v>206</v>
      </c>
      <c r="B66" s="363"/>
      <c r="C66" s="363"/>
      <c r="D66" s="256" t="str">
        <f t="shared" si="1"/>
        <v/>
      </c>
      <c r="E66" s="361"/>
      <c r="G66" s="210"/>
      <c r="H66" s="210"/>
      <c r="I66" s="393"/>
    </row>
    <row r="67" spans="1:19" ht="30">
      <c r="A67" s="401" t="s">
        <v>207</v>
      </c>
      <c r="B67" s="363"/>
      <c r="C67" s="363"/>
      <c r="D67" s="256" t="str">
        <f t="shared" si="1"/>
        <v/>
      </c>
      <c r="E67" s="361"/>
      <c r="G67" s="210"/>
      <c r="H67" s="210"/>
      <c r="I67" s="393"/>
    </row>
    <row r="68" spans="1:19">
      <c r="A68" s="365" t="s">
        <v>208</v>
      </c>
      <c r="B68" s="400"/>
      <c r="C68" s="383"/>
      <c r="D68" s="256" t="str">
        <f t="shared" si="1"/>
        <v/>
      </c>
      <c r="E68" s="361"/>
      <c r="G68" s="210"/>
      <c r="H68" s="210"/>
      <c r="I68" s="393"/>
    </row>
    <row r="69" spans="1:19" ht="15.75">
      <c r="A69" s="385" t="s">
        <v>194</v>
      </c>
      <c r="B69" s="311">
        <f>SUM(B56:B68)+B40</f>
        <v>0</v>
      </c>
      <c r="C69" s="311">
        <f>SUM(C56:C68)+C40</f>
        <v>0</v>
      </c>
      <c r="D69" s="256" t="str">
        <f t="shared" si="1"/>
        <v/>
      </c>
      <c r="E69" s="361"/>
      <c r="G69" s="210"/>
      <c r="H69" s="210"/>
      <c r="I69" s="393"/>
    </row>
    <row r="70" spans="1:19">
      <c r="A70" s="402" t="s">
        <v>209</v>
      </c>
      <c r="B70" s="339">
        <f>B54-B69</f>
        <v>0</v>
      </c>
      <c r="C70" s="339">
        <f>C54-C69</f>
        <v>0</v>
      </c>
      <c r="D70" s="340"/>
      <c r="E70" s="403"/>
      <c r="G70" s="210"/>
      <c r="H70" s="210"/>
      <c r="I70" s="393"/>
    </row>
    <row r="71" spans="1:19">
      <c r="A71" s="210"/>
      <c r="B71" s="210"/>
      <c r="C71" s="210"/>
      <c r="D71" s="210"/>
      <c r="E71" s="210"/>
      <c r="G71" s="210"/>
      <c r="H71" s="210"/>
      <c r="I71" s="393"/>
      <c r="P71" s="210"/>
      <c r="Q71" s="210"/>
      <c r="R71" s="210"/>
      <c r="S71" s="210"/>
    </row>
    <row r="72" spans="1:19">
      <c r="A72" s="210"/>
      <c r="B72" s="210"/>
      <c r="C72" s="210"/>
      <c r="D72" s="210"/>
      <c r="E72" s="210"/>
      <c r="G72" s="210"/>
      <c r="H72" s="210"/>
      <c r="I72" s="393"/>
      <c r="P72" s="210"/>
      <c r="Q72" s="210"/>
      <c r="R72" s="210"/>
      <c r="S72" s="210"/>
    </row>
    <row r="73" spans="1:19">
      <c r="A73" s="210"/>
      <c r="B73" s="210"/>
      <c r="C73" s="210"/>
      <c r="D73" s="210"/>
      <c r="E73" s="210"/>
      <c r="G73" s="210"/>
      <c r="H73" s="210"/>
      <c r="I73" s="393"/>
      <c r="P73" s="210"/>
      <c r="Q73" s="210"/>
      <c r="R73" s="210"/>
      <c r="S73" s="210"/>
    </row>
    <row r="74" spans="1:19">
      <c r="A74" s="210"/>
      <c r="B74" s="210"/>
      <c r="C74" s="210"/>
      <c r="D74" s="210"/>
      <c r="E74" s="210"/>
      <c r="G74" s="210"/>
      <c r="H74" s="210"/>
      <c r="I74" s="393"/>
      <c r="P74" s="210"/>
      <c r="Q74" s="210"/>
      <c r="R74" s="210"/>
      <c r="S74" s="210"/>
    </row>
    <row r="75" spans="1:19">
      <c r="A75" s="210"/>
      <c r="B75" s="210"/>
      <c r="C75" s="210"/>
      <c r="D75" s="210"/>
      <c r="E75" s="210"/>
      <c r="G75" s="210"/>
      <c r="H75" s="210"/>
      <c r="I75" s="393"/>
      <c r="P75" s="210"/>
      <c r="Q75" s="210"/>
      <c r="R75" s="210"/>
      <c r="S75" s="210"/>
    </row>
    <row r="76" spans="1:19" ht="15.75">
      <c r="A76" s="210"/>
      <c r="B76" s="210"/>
      <c r="C76" s="210"/>
      <c r="D76" s="404"/>
      <c r="E76" s="350"/>
      <c r="G76" s="210"/>
      <c r="H76" s="210"/>
      <c r="I76" s="393"/>
      <c r="P76" s="210"/>
      <c r="Q76" s="210"/>
      <c r="R76" s="210"/>
      <c r="S76" s="210"/>
    </row>
    <row r="77" spans="1:19">
      <c r="A77" s="210"/>
      <c r="B77" s="210"/>
      <c r="C77" s="210"/>
      <c r="D77" s="405"/>
      <c r="E77" s="350"/>
      <c r="G77" s="210"/>
      <c r="H77" s="210"/>
      <c r="I77" s="393"/>
      <c r="P77" s="210"/>
      <c r="Q77" s="210"/>
      <c r="R77" s="210"/>
      <c r="S77" s="210"/>
    </row>
    <row r="78" spans="1:19">
      <c r="A78" s="210"/>
      <c r="B78" s="210"/>
      <c r="C78" s="210"/>
      <c r="D78" s="406"/>
      <c r="E78" s="350"/>
      <c r="G78" s="210"/>
      <c r="H78" s="210"/>
      <c r="I78" s="393"/>
      <c r="P78" s="210"/>
      <c r="Q78" s="210"/>
      <c r="R78" s="210"/>
      <c r="S78" s="210"/>
    </row>
    <row r="79" spans="1:19">
      <c r="A79" s="210"/>
      <c r="B79" s="210"/>
      <c r="C79" s="210"/>
      <c r="D79" s="407"/>
      <c r="E79" s="350"/>
      <c r="G79" s="210"/>
      <c r="H79" s="210"/>
      <c r="I79" s="393"/>
      <c r="P79" s="210"/>
      <c r="Q79" s="210"/>
      <c r="R79" s="210"/>
      <c r="S79" s="210"/>
    </row>
    <row r="80" spans="1:19">
      <c r="A80" s="210"/>
      <c r="B80" s="210"/>
      <c r="C80" s="210"/>
      <c r="D80" s="406"/>
      <c r="E80" s="350"/>
      <c r="G80" s="210"/>
      <c r="H80" s="210"/>
      <c r="I80" s="393"/>
      <c r="P80" s="210"/>
      <c r="Q80" s="210"/>
      <c r="R80" s="210"/>
      <c r="S80" s="210"/>
    </row>
    <row r="81" spans="1:19">
      <c r="A81" s="210"/>
      <c r="B81" s="210"/>
      <c r="C81" s="210"/>
      <c r="D81" s="406"/>
      <c r="E81" s="350"/>
      <c r="G81" s="210"/>
      <c r="H81" s="210"/>
      <c r="I81" s="393"/>
      <c r="P81" s="210"/>
      <c r="Q81" s="210"/>
      <c r="R81" s="210"/>
      <c r="S81" s="210"/>
    </row>
    <row r="82" spans="1:19">
      <c r="A82" s="210"/>
      <c r="B82" s="210"/>
      <c r="C82" s="210"/>
      <c r="D82" s="406"/>
      <c r="E82" s="350"/>
      <c r="G82" s="210"/>
      <c r="H82" s="210"/>
      <c r="I82" s="393"/>
      <c r="P82" s="210"/>
      <c r="Q82" s="210"/>
      <c r="R82" s="210"/>
      <c r="S82" s="210"/>
    </row>
    <row r="83" spans="1:19">
      <c r="A83" s="210"/>
      <c r="B83" s="210"/>
      <c r="C83" s="210"/>
      <c r="D83" s="406"/>
      <c r="E83" s="350"/>
      <c r="G83" s="210"/>
      <c r="H83" s="210"/>
      <c r="I83" s="393"/>
      <c r="P83" s="210"/>
      <c r="Q83" s="210"/>
      <c r="R83" s="210"/>
      <c r="S83" s="210"/>
    </row>
    <row r="84" spans="1:19">
      <c r="A84" s="210"/>
      <c r="B84" s="210"/>
      <c r="C84" s="210"/>
      <c r="D84" s="408"/>
      <c r="E84" s="210"/>
      <c r="G84" s="210"/>
      <c r="H84" s="210"/>
      <c r="I84" s="393"/>
      <c r="P84" s="210"/>
      <c r="Q84" s="210"/>
      <c r="R84" s="210"/>
      <c r="S84" s="210"/>
    </row>
    <row r="85" spans="1:19">
      <c r="A85" s="210"/>
      <c r="B85" s="210"/>
      <c r="C85" s="210"/>
      <c r="D85" s="406"/>
      <c r="E85" s="210"/>
      <c r="G85" s="210"/>
      <c r="H85" s="210"/>
      <c r="I85" s="393"/>
      <c r="P85" s="210"/>
      <c r="Q85" s="210"/>
      <c r="R85" s="210"/>
      <c r="S85" s="210"/>
    </row>
    <row r="86" spans="1:19">
      <c r="A86" s="210"/>
      <c r="B86" s="210"/>
      <c r="C86" s="210"/>
      <c r="D86" s="406"/>
      <c r="E86" s="210"/>
      <c r="G86" s="210"/>
      <c r="H86" s="210"/>
      <c r="I86" s="393"/>
      <c r="P86" s="210"/>
      <c r="Q86" s="210"/>
      <c r="R86" s="210"/>
      <c r="S86" s="210"/>
    </row>
    <row r="87" spans="1:19">
      <c r="A87" s="210"/>
      <c r="B87" s="210"/>
      <c r="C87" s="210"/>
      <c r="D87" s="408"/>
      <c r="E87" s="210"/>
      <c r="G87" s="210"/>
      <c r="H87" s="210"/>
      <c r="I87" s="393"/>
      <c r="P87" s="210"/>
      <c r="Q87" s="210"/>
      <c r="R87" s="210"/>
      <c r="S87" s="210"/>
    </row>
    <row r="88" spans="1:19">
      <c r="A88" s="210"/>
      <c r="B88" s="210"/>
      <c r="C88" s="210"/>
      <c r="D88" s="408"/>
      <c r="E88" s="210"/>
      <c r="G88" s="210"/>
      <c r="H88" s="210"/>
      <c r="I88" s="393"/>
      <c r="P88" s="210"/>
      <c r="Q88" s="210"/>
      <c r="R88" s="210"/>
      <c r="S88" s="210"/>
    </row>
    <row r="89" spans="1:19">
      <c r="A89" s="210"/>
      <c r="B89" s="210"/>
      <c r="C89" s="210"/>
      <c r="D89" s="406"/>
      <c r="E89" s="210"/>
      <c r="G89" s="210"/>
      <c r="H89" s="210"/>
      <c r="I89" s="393"/>
      <c r="P89" s="210"/>
      <c r="Q89" s="210"/>
      <c r="R89" s="210"/>
      <c r="S89" s="210"/>
    </row>
    <row r="90" spans="1:19">
      <c r="D90" s="346"/>
      <c r="G90" s="210"/>
      <c r="H90" s="210"/>
      <c r="I90" s="393"/>
    </row>
    <row r="91" spans="1:19">
      <c r="D91" s="303"/>
    </row>
    <row r="92" spans="1:19">
      <c r="D92" s="347"/>
    </row>
    <row r="93" spans="1:19">
      <c r="D93" s="348"/>
    </row>
    <row r="94" spans="1:19">
      <c r="D94" s="348"/>
    </row>
    <row r="95" spans="1:19">
      <c r="D95" s="348"/>
    </row>
    <row r="96" spans="1:19">
      <c r="D96" s="347"/>
    </row>
    <row r="97" spans="4:4">
      <c r="D97" s="347"/>
    </row>
    <row r="98" spans="4:4">
      <c r="D98" s="347"/>
    </row>
    <row r="99" spans="4:4">
      <c r="D99" s="348"/>
    </row>
    <row r="100" spans="4:4">
      <c r="D100" s="348"/>
    </row>
    <row r="101" spans="4:4">
      <c r="D101" s="348"/>
    </row>
    <row r="102" spans="4:4">
      <c r="D102" s="348"/>
    </row>
  </sheetData>
  <sheetProtection algorithmName="SHA-512" hashValue="DAyUZE5GrRDBgLrjnOic+41lDqS9UALGpD8jsQEsYhoQr5AQdwMS2TNXKVdcj/GudItHYemJR3LO6A/IE3LOeQ==" saltValue="way77VtrAErwxk7+nzfZlA==" spinCount="100000" sheet="1" objects="1" scenarios="1" selectLockedCells="1"/>
  <protectedRanges>
    <protectedRange sqref="B34:E34 B3:E4 D5:E5 D2" name="Range5_1_6" securityDescriptor=""/>
    <protectedRange sqref="B33:C33 B8:E8" name="Range1_1_7" securityDescriptor=""/>
    <protectedRange sqref="B59:C59 E59" name="Range2_1_3" securityDescriptor=""/>
    <protectedRange sqref="E16:E17" name="Range1_1_2_3" securityDescriptor=""/>
    <protectedRange sqref="E21:E22" name="Range1_1_3_3" securityDescriptor=""/>
    <protectedRange sqref="G2:I2" name="Range5_1_3_3" securityDescriptor=""/>
    <protectedRange sqref="H6:I7 D77:D78" name="Range5_1_3_1_2" securityDescriptor=""/>
    <protectedRange sqref="E11" name="Range1_1_1_1_3" securityDescriptor=""/>
    <protectedRange sqref="B35:C35" name="Range1_1_4_2" securityDescriptor=""/>
    <protectedRange sqref="E37:E38 E40" name="Range1_1_6_1_3" securityDescriptor=""/>
    <protectedRange sqref="E50" name="Range1_1_7_1_3" securityDescriptor=""/>
    <protectedRange sqref="E53" name="Range1_3_1_3" securityDescriptor=""/>
    <protectedRange sqref="E62:E64" name="Range2_1_4_1_3" securityDescriptor=""/>
    <protectedRange sqref="B16:C17" name="Range1_1_2_1_2" securityDescriptor=""/>
    <protectedRange sqref="B21:C22" name="Range1_1_3_1_2" securityDescriptor=""/>
    <protectedRange sqref="B38:C38" name="Range1_1_6_1_1_2" securityDescriptor=""/>
    <protectedRange sqref="B50:C50" name="Range1_1_7_1_1_2" securityDescriptor=""/>
    <protectedRange sqref="B53:C53" name="Range1_3_1_1_2" securityDescriptor=""/>
    <protectedRange sqref="B40:C40" name="Range2_1_3_1_1_2" securityDescriptor=""/>
    <protectedRange sqref="B62:C64" name="Range2_1_4_1_1_2" securityDescriptor=""/>
    <protectedRange sqref="B2:C2" name="Range5_1" securityDescriptor=""/>
    <protectedRange sqref="B11:C11" name="Range1_1_1_1_1" securityDescriptor=""/>
  </protectedRanges>
  <mergeCells count="9">
    <mergeCell ref="J2:K2"/>
    <mergeCell ref="A5:C5"/>
    <mergeCell ref="G5:I5"/>
    <mergeCell ref="B8:C8"/>
    <mergeCell ref="G20:I20"/>
    <mergeCell ref="A33:C33"/>
    <mergeCell ref="G36:H36"/>
    <mergeCell ref="B59:C59"/>
    <mergeCell ref="A1:C1"/>
  </mergeCells>
  <conditionalFormatting sqref="H28">
    <cfRule type="cellIs" dxfId="280" priority="5" operator="lessThan">
      <formula>4</formula>
    </cfRule>
    <cfRule type="cellIs" dxfId="279" priority="6" operator="greaterThanOrEqual">
      <formula>4</formula>
    </cfRule>
  </conditionalFormatting>
  <conditionalFormatting sqref="I28">
    <cfRule type="cellIs" dxfId="278" priority="1" operator="lessThan">
      <formula>4</formula>
    </cfRule>
    <cfRule type="cellIs" dxfId="277" priority="2" operator="greaterThanOrEqual">
      <formula>4</formula>
    </cfRule>
  </conditionalFormatting>
  <conditionalFormatting sqref="H25:I27">
    <cfRule type="cellIs" dxfId="276" priority="7" operator="lessThan">
      <formula>90</formula>
    </cfRule>
    <cfRule type="cellIs" dxfId="275" priority="8" operator="greaterThanOrEqual">
      <formula>90</formula>
    </cfRule>
  </conditionalFormatting>
  <dataValidations count="2">
    <dataValidation type="list" allowBlank="1" showInputMessage="1" showErrorMessage="1" sqref="B3" xr:uid="{00000000-0002-0000-0300-000000000000}">
      <formula1>"Audited,UnAudited, 44ADA, 44AD"</formula1>
    </dataValidation>
    <dataValidation type="list" allowBlank="1" showInputMessage="1" showErrorMessage="1" sqref="C3" xr:uid="{00000000-0002-0000-0300-000001000000}">
      <formula1>"Audited,UnAudited,44ADA,44AD"</formula1>
    </dataValidation>
  </dataValidation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02"/>
  <sheetViews>
    <sheetView workbookViewId="0">
      <selection activeCell="B2" sqref="B2"/>
    </sheetView>
  </sheetViews>
  <sheetFormatPr defaultColWidth="9" defaultRowHeight="15"/>
  <cols>
    <col min="1" max="1" width="36.7109375" style="113" customWidth="1"/>
    <col min="2" max="2" width="27.42578125" style="113" customWidth="1"/>
    <col min="3" max="3" width="25.42578125" style="113" customWidth="1"/>
    <col min="4" max="4" width="15.7109375" style="113" customWidth="1"/>
    <col min="5" max="5" width="27.42578125" style="113" customWidth="1"/>
    <col min="6" max="6" width="4.28515625" style="113" customWidth="1"/>
    <col min="7" max="7" width="32.140625" style="113" customWidth="1"/>
    <col min="8" max="8" width="23.5703125" style="113" customWidth="1"/>
    <col min="9" max="9" width="23.5703125" style="240" customWidth="1"/>
    <col min="10" max="10" width="7" style="113" customWidth="1"/>
    <col min="11" max="11" width="38.140625" style="113" customWidth="1"/>
    <col min="12" max="12" width="15.42578125" style="113" customWidth="1"/>
    <col min="13" max="13" width="29.140625" style="113" customWidth="1"/>
    <col min="14" max="16384" width="9" style="113"/>
  </cols>
  <sheetData>
    <row r="1" spans="1:14" ht="15.75">
      <c r="A1" s="513" t="s">
        <v>97</v>
      </c>
      <c r="B1" s="514"/>
      <c r="C1" s="529"/>
      <c r="D1" s="241"/>
      <c r="E1" s="241"/>
      <c r="F1" s="242"/>
      <c r="G1" s="242"/>
      <c r="H1" s="242"/>
      <c r="I1" s="242"/>
      <c r="J1" s="242"/>
      <c r="K1" s="318"/>
      <c r="L1" s="318"/>
      <c r="M1" s="318"/>
      <c r="N1" s="318"/>
    </row>
    <row r="2" spans="1:14" ht="15.75">
      <c r="A2" s="243" t="s">
        <v>98</v>
      </c>
      <c r="B2" s="244">
        <f>C2-366</f>
        <v>43555</v>
      </c>
      <c r="C2" s="245">
        <v>43921</v>
      </c>
      <c r="D2" s="246"/>
      <c r="E2" s="242"/>
      <c r="F2" s="242"/>
      <c r="G2" s="247"/>
      <c r="H2" s="247"/>
      <c r="I2" s="247"/>
      <c r="J2" s="535"/>
      <c r="K2" s="535"/>
      <c r="L2" s="242"/>
      <c r="M2" s="242"/>
      <c r="N2" s="242"/>
    </row>
    <row r="3" spans="1:14" ht="15.75">
      <c r="A3" s="248" t="s">
        <v>99</v>
      </c>
      <c r="B3" s="249" t="s">
        <v>211</v>
      </c>
      <c r="C3" s="250" t="s">
        <v>211</v>
      </c>
      <c r="D3" s="242"/>
      <c r="E3" s="242"/>
      <c r="F3" s="242"/>
      <c r="K3" s="242"/>
      <c r="L3" s="242"/>
      <c r="M3" s="242"/>
      <c r="N3" s="242"/>
    </row>
    <row r="4" spans="1:14">
      <c r="A4" s="251" t="s">
        <v>212</v>
      </c>
      <c r="B4" s="252">
        <f>'Financial Spread- 1'!B4</f>
        <v>43768</v>
      </c>
      <c r="C4" s="252">
        <f>'Financial Spread- 1'!C4</f>
        <v>44241</v>
      </c>
      <c r="D4" s="242"/>
      <c r="E4" s="242"/>
      <c r="F4" s="242"/>
      <c r="K4" s="242"/>
      <c r="L4" s="242"/>
      <c r="M4" s="242"/>
      <c r="N4" s="242"/>
    </row>
    <row r="5" spans="1:14" ht="15.75">
      <c r="A5" s="516" t="s">
        <v>101</v>
      </c>
      <c r="B5" s="517"/>
      <c r="C5" s="517"/>
      <c r="D5" s="253" t="s">
        <v>102</v>
      </c>
      <c r="E5" s="253" t="s">
        <v>68</v>
      </c>
      <c r="F5" s="242"/>
      <c r="G5" s="531" t="s">
        <v>103</v>
      </c>
      <c r="H5" s="532"/>
      <c r="I5" s="533"/>
      <c r="K5" s="242"/>
      <c r="L5" s="242"/>
      <c r="M5" s="242"/>
      <c r="N5" s="242"/>
    </row>
    <row r="6" spans="1:14">
      <c r="A6" s="254" t="s">
        <v>104</v>
      </c>
      <c r="B6" s="255">
        <f>'Financial Spread- 1'!B6+'Financial Spread -2'!B6</f>
        <v>0</v>
      </c>
      <c r="C6" s="255">
        <f>'Financial Spread- 1'!C6+'Financial Spread -2'!C6</f>
        <v>0</v>
      </c>
      <c r="D6" s="256" t="str">
        <f>IFERROR((C6-B6)/B6,"")</f>
        <v/>
      </c>
      <c r="E6" s="257"/>
      <c r="F6" s="242"/>
      <c r="G6" s="258" t="s">
        <v>105</v>
      </c>
      <c r="H6" s="259">
        <f>B2</f>
        <v>43555</v>
      </c>
      <c r="I6" s="319">
        <f>H6+365</f>
        <v>43920</v>
      </c>
      <c r="K6" s="242"/>
      <c r="L6" s="242"/>
      <c r="M6" s="242"/>
      <c r="N6" s="242"/>
    </row>
    <row r="7" spans="1:14" ht="30">
      <c r="A7" s="260" t="s">
        <v>106</v>
      </c>
      <c r="B7" s="255">
        <f>'Financial Spread- 1'!B7+'Financial Spread -2'!B7</f>
        <v>0</v>
      </c>
      <c r="C7" s="255">
        <f>'Financial Spread- 1'!C7+'Financial Spread -2'!C7</f>
        <v>0</v>
      </c>
      <c r="D7" s="256" t="str">
        <f>IFERROR((C7-B7)/B7,"")</f>
        <v/>
      </c>
      <c r="E7" s="257"/>
      <c r="F7" s="242"/>
      <c r="G7" s="261" t="s">
        <v>107</v>
      </c>
      <c r="H7" s="262">
        <f>B6/100000</f>
        <v>0</v>
      </c>
      <c r="I7" s="320">
        <f>C6/100000</f>
        <v>0</v>
      </c>
      <c r="K7" s="242"/>
      <c r="L7" s="242"/>
      <c r="M7" s="242"/>
      <c r="N7" s="242"/>
    </row>
    <row r="8" spans="1:14" ht="15.75">
      <c r="A8" s="263" t="s">
        <v>108</v>
      </c>
      <c r="B8" s="521"/>
      <c r="C8" s="521"/>
      <c r="D8" s="264"/>
      <c r="E8" s="257"/>
      <c r="F8" s="242"/>
      <c r="G8" s="261" t="s">
        <v>109</v>
      </c>
      <c r="H8" s="265"/>
      <c r="I8" s="321" t="str">
        <f>IFERROR((I7-H7)/H7,"")</f>
        <v/>
      </c>
      <c r="K8" s="242"/>
      <c r="L8" s="242"/>
      <c r="M8" s="242"/>
      <c r="N8" s="242"/>
    </row>
    <row r="9" spans="1:14">
      <c r="A9" s="266" t="s">
        <v>110</v>
      </c>
      <c r="B9" s="267">
        <f>'Financial Spread- 1'!B9+'Financial Spread -2'!B9</f>
        <v>0</v>
      </c>
      <c r="C9" s="267">
        <f>'Financial Spread- 1'!C9+'Financial Spread -2'!C9</f>
        <v>0</v>
      </c>
      <c r="D9" s="256" t="str">
        <f t="shared" ref="D9:D27" si="0">IFERROR((C9-B9)/B9,"")</f>
        <v/>
      </c>
      <c r="E9" s="257"/>
      <c r="F9" s="242"/>
      <c r="G9" s="261" t="s">
        <v>111</v>
      </c>
      <c r="H9" s="262">
        <f>B19/100000</f>
        <v>0</v>
      </c>
      <c r="I9" s="320">
        <f>C19/100000</f>
        <v>0</v>
      </c>
      <c r="K9" s="242"/>
      <c r="L9" s="242"/>
      <c r="M9" s="242"/>
      <c r="N9" s="242"/>
    </row>
    <row r="10" spans="1:14">
      <c r="A10" s="266" t="s">
        <v>112</v>
      </c>
      <c r="B10" s="267">
        <f>'Financial Spread- 1'!B10+'Financial Spread -2'!B10</f>
        <v>0</v>
      </c>
      <c r="C10" s="267">
        <f>'Financial Spread- 1'!C10+'Financial Spread -2'!C10</f>
        <v>0</v>
      </c>
      <c r="D10" s="256" t="str">
        <f t="shared" si="0"/>
        <v/>
      </c>
      <c r="E10" s="257"/>
      <c r="F10" s="268"/>
      <c r="G10" s="261" t="s">
        <v>113</v>
      </c>
      <c r="H10" s="262">
        <f>B23/100000</f>
        <v>0</v>
      </c>
      <c r="I10" s="320">
        <f>C23/100000</f>
        <v>0</v>
      </c>
      <c r="K10" s="242"/>
      <c r="L10" s="242"/>
      <c r="M10" s="242"/>
      <c r="N10" s="242"/>
    </row>
    <row r="11" spans="1:14">
      <c r="A11" s="266" t="s">
        <v>114</v>
      </c>
      <c r="B11" s="267">
        <f>'Financial Spread- 1'!B11+'Financial Spread -2'!B11</f>
        <v>0</v>
      </c>
      <c r="C11" s="267">
        <f>'Financial Spread- 1'!C11+'Financial Spread -2'!C11</f>
        <v>0</v>
      </c>
      <c r="D11" s="256" t="str">
        <f t="shared" si="0"/>
        <v/>
      </c>
      <c r="E11" s="257"/>
      <c r="F11" s="268"/>
      <c r="G11" s="261" t="s">
        <v>115</v>
      </c>
      <c r="H11" s="262">
        <f>B25/100000</f>
        <v>0</v>
      </c>
      <c r="I11" s="320">
        <f>C25/100000</f>
        <v>0</v>
      </c>
      <c r="K11" s="242"/>
      <c r="L11" s="242"/>
      <c r="M11" s="242"/>
      <c r="N11" s="242"/>
    </row>
    <row r="12" spans="1:14">
      <c r="A12" s="269" t="s">
        <v>116</v>
      </c>
      <c r="B12" s="267">
        <f>'Financial Spread- 1'!B12+'Financial Spread -2'!B12</f>
        <v>0</v>
      </c>
      <c r="C12" s="267">
        <f>'Financial Spread- 1'!C12+'Financial Spread -2'!C12</f>
        <v>0</v>
      </c>
      <c r="D12" s="256" t="str">
        <f t="shared" si="0"/>
        <v/>
      </c>
      <c r="E12" s="257"/>
      <c r="F12" s="268"/>
      <c r="G12" s="261" t="s">
        <v>117</v>
      </c>
      <c r="H12" s="262">
        <f>B27/100000</f>
        <v>0</v>
      </c>
      <c r="I12" s="320">
        <f>C27/100000</f>
        <v>0</v>
      </c>
      <c r="L12" s="242"/>
      <c r="M12" s="242"/>
      <c r="N12" s="242"/>
    </row>
    <row r="13" spans="1:14">
      <c r="A13" s="269" t="s">
        <v>118</v>
      </c>
      <c r="B13" s="267">
        <f>'Financial Spread- 1'!B13+'Financial Spread -2'!B13</f>
        <v>0</v>
      </c>
      <c r="C13" s="267">
        <f>'Financial Spread- 1'!C13+'Financial Spread -2'!C13</f>
        <v>0</v>
      </c>
      <c r="D13" s="256" t="str">
        <f t="shared" si="0"/>
        <v/>
      </c>
      <c r="E13" s="257"/>
      <c r="F13" s="268"/>
      <c r="G13" s="261" t="s">
        <v>119</v>
      </c>
      <c r="H13" s="270">
        <f>(B27+B24+B22+B18+B17)/100000</f>
        <v>0</v>
      </c>
      <c r="I13" s="322">
        <f>(C27+C24+C22+C18+C17)/100000</f>
        <v>0</v>
      </c>
      <c r="K13" s="323" t="s">
        <v>120</v>
      </c>
      <c r="L13" s="242"/>
      <c r="M13" s="242"/>
      <c r="N13" s="242"/>
    </row>
    <row r="14" spans="1:14" ht="15.75">
      <c r="A14" s="263" t="s">
        <v>121</v>
      </c>
      <c r="B14" s="271">
        <f>B6+B7-(B10+B12+B13-B11)</f>
        <v>0</v>
      </c>
      <c r="C14" s="271">
        <f>C6+C7-(C10+C12+C13-C11)</f>
        <v>0</v>
      </c>
      <c r="D14" s="256" t="str">
        <f t="shared" si="0"/>
        <v/>
      </c>
      <c r="E14" s="257"/>
      <c r="F14" s="242"/>
      <c r="G14" s="261" t="s">
        <v>122</v>
      </c>
      <c r="H14" s="272" t="str">
        <f>IFERROR(B14/(B7+B6),"")</f>
        <v/>
      </c>
      <c r="I14" s="321" t="str">
        <f>IFERROR(C14/(C7+C6),"")</f>
        <v/>
      </c>
      <c r="K14" s="324"/>
      <c r="L14" s="242"/>
      <c r="M14" s="242"/>
      <c r="N14" s="242"/>
    </row>
    <row r="15" spans="1:14">
      <c r="A15" s="260" t="s">
        <v>123</v>
      </c>
      <c r="B15" s="267">
        <f>'Financial Spread- 1'!B15+'Financial Spread -2'!B15</f>
        <v>0</v>
      </c>
      <c r="C15" s="267">
        <f>'Financial Spread- 1'!C15+'Financial Spread -2'!C15</f>
        <v>0</v>
      </c>
      <c r="D15" s="256" t="str">
        <f t="shared" si="0"/>
        <v/>
      </c>
      <c r="E15" s="257"/>
      <c r="F15" s="268"/>
      <c r="G15" s="261" t="s">
        <v>124</v>
      </c>
      <c r="H15" s="102" t="str">
        <f>IFERROR(H11/H7,"")</f>
        <v/>
      </c>
      <c r="I15" s="325" t="str">
        <f>IFERROR(I11/I7,"")</f>
        <v/>
      </c>
      <c r="K15" s="324"/>
      <c r="L15" s="242"/>
      <c r="M15" s="242"/>
      <c r="N15" s="242"/>
    </row>
    <row r="16" spans="1:14">
      <c r="A16" s="260" t="s">
        <v>125</v>
      </c>
      <c r="B16" s="267">
        <f>'Financial Spread- 1'!B16+'Financial Spread -2'!B16</f>
        <v>0</v>
      </c>
      <c r="C16" s="267">
        <f>'Financial Spread- 1'!C16+'Financial Spread -2'!C16</f>
        <v>0</v>
      </c>
      <c r="D16" s="256" t="str">
        <f t="shared" si="0"/>
        <v/>
      </c>
      <c r="E16" s="257"/>
      <c r="F16" s="242"/>
      <c r="G16" s="261" t="s">
        <v>126</v>
      </c>
      <c r="H16" s="270">
        <f>SUM(B49+B50+B51+B52+B44)/100000</f>
        <v>0</v>
      </c>
      <c r="I16" s="322">
        <f>SUM(C49+C50+C51+C52+C44)/100000</f>
        <v>0</v>
      </c>
      <c r="K16" s="323" t="s">
        <v>127</v>
      </c>
      <c r="L16" s="242"/>
      <c r="M16" s="242"/>
      <c r="N16" s="242"/>
    </row>
    <row r="17" spans="1:14" ht="30">
      <c r="A17" s="273" t="s">
        <v>128</v>
      </c>
      <c r="B17" s="267">
        <f>'Financial Spread- 1'!B17+'Financial Spread -2'!B17</f>
        <v>0</v>
      </c>
      <c r="C17" s="267">
        <f>'Financial Spread- 1'!C17+'Financial Spread -2'!C17</f>
        <v>0</v>
      </c>
      <c r="D17" s="256" t="str">
        <f t="shared" si="0"/>
        <v/>
      </c>
      <c r="E17" s="257"/>
      <c r="F17" s="242"/>
      <c r="G17" s="261" t="s">
        <v>129</v>
      </c>
      <c r="H17" s="270">
        <f>SUM(B58+B60+B61+B62+B63+B64+B65+B66+B68)/100000</f>
        <v>0</v>
      </c>
      <c r="I17" s="322">
        <f>SUM(C58+C60+C61+C62+C63+C64+C65+C66+C68)/100000</f>
        <v>0</v>
      </c>
      <c r="K17" s="323" t="s">
        <v>130</v>
      </c>
      <c r="L17" s="242"/>
      <c r="M17" s="242"/>
      <c r="N17" s="242"/>
    </row>
    <row r="18" spans="1:14">
      <c r="A18" s="260" t="s">
        <v>131</v>
      </c>
      <c r="B18" s="267">
        <f>'Financial Spread- 1'!B18+'Financial Spread -2'!B18</f>
        <v>0</v>
      </c>
      <c r="C18" s="267">
        <f>'Financial Spread- 1'!C18+'Financial Spread -2'!C18</f>
        <v>0</v>
      </c>
      <c r="D18" s="256" t="str">
        <f t="shared" si="0"/>
        <v/>
      </c>
      <c r="E18" s="257"/>
      <c r="F18" s="268"/>
      <c r="G18" s="261" t="s">
        <v>132</v>
      </c>
      <c r="H18" s="270">
        <f>(B48-B44)/100000</f>
        <v>0</v>
      </c>
      <c r="I18" s="322">
        <f>(C48-C44)/100000</f>
        <v>0</v>
      </c>
      <c r="K18" s="323" t="s">
        <v>133</v>
      </c>
      <c r="L18" s="242"/>
      <c r="M18" s="242"/>
      <c r="N18" s="242"/>
    </row>
    <row r="19" spans="1:14" ht="15.75">
      <c r="A19" s="263" t="s">
        <v>134</v>
      </c>
      <c r="B19" s="271">
        <f>B14-B15-B16-B18</f>
        <v>0</v>
      </c>
      <c r="C19" s="271">
        <f>C14-C15-C16-C18</f>
        <v>0</v>
      </c>
      <c r="D19" s="256" t="str">
        <f t="shared" si="0"/>
        <v/>
      </c>
      <c r="E19" s="257"/>
      <c r="F19" s="242"/>
      <c r="G19" s="274" t="s">
        <v>135</v>
      </c>
      <c r="H19" s="275">
        <f>B43/100000</f>
        <v>0</v>
      </c>
      <c r="I19" s="326">
        <f>C43/100000</f>
        <v>0</v>
      </c>
      <c r="K19" s="323" t="s">
        <v>136</v>
      </c>
      <c r="L19" s="242"/>
      <c r="M19" s="242"/>
      <c r="N19" s="242"/>
    </row>
    <row r="20" spans="1:14">
      <c r="A20" s="260" t="s">
        <v>137</v>
      </c>
      <c r="B20" s="267">
        <f>'Financial Spread- 1'!B20+'Financial Spread -2'!B20</f>
        <v>0</v>
      </c>
      <c r="C20" s="267">
        <f>'Financial Spread- 1'!C20+'Financial Spread -2'!C20</f>
        <v>0</v>
      </c>
      <c r="D20" s="256" t="str">
        <f t="shared" si="0"/>
        <v/>
      </c>
      <c r="E20" s="257"/>
      <c r="F20" s="268"/>
      <c r="G20" s="525" t="s">
        <v>138</v>
      </c>
      <c r="H20" s="526"/>
      <c r="I20" s="527"/>
      <c r="K20" s="324"/>
      <c r="L20" s="242"/>
      <c r="M20" s="242"/>
      <c r="N20" s="242"/>
    </row>
    <row r="21" spans="1:14">
      <c r="A21" s="260" t="s">
        <v>139</v>
      </c>
      <c r="B21" s="267">
        <f>'Financial Spread- 1'!B21+'Financial Spread -2'!B21</f>
        <v>0</v>
      </c>
      <c r="C21" s="267">
        <f>'Financial Spread- 1'!C21+'Financial Spread -2'!C21</f>
        <v>0</v>
      </c>
      <c r="D21" s="256" t="str">
        <f t="shared" si="0"/>
        <v/>
      </c>
      <c r="E21" s="257"/>
      <c r="F21" s="242"/>
      <c r="G21" s="276" t="s">
        <v>105</v>
      </c>
      <c r="H21" s="277">
        <f>B2</f>
        <v>43555</v>
      </c>
      <c r="I21" s="327">
        <f>H21+365</f>
        <v>43920</v>
      </c>
      <c r="K21" s="324"/>
      <c r="L21" s="242"/>
      <c r="M21" s="242"/>
      <c r="N21" s="242"/>
    </row>
    <row r="22" spans="1:14">
      <c r="A22" s="260" t="s">
        <v>141</v>
      </c>
      <c r="B22" s="267">
        <f>'Financial Spread- 1'!B22+'Financial Spread -2'!B22</f>
        <v>0</v>
      </c>
      <c r="C22" s="267">
        <f>'Financial Spread- 1'!C22+'Financial Spread -2'!C22</f>
        <v>0</v>
      </c>
      <c r="D22" s="256" t="str">
        <f t="shared" si="0"/>
        <v/>
      </c>
      <c r="E22" s="257"/>
      <c r="F22" s="242"/>
      <c r="G22" s="261" t="s">
        <v>142</v>
      </c>
      <c r="H22" s="278">
        <f>IFERROR((B60+B61)/100000,"")</f>
        <v>0</v>
      </c>
      <c r="I22" s="328">
        <f>IFERROR((C60+C61)/100000,"")</f>
        <v>0</v>
      </c>
      <c r="K22" s="324"/>
      <c r="L22" s="242"/>
      <c r="M22" s="242"/>
      <c r="N22" s="242"/>
    </row>
    <row r="23" spans="1:14" ht="31.5">
      <c r="A23" s="263" t="s">
        <v>143</v>
      </c>
      <c r="B23" s="279">
        <f>B19-B20-B21-B22-B17+B9</f>
        <v>0</v>
      </c>
      <c r="C23" s="279">
        <f>C19-C20-C21-C22-C17+C9</f>
        <v>0</v>
      </c>
      <c r="D23" s="256" t="str">
        <f t="shared" si="0"/>
        <v/>
      </c>
      <c r="E23" s="257"/>
      <c r="F23" s="242"/>
      <c r="G23" s="261" t="s">
        <v>144</v>
      </c>
      <c r="H23" s="278">
        <f>IFERROR(B49/100000,"")</f>
        <v>0</v>
      </c>
      <c r="I23" s="328">
        <f>IFERROR(C49/100000,"")</f>
        <v>0</v>
      </c>
      <c r="K23" s="324"/>
      <c r="L23" s="242"/>
      <c r="M23" s="242"/>
      <c r="N23" s="242"/>
    </row>
    <row r="24" spans="1:14">
      <c r="A24" s="260" t="s">
        <v>145</v>
      </c>
      <c r="B24" s="267">
        <f>'Financial Spread- 1'!B24+'Financial Spread -2'!B24</f>
        <v>0</v>
      </c>
      <c r="C24" s="267">
        <f>'Financial Spread- 1'!C24+'Financial Spread -2'!C24</f>
        <v>0</v>
      </c>
      <c r="D24" s="256" t="str">
        <f t="shared" si="0"/>
        <v/>
      </c>
      <c r="E24" s="257"/>
      <c r="F24" s="268"/>
      <c r="G24" s="261" t="s">
        <v>146</v>
      </c>
      <c r="H24" s="278">
        <f>IFERROR(B58/100000,"")</f>
        <v>0</v>
      </c>
      <c r="I24" s="328">
        <f>IFERROR(C58/100000,"")</f>
        <v>0</v>
      </c>
      <c r="K24" s="324"/>
      <c r="L24" s="242"/>
      <c r="M24" s="242"/>
      <c r="N24" s="242"/>
    </row>
    <row r="25" spans="1:14" ht="15.75">
      <c r="A25" s="280" t="s">
        <v>147</v>
      </c>
      <c r="B25" s="281">
        <f>B23-B24</f>
        <v>0</v>
      </c>
      <c r="C25" s="281">
        <f>C23-C24</f>
        <v>0</v>
      </c>
      <c r="D25" s="256" t="str">
        <f t="shared" si="0"/>
        <v/>
      </c>
      <c r="E25" s="257"/>
      <c r="F25" s="268"/>
      <c r="G25" s="261" t="s">
        <v>148</v>
      </c>
      <c r="H25" s="282" t="str">
        <f>IFERROR(ROUND((H22*100000)/B6*365,0),"")</f>
        <v/>
      </c>
      <c r="I25" s="329" t="str">
        <f>IFERROR(ROUND((I22*100000)/C6*365,0),"")</f>
        <v/>
      </c>
      <c r="K25" s="324" t="s">
        <v>150</v>
      </c>
      <c r="L25" s="242"/>
      <c r="M25" s="242"/>
      <c r="N25" s="242"/>
    </row>
    <row r="26" spans="1:14">
      <c r="A26" s="260" t="s">
        <v>151</v>
      </c>
      <c r="B26" s="267">
        <f>'Financial Spread- 1'!B26+'Financial Spread -2'!B26</f>
        <v>0</v>
      </c>
      <c r="C26" s="267">
        <f>'Financial Spread- 1'!C26+'Financial Spread -2'!C26</f>
        <v>0</v>
      </c>
      <c r="D26" s="256" t="str">
        <f t="shared" si="0"/>
        <v/>
      </c>
      <c r="E26" s="257"/>
      <c r="F26" s="268"/>
      <c r="G26" s="261" t="s">
        <v>152</v>
      </c>
      <c r="H26" s="278" t="str">
        <f>IFERROR(ROUND((H23*100000/B12)*365,0),"")</f>
        <v/>
      </c>
      <c r="I26" s="328" t="str">
        <f>IFERROR(ROUND((I23*100000/C12)*365,0),"")</f>
        <v/>
      </c>
      <c r="K26" s="324" t="s">
        <v>153</v>
      </c>
      <c r="L26" s="242"/>
      <c r="M26" s="242"/>
      <c r="N26" s="242"/>
    </row>
    <row r="27" spans="1:14" ht="15.75">
      <c r="A27" s="280" t="s">
        <v>117</v>
      </c>
      <c r="B27" s="283">
        <f>+B25-B26</f>
        <v>0</v>
      </c>
      <c r="C27" s="283">
        <f>C25-C26</f>
        <v>0</v>
      </c>
      <c r="D27" s="256" t="str">
        <f t="shared" si="0"/>
        <v/>
      </c>
      <c r="E27" s="284"/>
      <c r="F27" s="268"/>
      <c r="G27" s="261" t="s">
        <v>154</v>
      </c>
      <c r="H27" s="278" t="str">
        <f>IFERROR(ROUND(B58/(B10+B12+B13-B11)*365,0),"")</f>
        <v/>
      </c>
      <c r="I27" s="278" t="str">
        <f>IFERROR(ROUND(C58/(C10+C12+C13-C11)*365,0),"")</f>
        <v/>
      </c>
      <c r="K27" s="323" t="s">
        <v>155</v>
      </c>
      <c r="L27" s="242"/>
      <c r="M27" s="242"/>
      <c r="N27" s="242"/>
    </row>
    <row r="28" spans="1:14">
      <c r="F28" s="242"/>
      <c r="G28" s="261" t="s">
        <v>156</v>
      </c>
      <c r="H28" s="278" t="str">
        <f>IFERROR((B10+B12+B13-B11)/((B10+B11)/2),"")</f>
        <v/>
      </c>
      <c r="I28" s="278" t="str">
        <f>IFERROR((C10+C12+C13-C11)/((C10+C11)/2),"")</f>
        <v/>
      </c>
      <c r="K28" s="330" t="s">
        <v>158</v>
      </c>
      <c r="L28" s="242"/>
      <c r="M28" s="242"/>
      <c r="N28" s="242"/>
    </row>
    <row r="29" spans="1:14" ht="45">
      <c r="A29" s="285" t="s">
        <v>159</v>
      </c>
      <c r="B29" s="286">
        <f>'Financial Spread- 1'!B29+'Financial Spread -2'!B29</f>
        <v>0</v>
      </c>
      <c r="C29" s="287">
        <f>'Financial Spread- 1'!C29+'Financial Spread -2'!C29</f>
        <v>0</v>
      </c>
      <c r="E29" s="288"/>
      <c r="F29" s="242"/>
      <c r="G29" s="261" t="s">
        <v>160</v>
      </c>
      <c r="H29" s="278">
        <f>H17-H16</f>
        <v>0</v>
      </c>
      <c r="I29" s="328">
        <f>I17-I16</f>
        <v>0</v>
      </c>
      <c r="K29" s="324" t="s">
        <v>161</v>
      </c>
      <c r="L29" s="242"/>
      <c r="M29" s="242"/>
      <c r="N29" s="242"/>
    </row>
    <row r="30" spans="1:14">
      <c r="A30" s="289" t="s">
        <v>162</v>
      </c>
      <c r="B30" s="286">
        <f>'Financial Spread- 1'!B30+'Financial Spread -2'!B30</f>
        <v>0</v>
      </c>
      <c r="C30" s="287">
        <f>'Financial Spread- 1'!C30+'Financial Spread -2'!C30</f>
        <v>0</v>
      </c>
      <c r="E30" s="288"/>
      <c r="F30" s="242"/>
      <c r="G30" s="261" t="s">
        <v>163</v>
      </c>
      <c r="H30" s="290" t="str">
        <f>IFERROR(H17/H16,"")</f>
        <v/>
      </c>
      <c r="I30" s="331" t="str">
        <f>IFERROR(I17/I16,"")</f>
        <v/>
      </c>
      <c r="K30" s="324" t="s">
        <v>164</v>
      </c>
      <c r="L30" s="242"/>
      <c r="M30" s="242"/>
      <c r="N30" s="242"/>
    </row>
    <row r="31" spans="1:14" ht="30">
      <c r="A31" s="291" t="s">
        <v>165</v>
      </c>
      <c r="B31" s="292">
        <f>B29-B30</f>
        <v>0</v>
      </c>
      <c r="C31" s="293">
        <f>C29-C30</f>
        <v>0</v>
      </c>
      <c r="F31" s="242"/>
      <c r="G31" s="261" t="s">
        <v>166</v>
      </c>
      <c r="H31" s="290" t="str">
        <f>IFERROR((H17-H24)/H16,"")</f>
        <v/>
      </c>
      <c r="I31" s="331" t="str">
        <f>IFERROR((I17-I24)/I16,"")</f>
        <v/>
      </c>
      <c r="K31" s="332" t="s">
        <v>214</v>
      </c>
      <c r="L31" s="242"/>
      <c r="M31" s="242"/>
      <c r="N31" s="242"/>
    </row>
    <row r="32" spans="1:14">
      <c r="F32" s="242"/>
      <c r="G32" s="265" t="s">
        <v>168</v>
      </c>
      <c r="H32" s="290" t="str">
        <f>IFERROR(B19/(B20+B21),"")</f>
        <v/>
      </c>
      <c r="I32" s="290" t="str">
        <f>IFERROR(C19/(C20+C21),"")</f>
        <v/>
      </c>
      <c r="K32" s="323" t="s">
        <v>169</v>
      </c>
      <c r="L32" s="242"/>
      <c r="M32" s="242"/>
      <c r="N32" s="242"/>
    </row>
    <row r="33" spans="1:14" ht="15.75">
      <c r="A33" s="508" t="s">
        <v>170</v>
      </c>
      <c r="B33" s="509"/>
      <c r="C33" s="510"/>
      <c r="D33" s="294"/>
      <c r="E33" s="295"/>
      <c r="F33" s="242"/>
      <c r="G33" s="274" t="s">
        <v>171</v>
      </c>
      <c r="H33" s="296" t="str">
        <f>IFERROR(H18/H19,"")</f>
        <v/>
      </c>
      <c r="I33" s="333" t="str">
        <f>IFERROR(I18/I19,"")</f>
        <v/>
      </c>
      <c r="K33" s="324" t="s">
        <v>215</v>
      </c>
      <c r="L33" s="242"/>
      <c r="M33" s="242"/>
      <c r="N33" s="242"/>
    </row>
    <row r="34" spans="1:14" ht="15.75">
      <c r="A34" s="297" t="s">
        <v>98</v>
      </c>
      <c r="B34" s="298">
        <f>B2</f>
        <v>43555</v>
      </c>
      <c r="C34" s="298">
        <f>B34+365</f>
        <v>43920</v>
      </c>
      <c r="D34" s="298" t="s">
        <v>102</v>
      </c>
      <c r="E34" s="299" t="s">
        <v>68</v>
      </c>
      <c r="F34" s="242"/>
      <c r="G34" s="265" t="s">
        <v>173</v>
      </c>
      <c r="H34" s="290" t="str">
        <f>IFERROR((H18+H16)/H19,"")</f>
        <v/>
      </c>
      <c r="I34" s="290" t="str">
        <f>IFERROR((I18+I16)/I19,"")</f>
        <v/>
      </c>
      <c r="K34" s="334" t="s">
        <v>174</v>
      </c>
      <c r="L34" s="242"/>
      <c r="M34" s="242"/>
      <c r="N34" s="242"/>
    </row>
    <row r="35" spans="1:14" ht="15.75">
      <c r="A35" s="300" t="s">
        <v>175</v>
      </c>
      <c r="B35" s="267"/>
      <c r="C35" s="267"/>
      <c r="D35" s="265"/>
      <c r="E35" s="301"/>
      <c r="F35" s="242"/>
      <c r="K35" s="324"/>
      <c r="L35" s="242"/>
      <c r="M35" s="242"/>
      <c r="N35" s="242"/>
    </row>
    <row r="36" spans="1:14">
      <c r="A36" s="260" t="s">
        <v>176</v>
      </c>
      <c r="B36" s="267">
        <f>'Financial Spread- 1'!B36+'Financial Spread -2'!B36</f>
        <v>0</v>
      </c>
      <c r="C36" s="267">
        <f>'Financial Spread- 1'!C36+'Financial Spread -2'!C36</f>
        <v>0</v>
      </c>
      <c r="D36" s="256" t="str">
        <f t="shared" ref="D36:D69" si="1">IFERROR((C36-B36)/B36,"")</f>
        <v/>
      </c>
      <c r="E36" s="257"/>
      <c r="F36" s="302"/>
      <c r="G36" s="534"/>
      <c r="H36" s="534"/>
      <c r="I36" s="303"/>
      <c r="J36" s="242"/>
      <c r="K36" s="242"/>
      <c r="L36" s="242"/>
      <c r="M36" s="242"/>
      <c r="N36" s="242"/>
    </row>
    <row r="37" spans="1:14">
      <c r="A37" s="260" t="s">
        <v>177</v>
      </c>
      <c r="B37" s="267">
        <f>'Financial Spread- 1'!B37+'Financial Spread -2'!B37</f>
        <v>0</v>
      </c>
      <c r="C37" s="267">
        <f>'Financial Spread- 1'!C37+'Financial Spread -2'!C37</f>
        <v>0</v>
      </c>
      <c r="D37" s="256" t="str">
        <f t="shared" si="1"/>
        <v/>
      </c>
      <c r="E37" s="257"/>
      <c r="F37" s="242"/>
      <c r="G37" s="288"/>
      <c r="H37" s="304"/>
      <c r="I37" s="335"/>
      <c r="K37" s="242"/>
      <c r="L37" s="242"/>
      <c r="M37" s="242"/>
      <c r="N37" s="242"/>
    </row>
    <row r="38" spans="1:14" ht="30">
      <c r="A38" s="260" t="s">
        <v>178</v>
      </c>
      <c r="B38" s="267">
        <f>'Financial Spread- 1'!B38+'Financial Spread -2'!B38</f>
        <v>0</v>
      </c>
      <c r="C38" s="267">
        <f>'Financial Spread- 1'!C38+'Financial Spread -2'!C38</f>
        <v>0</v>
      </c>
      <c r="D38" s="256" t="str">
        <f t="shared" si="1"/>
        <v/>
      </c>
      <c r="E38" s="257"/>
      <c r="F38" s="268"/>
      <c r="H38" s="305"/>
      <c r="I38" s="336"/>
      <c r="K38" s="242"/>
      <c r="L38" s="242"/>
      <c r="M38" s="242"/>
      <c r="N38" s="242"/>
    </row>
    <row r="39" spans="1:14">
      <c r="A39" s="306" t="s">
        <v>179</v>
      </c>
      <c r="B39" s="281">
        <f>B36+B37</f>
        <v>0</v>
      </c>
      <c r="C39" s="281">
        <f>C36+C37</f>
        <v>0</v>
      </c>
      <c r="D39" s="256" t="str">
        <f t="shared" si="1"/>
        <v/>
      </c>
      <c r="E39" s="257"/>
      <c r="F39" s="268"/>
      <c r="K39" s="242"/>
      <c r="L39" s="242"/>
      <c r="M39" s="242"/>
      <c r="N39" s="242"/>
    </row>
    <row r="40" spans="1:14">
      <c r="A40" s="260" t="s">
        <v>180</v>
      </c>
      <c r="B40" s="267">
        <f>'Financial Spread- 1'!B40+'Financial Spread -2'!B40</f>
        <v>0</v>
      </c>
      <c r="C40" s="267">
        <f>'Financial Spread- 1'!C40+'Financial Spread -2'!C40</f>
        <v>0</v>
      </c>
      <c r="D40" s="256" t="str">
        <f t="shared" si="1"/>
        <v/>
      </c>
      <c r="E40" s="257"/>
      <c r="F40" s="242"/>
      <c r="H40" s="304"/>
      <c r="I40" s="335"/>
      <c r="K40" s="242"/>
      <c r="L40" s="242"/>
      <c r="M40" s="242"/>
      <c r="N40" s="242"/>
    </row>
    <row r="41" spans="1:14" ht="30">
      <c r="A41" s="260" t="s">
        <v>181</v>
      </c>
      <c r="B41" s="267">
        <f>'Financial Spread- 1'!B41+'Financial Spread -2'!B41</f>
        <v>0</v>
      </c>
      <c r="C41" s="267">
        <f>'Financial Spread- 1'!C41+'Financial Spread -2'!C41</f>
        <v>0</v>
      </c>
      <c r="D41" s="256" t="str">
        <f t="shared" si="1"/>
        <v/>
      </c>
      <c r="E41" s="257"/>
      <c r="F41" s="268"/>
      <c r="K41" s="242"/>
      <c r="L41" s="242"/>
      <c r="M41" s="242"/>
      <c r="N41" s="242"/>
    </row>
    <row r="42" spans="1:14">
      <c r="A42" s="260" t="s">
        <v>182</v>
      </c>
      <c r="B42" s="267">
        <f>'Financial Spread- 1'!B42+'Financial Spread -2'!B42</f>
        <v>0</v>
      </c>
      <c r="C42" s="267">
        <f>'Financial Spread- 1'!C42+'Financial Spread -2'!C42</f>
        <v>0</v>
      </c>
      <c r="D42" s="256" t="str">
        <f t="shared" si="1"/>
        <v/>
      </c>
      <c r="E42" s="257"/>
      <c r="F42" s="268"/>
      <c r="K42" s="242"/>
      <c r="L42" s="242"/>
      <c r="M42" s="242"/>
      <c r="N42" s="242"/>
    </row>
    <row r="43" spans="1:14">
      <c r="A43" s="306" t="s">
        <v>183</v>
      </c>
      <c r="B43" s="281">
        <f>B39+B41-B40-B42-B57-B61</f>
        <v>0</v>
      </c>
      <c r="C43" s="281">
        <f>(C39+C41-C40-C42-C57-C61)</f>
        <v>0</v>
      </c>
      <c r="D43" s="256"/>
      <c r="E43" s="257"/>
      <c r="F43" s="268"/>
      <c r="K43" s="242"/>
      <c r="L43" s="242"/>
      <c r="M43" s="242"/>
      <c r="N43" s="242"/>
    </row>
    <row r="44" spans="1:14" ht="30">
      <c r="A44" s="260" t="s">
        <v>184</v>
      </c>
      <c r="B44" s="307">
        <f>'Financial Spread- 1'!B44+'Financial Spread -2'!B44</f>
        <v>0</v>
      </c>
      <c r="C44" s="308">
        <f>'Financial Spread- 1'!C44+'Financial Spread -2'!C44</f>
        <v>0</v>
      </c>
      <c r="D44" s="256" t="str">
        <f t="shared" si="1"/>
        <v/>
      </c>
      <c r="E44" s="257"/>
      <c r="F44" s="268"/>
      <c r="K44" s="242"/>
      <c r="L44" s="242"/>
      <c r="M44" s="242"/>
      <c r="N44" s="242"/>
    </row>
    <row r="45" spans="1:14">
      <c r="A45" s="260" t="s">
        <v>185</v>
      </c>
      <c r="B45" s="307">
        <f>'Financial Spread- 1'!B45+'Financial Spread -2'!B45</f>
        <v>0</v>
      </c>
      <c r="C45" s="308">
        <f>'Financial Spread- 1'!C45+'Financial Spread -2'!C45</f>
        <v>0</v>
      </c>
      <c r="D45" s="256" t="str">
        <f t="shared" si="1"/>
        <v/>
      </c>
      <c r="E45" s="257"/>
      <c r="F45" s="268"/>
      <c r="K45" s="242"/>
      <c r="L45" s="242"/>
      <c r="M45" s="242"/>
      <c r="N45" s="242"/>
    </row>
    <row r="46" spans="1:14">
      <c r="A46" s="260" t="s">
        <v>186</v>
      </c>
      <c r="B46" s="307">
        <f>'Financial Spread- 1'!B46+'Financial Spread -2'!B46</f>
        <v>0</v>
      </c>
      <c r="C46" s="308">
        <f>'Financial Spread- 1'!C46+'Financial Spread -2'!C46</f>
        <v>0</v>
      </c>
      <c r="D46" s="256" t="str">
        <f t="shared" si="1"/>
        <v/>
      </c>
      <c r="E46" s="257"/>
      <c r="F46" s="268"/>
      <c r="K46" s="242"/>
      <c r="L46" s="242"/>
      <c r="M46" s="242"/>
      <c r="N46" s="242"/>
    </row>
    <row r="47" spans="1:14">
      <c r="A47" s="260" t="s">
        <v>187</v>
      </c>
      <c r="B47" s="307">
        <f>'Financial Spread- 1'!B47+'Financial Spread -2'!B47</f>
        <v>0</v>
      </c>
      <c r="C47" s="308">
        <f>'Financial Spread- 1'!C47+'Financial Spread -2'!C47</f>
        <v>0</v>
      </c>
      <c r="D47" s="256" t="str">
        <f t="shared" si="1"/>
        <v/>
      </c>
      <c r="E47" s="257"/>
      <c r="F47" s="268"/>
      <c r="K47" s="242"/>
      <c r="L47" s="242"/>
      <c r="M47" s="242"/>
      <c r="N47" s="242"/>
    </row>
    <row r="48" spans="1:14">
      <c r="A48" s="306" t="s">
        <v>188</v>
      </c>
      <c r="B48" s="281">
        <f>SUM(B44+B45+B46+B47)</f>
        <v>0</v>
      </c>
      <c r="C48" s="281">
        <f>SUM(C44+C45+C46+C47)</f>
        <v>0</v>
      </c>
      <c r="D48" s="256" t="str">
        <f t="shared" si="1"/>
        <v/>
      </c>
      <c r="E48" s="257"/>
      <c r="F48" s="242"/>
      <c r="K48" s="242"/>
      <c r="L48" s="242"/>
      <c r="M48" s="242"/>
      <c r="N48" s="242"/>
    </row>
    <row r="49" spans="1:14">
      <c r="A49" s="260" t="s">
        <v>189</v>
      </c>
      <c r="B49" s="309">
        <f>'Financial Spread- 1'!B49+'Financial Spread -2'!B49</f>
        <v>0</v>
      </c>
      <c r="C49" s="308">
        <f>'Financial Spread- 1'!C49+'Financial Spread -2'!C49</f>
        <v>0</v>
      </c>
      <c r="D49" s="256" t="str">
        <f t="shared" si="1"/>
        <v/>
      </c>
      <c r="E49" s="257"/>
      <c r="F49" s="268"/>
      <c r="K49" s="242"/>
      <c r="L49" s="242"/>
      <c r="M49" s="242"/>
      <c r="N49" s="242"/>
    </row>
    <row r="50" spans="1:14">
      <c r="A50" s="260" t="s">
        <v>190</v>
      </c>
      <c r="B50" s="309">
        <f>'Financial Spread- 1'!B50+'Financial Spread -2'!B50</f>
        <v>0</v>
      </c>
      <c r="C50" s="308">
        <f>'Financial Spread- 1'!C50+'Financial Spread -2'!C50</f>
        <v>0</v>
      </c>
      <c r="D50" s="256" t="str">
        <f t="shared" si="1"/>
        <v/>
      </c>
      <c r="E50" s="257"/>
      <c r="F50" s="268"/>
      <c r="K50" s="242"/>
      <c r="L50" s="242"/>
      <c r="M50" s="242"/>
      <c r="N50" s="242"/>
    </row>
    <row r="51" spans="1:14">
      <c r="A51" s="260" t="s">
        <v>191</v>
      </c>
      <c r="B51" s="309">
        <f>'Financial Spread- 1'!B51+'Financial Spread -2'!B51</f>
        <v>0</v>
      </c>
      <c r="C51" s="308">
        <f>'Financial Spread- 1'!C51+'Financial Spread -2'!C51</f>
        <v>0</v>
      </c>
      <c r="D51" s="256" t="str">
        <f t="shared" si="1"/>
        <v/>
      </c>
      <c r="E51" s="257"/>
      <c r="F51" s="268"/>
      <c r="K51" s="242"/>
      <c r="L51" s="242"/>
      <c r="M51" s="242"/>
      <c r="N51" s="242"/>
    </row>
    <row r="52" spans="1:14">
      <c r="A52" s="260" t="s">
        <v>192</v>
      </c>
      <c r="B52" s="309">
        <f>'Financial Spread- 1'!B52+'Financial Spread -2'!B52</f>
        <v>0</v>
      </c>
      <c r="C52" s="308">
        <f>'Financial Spread- 1'!C52+'Financial Spread -2'!C52</f>
        <v>0</v>
      </c>
      <c r="D52" s="256" t="str">
        <f t="shared" si="1"/>
        <v/>
      </c>
      <c r="E52" s="257"/>
      <c r="F52" s="268"/>
      <c r="G52" s="242"/>
      <c r="H52" s="242"/>
      <c r="I52" s="242"/>
      <c r="J52" s="242"/>
      <c r="K52" s="242"/>
      <c r="L52" s="242"/>
      <c r="M52" s="242"/>
      <c r="N52" s="242"/>
    </row>
    <row r="53" spans="1:14">
      <c r="A53" s="260" t="s">
        <v>193</v>
      </c>
      <c r="B53" s="309">
        <f>'Financial Spread- 1'!B53+'Financial Spread -2'!B53</f>
        <v>0</v>
      </c>
      <c r="C53" s="308">
        <f>'Financial Spread- 1'!C53+'Financial Spread -2'!C53</f>
        <v>0</v>
      </c>
      <c r="D53" s="256" t="str">
        <f t="shared" si="1"/>
        <v/>
      </c>
      <c r="E53" s="257"/>
      <c r="F53" s="268"/>
      <c r="G53" s="242"/>
      <c r="H53" s="242"/>
      <c r="I53" s="242"/>
      <c r="J53" s="242"/>
      <c r="K53" s="242"/>
    </row>
    <row r="54" spans="1:14" ht="15.75">
      <c r="A54" s="310" t="s">
        <v>194</v>
      </c>
      <c r="B54" s="311">
        <f>SUM(B38+B39+B41+B48+B49+B50+B51+B52+B53)</f>
        <v>0</v>
      </c>
      <c r="C54" s="311">
        <f>SUM(C38+C39+C41+C48+C49+C50+C51+C52+C53)</f>
        <v>0</v>
      </c>
      <c r="D54" s="256" t="str">
        <f t="shared" si="1"/>
        <v/>
      </c>
      <c r="E54" s="257"/>
      <c r="F54" s="242"/>
      <c r="G54" s="312"/>
      <c r="H54" s="242"/>
      <c r="I54" s="242"/>
      <c r="K54" s="242"/>
    </row>
    <row r="55" spans="1:14" ht="15.75">
      <c r="A55" s="300" t="s">
        <v>195</v>
      </c>
      <c r="B55" s="313"/>
      <c r="C55" s="313"/>
      <c r="D55" s="256" t="str">
        <f t="shared" si="1"/>
        <v/>
      </c>
      <c r="E55" s="257"/>
      <c r="F55" s="242"/>
      <c r="G55" s="242"/>
      <c r="H55" s="242"/>
      <c r="I55" s="242"/>
      <c r="K55" s="242"/>
    </row>
    <row r="56" spans="1:14" ht="30">
      <c r="A56" s="273" t="s">
        <v>196</v>
      </c>
      <c r="B56" s="267">
        <f>'Financial Spread- 1'!B56+'Financial Spread -2'!B56</f>
        <v>0</v>
      </c>
      <c r="C56" s="267">
        <f>'Financial Spread- 1'!C56+'Financial Spread -2'!C56</f>
        <v>0</v>
      </c>
      <c r="D56" s="256" t="str">
        <f t="shared" si="1"/>
        <v/>
      </c>
      <c r="E56" s="257"/>
      <c r="F56" s="288"/>
      <c r="G56" s="242"/>
      <c r="H56" s="242"/>
      <c r="I56" s="242"/>
      <c r="K56" s="242"/>
    </row>
    <row r="57" spans="1:14">
      <c r="A57" s="273" t="s">
        <v>197</v>
      </c>
      <c r="B57" s="267">
        <f>'Financial Spread- 1'!B57+'Financial Spread -2'!B57</f>
        <v>0</v>
      </c>
      <c r="C57" s="267">
        <f>'Financial Spread- 1'!C57+'Financial Spread -2'!C57</f>
        <v>0</v>
      </c>
      <c r="D57" s="256"/>
      <c r="E57" s="257"/>
      <c r="F57" s="288"/>
      <c r="K57" s="242"/>
    </row>
    <row r="58" spans="1:14">
      <c r="A58" s="273" t="s">
        <v>198</v>
      </c>
      <c r="B58" s="267">
        <f>'Financial Spread- 1'!B58+'Financial Spread -2'!B58</f>
        <v>0</v>
      </c>
      <c r="C58" s="267">
        <f>'Financial Spread- 1'!C58+'Financial Spread -2'!C58</f>
        <v>0</v>
      </c>
      <c r="D58" s="256" t="str">
        <f t="shared" si="1"/>
        <v/>
      </c>
      <c r="E58" s="257"/>
      <c r="K58" s="242"/>
    </row>
    <row r="59" spans="1:14">
      <c r="A59" s="314" t="s">
        <v>199</v>
      </c>
      <c r="B59" s="512"/>
      <c r="C59" s="512"/>
      <c r="D59" s="256" t="str">
        <f t="shared" si="1"/>
        <v/>
      </c>
      <c r="E59" s="257"/>
      <c r="K59" s="242"/>
    </row>
    <row r="60" spans="1:14">
      <c r="A60" s="315" t="s">
        <v>200</v>
      </c>
      <c r="B60" s="267">
        <f>'Financial Spread- 1'!B60+'Financial Spread -2'!B60</f>
        <v>0</v>
      </c>
      <c r="C60" s="267">
        <f>'Financial Spread- 1'!C60+'Financial Spread -2'!C60</f>
        <v>0</v>
      </c>
      <c r="D60" s="256" t="str">
        <f t="shared" si="1"/>
        <v/>
      </c>
      <c r="E60" s="257"/>
      <c r="K60" s="242"/>
    </row>
    <row r="61" spans="1:14">
      <c r="A61" s="316" t="s">
        <v>201</v>
      </c>
      <c r="B61" s="317">
        <f>'Financial Spread- 1'!B61+'Financial Spread -2'!B61</f>
        <v>0</v>
      </c>
      <c r="C61" s="317">
        <f>'Financial Spread- 1'!C61+'Financial Spread -2'!C61</f>
        <v>0</v>
      </c>
      <c r="D61" s="256" t="str">
        <f t="shared" si="1"/>
        <v/>
      </c>
      <c r="E61" s="257"/>
      <c r="K61" s="242"/>
    </row>
    <row r="62" spans="1:14">
      <c r="A62" s="273" t="s">
        <v>202</v>
      </c>
      <c r="B62" s="267">
        <f>'Financial Spread- 1'!B62+'Financial Spread -2'!B62</f>
        <v>0</v>
      </c>
      <c r="C62" s="267">
        <f>'Financial Spread- 1'!C62+'Financial Spread -2'!C62</f>
        <v>0</v>
      </c>
      <c r="D62" s="256" t="str">
        <f t="shared" si="1"/>
        <v/>
      </c>
      <c r="E62" s="257"/>
      <c r="K62" s="242"/>
    </row>
    <row r="63" spans="1:14">
      <c r="A63" s="273" t="s">
        <v>203</v>
      </c>
      <c r="B63" s="267">
        <f>'Financial Spread- 1'!B63+'Financial Spread -2'!B63</f>
        <v>0</v>
      </c>
      <c r="C63" s="267">
        <f>'Financial Spread- 1'!C63+'Financial Spread -2'!C63</f>
        <v>0</v>
      </c>
      <c r="D63" s="256"/>
      <c r="E63" s="257"/>
      <c r="K63" s="242"/>
    </row>
    <row r="64" spans="1:14">
      <c r="A64" s="273" t="s">
        <v>204</v>
      </c>
      <c r="B64" s="267">
        <f>'Financial Spread- 1'!B64+'Financial Spread -2'!B64</f>
        <v>0</v>
      </c>
      <c r="C64" s="267">
        <f>'Financial Spread- 1'!C64+'Financial Spread -2'!C64</f>
        <v>0</v>
      </c>
      <c r="D64" s="256" t="str">
        <f t="shared" si="1"/>
        <v/>
      </c>
      <c r="E64" s="257"/>
      <c r="K64" s="242"/>
    </row>
    <row r="65" spans="1:11">
      <c r="A65" s="273" t="s">
        <v>205</v>
      </c>
      <c r="B65" s="267">
        <f>'Financial Spread- 1'!B65+'Financial Spread -2'!B65</f>
        <v>0</v>
      </c>
      <c r="C65" s="267">
        <f>'Financial Spread- 1'!C65+'Financial Spread -2'!C65</f>
        <v>0</v>
      </c>
      <c r="D65" s="256" t="str">
        <f t="shared" si="1"/>
        <v/>
      </c>
      <c r="E65" s="257"/>
      <c r="G65" s="242"/>
      <c r="H65" s="242"/>
      <c r="I65" s="242"/>
      <c r="J65" s="242"/>
      <c r="K65" s="242"/>
    </row>
    <row r="66" spans="1:11">
      <c r="A66" s="273" t="s">
        <v>206</v>
      </c>
      <c r="B66" s="267">
        <f>'Financial Spread- 1'!B66+'Financial Spread -2'!B66</f>
        <v>0</v>
      </c>
      <c r="C66" s="267">
        <f>'Financial Spread- 1'!C66+'Financial Spread -2'!C66</f>
        <v>0</v>
      </c>
      <c r="D66" s="256" t="str">
        <f t="shared" si="1"/>
        <v/>
      </c>
      <c r="E66" s="257"/>
    </row>
    <row r="67" spans="1:11" ht="30">
      <c r="A67" s="337" t="s">
        <v>207</v>
      </c>
      <c r="B67" s="267">
        <f>'Financial Spread- 1'!B67+'Financial Spread -2'!B67</f>
        <v>0</v>
      </c>
      <c r="C67" s="267">
        <f>'Financial Spread- 1'!C67+'Financial Spread -2'!C67</f>
        <v>0</v>
      </c>
      <c r="D67" s="256" t="str">
        <f t="shared" si="1"/>
        <v/>
      </c>
      <c r="E67" s="257"/>
    </row>
    <row r="68" spans="1:11">
      <c r="A68" s="273" t="s">
        <v>208</v>
      </c>
      <c r="B68" s="267">
        <f>'Financial Spread- 1'!B68+'Financial Spread -2'!B68</f>
        <v>0</v>
      </c>
      <c r="C68" s="267">
        <f>'Financial Spread- 1'!C68+'Financial Spread -2'!C68</f>
        <v>0</v>
      </c>
      <c r="D68" s="256" t="str">
        <f t="shared" si="1"/>
        <v/>
      </c>
      <c r="E68" s="257"/>
    </row>
    <row r="69" spans="1:11" ht="15.75">
      <c r="A69" s="310" t="s">
        <v>194</v>
      </c>
      <c r="B69" s="311">
        <f>SUM(B56:B68)+B40</f>
        <v>0</v>
      </c>
      <c r="C69" s="311">
        <f>SUM(C56:C68)+C40</f>
        <v>0</v>
      </c>
      <c r="D69" s="256" t="str">
        <f t="shared" si="1"/>
        <v/>
      </c>
      <c r="E69" s="257"/>
    </row>
    <row r="70" spans="1:11">
      <c r="A70" s="338" t="s">
        <v>209</v>
      </c>
      <c r="B70" s="339">
        <f>B54-B69</f>
        <v>0</v>
      </c>
      <c r="C70" s="339">
        <f>C54-C69</f>
        <v>0</v>
      </c>
      <c r="D70" s="340"/>
      <c r="E70" s="341"/>
    </row>
    <row r="76" spans="1:11" ht="15.75">
      <c r="D76" s="342"/>
      <c r="E76" s="242"/>
    </row>
    <row r="77" spans="1:11">
      <c r="D77" s="343"/>
      <c r="E77" s="242"/>
    </row>
    <row r="78" spans="1:11">
      <c r="D78" s="344"/>
      <c r="E78" s="242"/>
    </row>
    <row r="79" spans="1:11">
      <c r="D79" s="345"/>
      <c r="E79" s="242"/>
    </row>
    <row r="80" spans="1:11">
      <c r="D80" s="344"/>
      <c r="E80" s="242"/>
    </row>
    <row r="81" spans="4:5">
      <c r="D81" s="344"/>
      <c r="E81" s="242"/>
    </row>
    <row r="82" spans="4:5">
      <c r="D82" s="344"/>
      <c r="E82" s="242"/>
    </row>
    <row r="83" spans="4:5">
      <c r="D83" s="344"/>
      <c r="E83" s="242"/>
    </row>
    <row r="84" spans="4:5">
      <c r="D84" s="346"/>
    </row>
    <row r="85" spans="4:5">
      <c r="D85" s="344"/>
    </row>
    <row r="86" spans="4:5">
      <c r="D86" s="344"/>
    </row>
    <row r="87" spans="4:5">
      <c r="D87" s="346"/>
    </row>
    <row r="88" spans="4:5">
      <c r="D88" s="346"/>
    </row>
    <row r="89" spans="4:5">
      <c r="D89" s="344"/>
    </row>
    <row r="90" spans="4:5">
      <c r="D90" s="346"/>
    </row>
    <row r="91" spans="4:5">
      <c r="D91" s="303"/>
    </row>
    <row r="92" spans="4:5">
      <c r="D92" s="347"/>
    </row>
    <row r="93" spans="4:5">
      <c r="D93" s="348"/>
    </row>
    <row r="94" spans="4:5">
      <c r="D94" s="348"/>
    </row>
    <row r="95" spans="4:5">
      <c r="D95" s="348"/>
    </row>
    <row r="96" spans="4:5">
      <c r="D96" s="347"/>
    </row>
    <row r="97" spans="4:4">
      <c r="D97" s="347"/>
    </row>
    <row r="98" spans="4:4">
      <c r="D98" s="347"/>
    </row>
    <row r="99" spans="4:4">
      <c r="D99" s="348"/>
    </row>
    <row r="100" spans="4:4">
      <c r="D100" s="348"/>
    </row>
    <row r="101" spans="4:4">
      <c r="D101" s="348"/>
    </row>
    <row r="102" spans="4:4">
      <c r="D102" s="348"/>
    </row>
  </sheetData>
  <sheetProtection algorithmName="SHA-512" hashValue="0vzRxRxsWY/y2lKkVxiPf4GelkAJENS2MrPpX4zsPxuTY1yx8UnTxhGixM5aGTezZzx5W8zuUotM2g9skuVSsg==" saltValue="Ly4EFvVCYbw+YD7qL3kGDA==" spinCount="100000" sheet="1" objects="1" scenarios="1"/>
  <protectedRanges>
    <protectedRange sqref="B34:E34 B3:E4 D5:E5 D2" name="Range5_1_6" securityDescriptor=""/>
    <protectedRange sqref="B33:C33 B8:E8" name="Range1_1_6" securityDescriptor=""/>
    <protectedRange sqref="B59:C59 E59" name="Range2_1_3" securityDescriptor=""/>
    <protectedRange sqref="E16:E17" name="Range1_1_2_2" securityDescriptor=""/>
    <protectedRange sqref="E21:E22" name="Range1_1_3_2" securityDescriptor=""/>
    <protectedRange sqref="G2:I2" name="Range5_1_3_3" securityDescriptor=""/>
    <protectedRange sqref="H6:I7 D77:D78" name="Range5_1_3_1_2" securityDescriptor=""/>
    <protectedRange sqref="E11" name="Range1_1_1_1_2" securityDescriptor=""/>
    <protectedRange sqref="B35:C35" name="Range1_1_4_2" securityDescriptor=""/>
    <protectedRange sqref="E37:E38 E40" name="Range1_1_6_1_2" securityDescriptor=""/>
    <protectedRange sqref="E50" name="Range1_1_7_1_3" securityDescriptor=""/>
    <protectedRange sqref="E53" name="Range1_3_1_2" securityDescriptor=""/>
    <protectedRange sqref="E62:E64" name="Range2_1_4_1_3" securityDescriptor=""/>
    <protectedRange sqref="B40:C42" name="Range2_1_3_1_1_2" securityDescriptor=""/>
    <protectedRange sqref="B62:C68" name="Range2_1_4_1_1_2" securityDescriptor=""/>
    <protectedRange sqref="B2:C2" name="Range5_1" securityDescriptor=""/>
  </protectedRanges>
  <mergeCells count="9">
    <mergeCell ref="J2:K2"/>
    <mergeCell ref="A5:C5"/>
    <mergeCell ref="G5:I5"/>
    <mergeCell ref="B8:C8"/>
    <mergeCell ref="G20:I20"/>
    <mergeCell ref="A33:C33"/>
    <mergeCell ref="G36:H36"/>
    <mergeCell ref="B59:C59"/>
    <mergeCell ref="A1:C1"/>
  </mergeCells>
  <conditionalFormatting sqref="H28">
    <cfRule type="cellIs" dxfId="274" priority="5" operator="lessThan">
      <formula>4</formula>
    </cfRule>
    <cfRule type="cellIs" dxfId="273" priority="6" operator="greaterThanOrEqual">
      <formula>4</formula>
    </cfRule>
  </conditionalFormatting>
  <conditionalFormatting sqref="I28">
    <cfRule type="cellIs" dxfId="272" priority="1" operator="lessThan">
      <formula>4</formula>
    </cfRule>
    <cfRule type="cellIs" dxfId="271" priority="2" operator="greaterThanOrEqual">
      <formula>4</formula>
    </cfRule>
  </conditionalFormatting>
  <conditionalFormatting sqref="H25:I27">
    <cfRule type="cellIs" dxfId="270" priority="7" operator="lessThan">
      <formula>90</formula>
    </cfRule>
    <cfRule type="cellIs" dxfId="269" priority="8" operator="greaterThanOrEqual">
      <formula>90</formula>
    </cfRule>
  </conditionalFormatting>
  <dataValidations count="2">
    <dataValidation type="list" allowBlank="1" showInputMessage="1" showErrorMessage="1" sqref="B3" xr:uid="{00000000-0002-0000-0400-000000000000}">
      <formula1>"Audited,UnAudited, 44ADA, 44AD"</formula1>
    </dataValidation>
    <dataValidation type="list" allowBlank="1" showInputMessage="1" showErrorMessage="1" sqref="C3" xr:uid="{00000000-0002-0000-0400-000001000000}">
      <formula1>"Audited,UnAudited,44ADA,44AD"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FD54"/>
  <sheetViews>
    <sheetView topLeftCell="A9" workbookViewId="0">
      <selection activeCell="H21" sqref="H21"/>
    </sheetView>
  </sheetViews>
  <sheetFormatPr defaultColWidth="9" defaultRowHeight="15"/>
  <cols>
    <col min="1" max="1" width="34.7109375" style="92" customWidth="1"/>
    <col min="2" max="2" width="15.42578125" style="92" customWidth="1"/>
    <col min="3" max="3" width="15.5703125" style="92" customWidth="1"/>
    <col min="4" max="4" width="12.7109375" style="92" customWidth="1"/>
    <col min="5" max="5" width="16.5703125" style="92" customWidth="1"/>
    <col min="6" max="6" width="20" style="92" customWidth="1"/>
    <col min="7" max="7" width="8.28515625" style="93" customWidth="1"/>
    <col min="8" max="8" width="28.28515625" style="92" customWidth="1"/>
    <col min="9" max="10" width="16.42578125" style="92" customWidth="1"/>
    <col min="11" max="11" width="6" style="93" customWidth="1"/>
    <col min="12" max="12" width="48.42578125" style="92" customWidth="1"/>
    <col min="13" max="13" width="28.42578125" style="92" customWidth="1"/>
    <col min="14" max="14" width="28.140625" style="92" customWidth="1"/>
    <col min="15" max="15" width="13.85546875" style="92" customWidth="1"/>
    <col min="16" max="16" width="5.140625" style="93" customWidth="1"/>
    <col min="17" max="17" width="42" style="92" customWidth="1"/>
    <col min="18" max="18" width="10.140625" style="92" customWidth="1"/>
    <col min="19" max="16384" width="9" style="92"/>
  </cols>
  <sheetData>
    <row r="1" spans="1:27">
      <c r="A1" s="168" t="s">
        <v>216</v>
      </c>
      <c r="B1" s="570">
        <f>'Policy Parameters'!B1</f>
        <v>0</v>
      </c>
      <c r="C1" s="570"/>
      <c r="D1" s="570"/>
      <c r="E1" s="570"/>
      <c r="F1" s="93"/>
      <c r="H1" s="93"/>
      <c r="I1" s="93"/>
      <c r="J1" s="93"/>
      <c r="L1" s="93"/>
      <c r="M1" s="93"/>
      <c r="N1" s="93"/>
      <c r="O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1:27">
      <c r="A2" s="169" t="s">
        <v>217</v>
      </c>
      <c r="B2" s="170" t="s">
        <v>218</v>
      </c>
      <c r="C2" s="170" t="s">
        <v>219</v>
      </c>
      <c r="D2" s="571" t="s">
        <v>220</v>
      </c>
      <c r="E2" s="571"/>
      <c r="F2" s="93"/>
      <c r="H2" s="93"/>
      <c r="I2" s="93"/>
      <c r="J2" s="93"/>
      <c r="L2" s="93"/>
      <c r="M2" s="93"/>
      <c r="N2" s="93"/>
      <c r="O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spans="1:27">
      <c r="A3" s="171">
        <v>0</v>
      </c>
      <c r="B3" s="172">
        <v>0.18</v>
      </c>
      <c r="C3" s="173">
        <v>36</v>
      </c>
      <c r="D3" s="572">
        <f>PMT(B3/12,C3,-A3)</f>
        <v>0</v>
      </c>
      <c r="E3" s="572"/>
      <c r="F3" s="93"/>
      <c r="H3" s="93"/>
      <c r="I3" s="93"/>
      <c r="J3" s="93"/>
      <c r="L3" s="93"/>
      <c r="M3" s="93"/>
      <c r="N3" s="93"/>
      <c r="O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spans="1:27">
      <c r="A4" s="174"/>
      <c r="B4" s="175"/>
      <c r="C4" s="173"/>
      <c r="D4" s="573" t="s">
        <v>221</v>
      </c>
      <c r="E4" s="573"/>
      <c r="F4" s="93"/>
      <c r="H4" s="93"/>
      <c r="I4" s="93"/>
      <c r="J4" s="93"/>
      <c r="L4" s="93"/>
      <c r="M4" s="93"/>
      <c r="N4" s="93"/>
      <c r="O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spans="1:27">
      <c r="A5" s="94" t="s">
        <v>222</v>
      </c>
      <c r="B5" s="176" t="str">
        <f>+F26</f>
        <v/>
      </c>
      <c r="C5" s="95" t="str">
        <f>IF(B5&gt;1,"Eligible","Not Eligible")</f>
        <v>Eligible</v>
      </c>
      <c r="D5" s="560">
        <f>F28</f>
        <v>0</v>
      </c>
      <c r="E5" s="560"/>
      <c r="F5" s="93"/>
      <c r="H5" s="93"/>
      <c r="I5" s="93"/>
      <c r="J5" s="93"/>
      <c r="L5" s="93"/>
      <c r="M5" s="93"/>
      <c r="N5" s="93"/>
      <c r="O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7">
      <c r="A6" s="94" t="s">
        <v>223</v>
      </c>
      <c r="B6" s="177">
        <f>+I19</f>
        <v>0</v>
      </c>
      <c r="C6" s="178" t="str">
        <f>IF(SUM(A3/100000)&lt;B6,"Eligible","Not Eligible")</f>
        <v>Not Eligible</v>
      </c>
      <c r="D6" s="560">
        <f>I20</f>
        <v>0</v>
      </c>
      <c r="E6" s="560"/>
      <c r="F6" s="93"/>
      <c r="H6" s="93"/>
      <c r="I6" s="93"/>
      <c r="J6" s="93"/>
      <c r="L6" s="93"/>
      <c r="M6" s="93"/>
      <c r="N6" s="93"/>
      <c r="O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spans="1:27">
      <c r="A7" s="94" t="s">
        <v>224</v>
      </c>
      <c r="B7" s="176" t="str">
        <f>M21</f>
        <v/>
      </c>
      <c r="C7" s="95" t="str">
        <f>IF(B7&gt;1,"Eligible","Not Eligible")</f>
        <v>Eligible</v>
      </c>
      <c r="D7" s="560">
        <f>M23</f>
        <v>0</v>
      </c>
      <c r="E7" s="560"/>
      <c r="F7" s="93"/>
      <c r="H7" s="93"/>
      <c r="I7" s="93"/>
      <c r="J7" s="93"/>
      <c r="L7" s="93"/>
      <c r="M7" s="93"/>
      <c r="N7" s="93"/>
      <c r="O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spans="1:27">
      <c r="A8" s="93"/>
      <c r="B8" s="93"/>
      <c r="C8" s="93"/>
      <c r="D8" s="93"/>
      <c r="E8" s="93"/>
      <c r="F8" s="93"/>
      <c r="H8" s="93"/>
      <c r="I8" s="93"/>
      <c r="J8" s="93"/>
      <c r="L8" s="93"/>
      <c r="M8" s="93"/>
      <c r="N8" s="93"/>
      <c r="O8" s="93"/>
      <c r="Q8" s="93"/>
      <c r="R8" s="93"/>
      <c r="S8" s="93"/>
      <c r="T8" s="93"/>
      <c r="U8" s="93"/>
      <c r="V8" s="93"/>
      <c r="W8" s="93"/>
      <c r="X8" s="93"/>
    </row>
    <row r="9" spans="1:27">
      <c r="A9" s="561" t="s">
        <v>225</v>
      </c>
      <c r="B9" s="562"/>
      <c r="C9" s="562"/>
      <c r="D9" s="562"/>
      <c r="E9" s="562"/>
      <c r="F9" s="563"/>
      <c r="H9" s="564" t="s">
        <v>226</v>
      </c>
      <c r="I9" s="565"/>
      <c r="J9" s="566"/>
      <c r="L9" s="567" t="s">
        <v>227</v>
      </c>
      <c r="M9" s="568"/>
      <c r="N9" s="568"/>
      <c r="O9" s="569"/>
      <c r="Q9" s="556" t="s">
        <v>228</v>
      </c>
      <c r="R9" s="557"/>
    </row>
    <row r="10" spans="1:27" ht="45">
      <c r="A10" s="179">
        <f>B1</f>
        <v>0</v>
      </c>
      <c r="B10" s="180">
        <f>'Financial Spread- 1'!B2</f>
        <v>43555</v>
      </c>
      <c r="C10" s="180">
        <f>'Financial Spread- 1'!C2</f>
        <v>43921</v>
      </c>
      <c r="D10" s="181" t="s">
        <v>229</v>
      </c>
      <c r="E10" s="182" t="s">
        <v>230</v>
      </c>
      <c r="F10" s="182" t="s">
        <v>231</v>
      </c>
      <c r="G10" s="183"/>
      <c r="H10" s="184" t="s">
        <v>232</v>
      </c>
      <c r="I10" s="218" t="s">
        <v>233</v>
      </c>
      <c r="J10" s="184" t="s">
        <v>234</v>
      </c>
      <c r="L10" s="219" t="s">
        <v>235</v>
      </c>
      <c r="M10" s="220">
        <f>+'GST '!L15</f>
        <v>0</v>
      </c>
      <c r="N10" s="219" t="s">
        <v>236</v>
      </c>
      <c r="O10" s="220">
        <f>+'Consolidated Financial Spread'!C25-'Consolidated Financial Spread'!C9</f>
        <v>0</v>
      </c>
      <c r="Q10" s="235" t="s">
        <v>237</v>
      </c>
      <c r="R10" s="236"/>
    </row>
    <row r="11" spans="1:27" ht="30">
      <c r="A11" s="185" t="s">
        <v>238</v>
      </c>
      <c r="B11" s="186">
        <f>+'Consolidated Financial Spread'!B25-'Consolidated Financial Spread'!B9</f>
        <v>0</v>
      </c>
      <c r="C11" s="186">
        <f>+'Consolidated Financial Spread'!C25-'Consolidated Financial Spread'!C9</f>
        <v>0</v>
      </c>
      <c r="D11" s="187">
        <f>IFERROR(IF(('GST '!$Q$3&lt;-0.1),(1+'GST '!$Q$3),1),"")</f>
        <v>1</v>
      </c>
      <c r="E11" s="188">
        <f t="shared" ref="E11:E15" si="0">IFERROR(+C11*D11,"")</f>
        <v>0</v>
      </c>
      <c r="F11" s="188">
        <f t="shared" ref="F11:F15" si="1">E11</f>
        <v>0</v>
      </c>
      <c r="G11" s="183"/>
      <c r="H11" s="189" t="s">
        <v>239</v>
      </c>
      <c r="I11" s="221">
        <f>IF('Banking Analysis'!G1="Absolute",'Banking Analysis'!I20,IF('Banking Analysis'!G1="Lacs",'Banking Analysis'!I20*10^5,""))</f>
        <v>0</v>
      </c>
      <c r="J11" s="221">
        <f>IF('Banking Analysis'!G1="absolute",'Banking Analysis'!K20,IF('Banking Analysis'!G1="Lacs",'Banking Analysis'!K20*10^5,""))</f>
        <v>0</v>
      </c>
      <c r="L11" s="219" t="s">
        <v>240</v>
      </c>
      <c r="M11" s="222" t="str">
        <f>IFERROR(O12,"")</f>
        <v/>
      </c>
      <c r="N11" s="219" t="s">
        <v>241</v>
      </c>
      <c r="O11" s="220">
        <f>'Consolidated Financial Spread'!C6</f>
        <v>0</v>
      </c>
      <c r="Q11" s="235" t="s">
        <v>242</v>
      </c>
      <c r="R11" s="236"/>
    </row>
    <row r="12" spans="1:27" ht="14.25" customHeight="1">
      <c r="A12" s="185" t="s">
        <v>145</v>
      </c>
      <c r="B12" s="186">
        <f>+'Consolidated Financial Spread'!B24</f>
        <v>0</v>
      </c>
      <c r="C12" s="186">
        <f>+'Consolidated Financial Spread'!C24</f>
        <v>0</v>
      </c>
      <c r="D12" s="187">
        <v>1</v>
      </c>
      <c r="E12" s="188">
        <f t="shared" si="0"/>
        <v>0</v>
      </c>
      <c r="F12" s="188">
        <f t="shared" si="1"/>
        <v>0</v>
      </c>
      <c r="H12" s="190" t="s">
        <v>243</v>
      </c>
      <c r="I12" s="549">
        <f>MIN(I11:J11)</f>
        <v>0</v>
      </c>
      <c r="J12" s="549"/>
      <c r="L12" s="219" t="s">
        <v>244</v>
      </c>
      <c r="M12" s="220" t="str">
        <f>IFERROR(M10*M11,"")</f>
        <v/>
      </c>
      <c r="N12" s="223" t="s">
        <v>245</v>
      </c>
      <c r="O12" s="224" t="str">
        <f>IFERROR(O10/O11,"")</f>
        <v/>
      </c>
      <c r="Q12" s="235" t="s">
        <v>246</v>
      </c>
      <c r="R12" s="236"/>
    </row>
    <row r="13" spans="1:27">
      <c r="A13" s="185" t="s">
        <v>247</v>
      </c>
      <c r="B13" s="186">
        <f>+'Consolidated Financial Spread'!B20</f>
        <v>0</v>
      </c>
      <c r="C13" s="186">
        <f>+'Consolidated Financial Spread'!C20</f>
        <v>0</v>
      </c>
      <c r="D13" s="187">
        <v>1</v>
      </c>
      <c r="E13" s="188">
        <f t="shared" si="0"/>
        <v>0</v>
      </c>
      <c r="F13" s="188">
        <f t="shared" si="1"/>
        <v>0</v>
      </c>
      <c r="H13" s="189" t="s">
        <v>248</v>
      </c>
      <c r="I13" s="558">
        <v>0.2</v>
      </c>
      <c r="J13" s="558"/>
      <c r="L13" s="219" t="s">
        <v>249</v>
      </c>
      <c r="M13" s="220">
        <f>+'Consolidated Financial Spread'!C24+'Consolidated Financial Spread'!C31</f>
        <v>0</v>
      </c>
      <c r="N13" s="223"/>
      <c r="O13" s="223"/>
      <c r="Q13" s="235" t="s">
        <v>250</v>
      </c>
      <c r="R13" s="236"/>
    </row>
    <row r="14" spans="1:27" ht="30">
      <c r="A14" s="185" t="s">
        <v>251</v>
      </c>
      <c r="B14" s="186">
        <f>'Consolidated Financial Spread'!B31</f>
        <v>0</v>
      </c>
      <c r="C14" s="186">
        <f>'Consolidated Financial Spread'!C31</f>
        <v>0</v>
      </c>
      <c r="D14" s="187">
        <f>IFERROR(IF(('GST '!$Q$3&lt;-0.1),(1+'GST '!$Q$3),1),"")</f>
        <v>1</v>
      </c>
      <c r="E14" s="188">
        <f t="shared" si="0"/>
        <v>0</v>
      </c>
      <c r="F14" s="188">
        <f t="shared" si="1"/>
        <v>0</v>
      </c>
      <c r="H14" s="191" t="s">
        <v>252</v>
      </c>
      <c r="I14" s="549">
        <f>+I12*I13</f>
        <v>0</v>
      </c>
      <c r="J14" s="549"/>
      <c r="L14" s="219" t="s">
        <v>253</v>
      </c>
      <c r="M14" s="220">
        <f>+'Consolidated Financial Spread'!C20</f>
        <v>0</v>
      </c>
      <c r="N14" s="219" t="s">
        <v>254</v>
      </c>
      <c r="O14" s="220">
        <f>+'Consolidated Financial Spread'!C26</f>
        <v>0</v>
      </c>
      <c r="Q14" s="235" t="s">
        <v>255</v>
      </c>
      <c r="R14" s="237">
        <f>(R13*R12)/100000</f>
        <v>0</v>
      </c>
    </row>
    <row r="15" spans="1:27" ht="30" customHeight="1">
      <c r="A15" s="185" t="s">
        <v>256</v>
      </c>
      <c r="B15" s="186" t="str">
        <f>IFERROR(-('Consolidated Financial Spread'!B26-('Consolidated Financial Spread'!B26/'Consolidated Financial Spread'!B25*'Consolidated Financial Spread'!B9)),"")</f>
        <v/>
      </c>
      <c r="C15" s="186" t="str">
        <f>IFERROR(-('Consolidated Financial Spread'!C26-('Consolidated Financial Spread'!C26/'Consolidated Financial Spread'!C25*'Consolidated Financial Spread'!C9)),"")</f>
        <v/>
      </c>
      <c r="D15" s="187">
        <f>IFERROR(IF(('GST '!$Q$3&lt;-0.1),(1+'GST '!$Q$3),1),"")</f>
        <v>1</v>
      </c>
      <c r="E15" s="188" t="str">
        <f t="shared" si="0"/>
        <v/>
      </c>
      <c r="F15" s="188" t="str">
        <f t="shared" si="1"/>
        <v/>
      </c>
      <c r="H15" s="192" t="s">
        <v>257</v>
      </c>
      <c r="I15" s="559"/>
      <c r="J15" s="559"/>
      <c r="L15" s="225" t="s">
        <v>258</v>
      </c>
      <c r="M15" s="226" t="str">
        <f>IFERROR(M12+M13+M14,"")</f>
        <v/>
      </c>
      <c r="N15" s="223" t="s">
        <v>259</v>
      </c>
      <c r="O15" s="227" t="str">
        <f>IFERROR(O14/O10,"")</f>
        <v/>
      </c>
      <c r="Q15" s="238" t="s">
        <v>260</v>
      </c>
      <c r="R15" s="239">
        <f>MIN(R14,10)</f>
        <v>0</v>
      </c>
    </row>
    <row r="16" spans="1:27">
      <c r="A16" s="193" t="s">
        <v>261</v>
      </c>
      <c r="B16" s="194">
        <f t="shared" ref="B16:F16" si="2">SUM(B11:B15)</f>
        <v>0</v>
      </c>
      <c r="C16" s="194">
        <f t="shared" si="2"/>
        <v>0</v>
      </c>
      <c r="D16" s="187"/>
      <c r="E16" s="194">
        <f t="shared" si="2"/>
        <v>0</v>
      </c>
      <c r="F16" s="195">
        <f t="shared" si="2"/>
        <v>0</v>
      </c>
      <c r="H16" s="192" t="s">
        <v>262</v>
      </c>
      <c r="I16" s="549">
        <f>+I14-I15</f>
        <v>0</v>
      </c>
      <c r="J16" s="549"/>
      <c r="L16" s="219" t="s">
        <v>263</v>
      </c>
      <c r="M16" s="228" t="str">
        <f>IFERROR(M12*O15,"")</f>
        <v/>
      </c>
      <c r="N16" s="167"/>
      <c r="O16" s="167"/>
      <c r="Q16" s="550" t="s">
        <v>264</v>
      </c>
      <c r="R16" s="551"/>
    </row>
    <row r="17" spans="1:24 16384:16384">
      <c r="A17" s="552"/>
      <c r="B17" s="553"/>
      <c r="C17" s="553"/>
      <c r="D17" s="553"/>
      <c r="E17" s="554"/>
      <c r="F17" s="196"/>
      <c r="H17" s="191" t="s">
        <v>265</v>
      </c>
      <c r="I17" s="549">
        <f>C3</f>
        <v>36</v>
      </c>
      <c r="J17" s="549"/>
      <c r="L17" s="223" t="s">
        <v>266</v>
      </c>
      <c r="M17" s="229" t="str">
        <f>IFERROR(M15-M16,"")</f>
        <v/>
      </c>
      <c r="N17" s="209"/>
      <c r="O17" s="209"/>
      <c r="Q17" s="93"/>
      <c r="R17" s="93"/>
      <c r="S17" s="93"/>
      <c r="T17" s="93"/>
      <c r="U17" s="93"/>
      <c r="V17" s="93"/>
      <c r="W17" s="93"/>
      <c r="X17" s="93"/>
      <c r="XFD17" s="113" t="s">
        <v>26</v>
      </c>
    </row>
    <row r="18" spans="1:24 16384:16384" ht="15" customHeight="1">
      <c r="A18" s="545" t="s">
        <v>267</v>
      </c>
      <c r="B18" s="545"/>
      <c r="C18" s="545"/>
      <c r="D18" s="545"/>
      <c r="E18" s="546"/>
      <c r="F18" s="197" t="str">
        <f>IFERROR((+(C11+C15)-(B11+B15))/(B11+B15),"")</f>
        <v/>
      </c>
      <c r="G18" s="198"/>
      <c r="H18" s="191" t="s">
        <v>268</v>
      </c>
      <c r="I18" s="555">
        <f>+B3</f>
        <v>0.18</v>
      </c>
      <c r="J18" s="555"/>
      <c r="L18" s="225" t="s">
        <v>269</v>
      </c>
      <c r="M18" s="230">
        <f>Loandetailspreexisting!O102*12</f>
        <v>0</v>
      </c>
      <c r="N18" s="209"/>
      <c r="O18" s="209"/>
      <c r="Q18" s="93"/>
      <c r="R18" s="93"/>
      <c r="S18" s="93"/>
      <c r="T18" s="93"/>
      <c r="U18" s="93"/>
      <c r="V18" s="93"/>
      <c r="W18" s="93"/>
      <c r="X18" s="93"/>
      <c r="XFD18" s="113" t="s">
        <v>270</v>
      </c>
    </row>
    <row r="19" spans="1:24 16384:16384">
      <c r="A19" s="536" t="s">
        <v>271</v>
      </c>
      <c r="B19" s="542"/>
      <c r="C19" s="542"/>
      <c r="D19" s="542"/>
      <c r="E19" s="543"/>
      <c r="F19" s="79" t="s">
        <v>272</v>
      </c>
      <c r="G19" s="93" t="str">
        <f>IF(F19="No - Justified Growth","Be sure","")</f>
        <v/>
      </c>
      <c r="H19" s="191" t="s">
        <v>273</v>
      </c>
      <c r="I19" s="544">
        <f>+I16/PMT($B$3/12,$C$3,-100000)</f>
        <v>0</v>
      </c>
      <c r="J19" s="544"/>
      <c r="L19" s="223" t="s">
        <v>274</v>
      </c>
      <c r="M19" s="230">
        <f>D3*12</f>
        <v>0</v>
      </c>
      <c r="N19" s="209"/>
      <c r="O19" s="209"/>
      <c r="Q19" s="93"/>
      <c r="R19" s="93"/>
      <c r="S19" s="93"/>
      <c r="T19" s="93"/>
      <c r="U19" s="93"/>
      <c r="V19" s="93"/>
      <c r="W19" s="93"/>
      <c r="X19" s="93"/>
      <c r="XFD19" s="92" t="s">
        <v>272</v>
      </c>
    </row>
    <row r="20" spans="1:24 16384:16384" ht="29.25" customHeight="1">
      <c r="A20" s="545" t="s">
        <v>275</v>
      </c>
      <c r="B20" s="545"/>
      <c r="C20" s="545"/>
      <c r="D20" s="545"/>
      <c r="E20" s="546"/>
      <c r="F20" s="199">
        <f>IF(F19="Yes",AVERAGE('Consolidated Financial Spread'!B27:C27)+AVERAGE(B14:C14)+C12+C13,E16)</f>
        <v>0</v>
      </c>
      <c r="G20" s="200"/>
      <c r="H20" s="201" t="s">
        <v>276</v>
      </c>
      <c r="I20" s="547">
        <f>MINA(I19,30)</f>
        <v>0</v>
      </c>
      <c r="J20" s="548"/>
      <c r="L20" s="223" t="s">
        <v>277</v>
      </c>
      <c r="M20" s="229">
        <f>SUM(M18:M19)</f>
        <v>0</v>
      </c>
      <c r="N20" s="209"/>
      <c r="O20" s="209"/>
      <c r="Q20" s="93"/>
      <c r="R20" s="93"/>
      <c r="S20" s="93"/>
      <c r="T20" s="93"/>
      <c r="U20" s="93"/>
      <c r="V20" s="93"/>
      <c r="W20" s="93"/>
      <c r="X20" s="93"/>
    </row>
    <row r="21" spans="1:24 16384:16384">
      <c r="A21" s="539" t="s">
        <v>278</v>
      </c>
      <c r="B21" s="540"/>
      <c r="C21" s="540"/>
      <c r="D21" s="540"/>
      <c r="E21" s="541"/>
      <c r="F21" s="202">
        <f>IFERROR(F20/12,"")</f>
        <v>0</v>
      </c>
      <c r="H21" s="203"/>
      <c r="L21" s="223" t="s">
        <v>279</v>
      </c>
      <c r="M21" s="231" t="str">
        <f>IFERROR(M17/M20,"")</f>
        <v/>
      </c>
      <c r="N21" s="209"/>
      <c r="O21" s="209"/>
      <c r="Q21" s="93"/>
      <c r="R21" s="93"/>
      <c r="S21" s="93"/>
      <c r="T21" s="93"/>
      <c r="U21" s="93"/>
      <c r="V21" s="93"/>
      <c r="W21" s="93"/>
      <c r="X21" s="93"/>
    </row>
    <row r="22" spans="1:24 16384:16384">
      <c r="A22" s="539" t="s">
        <v>280</v>
      </c>
      <c r="B22" s="540"/>
      <c r="C22" s="540"/>
      <c r="D22" s="540"/>
      <c r="E22" s="541"/>
      <c r="F22" s="204">
        <f>Loandetailspreexisting!O102</f>
        <v>0</v>
      </c>
      <c r="H22" s="203"/>
      <c r="I22" s="203"/>
      <c r="L22" s="219" t="s">
        <v>281</v>
      </c>
      <c r="M22" s="232" t="str">
        <f>IFERROR(((M17-M18)/12)/PMT(B3/12,C3,-100000),"")</f>
        <v/>
      </c>
      <c r="N22" s="93"/>
      <c r="O22" s="93"/>
      <c r="Q22" s="93"/>
      <c r="R22" s="93"/>
      <c r="S22" s="93"/>
      <c r="T22" s="93"/>
      <c r="U22" s="93"/>
      <c r="V22" s="93"/>
      <c r="W22" s="93"/>
      <c r="X22" s="93"/>
    </row>
    <row r="23" spans="1:24 16384:16384">
      <c r="A23" s="539" t="s">
        <v>282</v>
      </c>
      <c r="B23" s="540"/>
      <c r="C23" s="540"/>
      <c r="D23" s="540"/>
      <c r="E23" s="541"/>
      <c r="F23" s="205"/>
      <c r="L23" s="233" t="s">
        <v>283</v>
      </c>
      <c r="M23" s="232">
        <f>+MINA(M22,20)</f>
        <v>0</v>
      </c>
      <c r="N23" s="93"/>
      <c r="O23" s="93"/>
      <c r="Q23" s="93"/>
      <c r="R23" s="93"/>
      <c r="S23" s="93"/>
      <c r="T23" s="93"/>
      <c r="U23" s="93"/>
      <c r="V23" s="93"/>
      <c r="W23" s="93"/>
      <c r="X23" s="93"/>
    </row>
    <row r="24" spans="1:24 16384:16384">
      <c r="A24" s="539" t="s">
        <v>284</v>
      </c>
      <c r="B24" s="540"/>
      <c r="C24" s="540"/>
      <c r="D24" s="540"/>
      <c r="E24" s="541"/>
      <c r="F24" s="188">
        <f>+F21-F22</f>
        <v>0</v>
      </c>
      <c r="N24" s="93"/>
      <c r="O24" s="93"/>
      <c r="Q24" s="93"/>
      <c r="R24" s="93"/>
      <c r="S24" s="93"/>
      <c r="T24" s="93"/>
      <c r="U24" s="93"/>
      <c r="V24" s="93"/>
      <c r="W24" s="93"/>
      <c r="X24" s="93"/>
    </row>
    <row r="25" spans="1:24 16384:16384">
      <c r="A25" s="539" t="s">
        <v>285</v>
      </c>
      <c r="B25" s="540"/>
      <c r="C25" s="540"/>
      <c r="D25" s="540"/>
      <c r="E25" s="541"/>
      <c r="F25" s="206" t="str">
        <f>IFERROR(+F21/F22,"")</f>
        <v/>
      </c>
      <c r="N25" s="93"/>
      <c r="O25" s="93"/>
      <c r="Q25" s="93"/>
      <c r="R25" s="93"/>
      <c r="S25" s="93"/>
      <c r="T25" s="93"/>
      <c r="U25" s="93"/>
      <c r="V25" s="93"/>
      <c r="W25" s="93"/>
      <c r="X25" s="93"/>
    </row>
    <row r="26" spans="1:24 16384:16384">
      <c r="A26" s="539" t="s">
        <v>286</v>
      </c>
      <c r="B26" s="540"/>
      <c r="C26" s="540"/>
      <c r="D26" s="540"/>
      <c r="E26" s="541"/>
      <c r="F26" s="207" t="str">
        <f>IFERROR(F21/(F22+D3),"")</f>
        <v/>
      </c>
      <c r="N26" s="93"/>
      <c r="O26" s="93"/>
      <c r="Q26" s="93"/>
      <c r="R26" s="93"/>
      <c r="S26" s="93"/>
      <c r="T26" s="93"/>
      <c r="U26" s="93"/>
      <c r="V26" s="93"/>
      <c r="W26" s="93"/>
      <c r="X26" s="93"/>
    </row>
    <row r="27" spans="1:24 16384:16384">
      <c r="A27" s="536" t="s">
        <v>287</v>
      </c>
      <c r="B27" s="537"/>
      <c r="C27" s="537"/>
      <c r="D27" s="537"/>
      <c r="E27" s="538"/>
      <c r="F27" s="208">
        <f>IFERROR(F24/PMT(B3/12,C3,-100000),"")</f>
        <v>0</v>
      </c>
      <c r="H27" s="209"/>
      <c r="I27" s="209"/>
      <c r="J27" s="209"/>
      <c r="N27" s="93"/>
      <c r="O27" s="93"/>
      <c r="Q27" s="93"/>
      <c r="R27" s="93"/>
      <c r="S27" s="93"/>
      <c r="T27" s="93"/>
      <c r="U27" s="93"/>
      <c r="V27" s="93"/>
      <c r="W27" s="93"/>
      <c r="X27" s="93"/>
    </row>
    <row r="28" spans="1:24 16384:16384">
      <c r="A28" s="536" t="s">
        <v>288</v>
      </c>
      <c r="B28" s="537"/>
      <c r="C28" s="537"/>
      <c r="D28" s="537"/>
      <c r="E28" s="538"/>
      <c r="F28" s="208">
        <f>+MINA(F27,30)</f>
        <v>0</v>
      </c>
      <c r="H28" s="93"/>
      <c r="I28" s="93"/>
      <c r="J28" s="93"/>
      <c r="L28" s="93"/>
      <c r="M28" s="93"/>
      <c r="N28" s="93"/>
      <c r="O28" s="93"/>
      <c r="Q28" s="93"/>
      <c r="R28" s="93"/>
      <c r="S28" s="93"/>
      <c r="T28" s="93"/>
      <c r="U28" s="93"/>
      <c r="V28" s="93"/>
      <c r="W28" s="93"/>
      <c r="X28" s="93"/>
    </row>
    <row r="29" spans="1:24 16384:16384" s="167" customFormat="1">
      <c r="A29" s="209"/>
      <c r="B29" s="209"/>
      <c r="C29" s="209"/>
      <c r="D29" s="209"/>
      <c r="E29" s="209"/>
      <c r="F29" s="209"/>
      <c r="G29" s="209"/>
      <c r="H29" s="210"/>
      <c r="I29" s="93"/>
      <c r="J29" s="93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</row>
    <row r="30" spans="1:24 16384:16384">
      <c r="A30" s="93"/>
      <c r="B30" s="93"/>
      <c r="C30" s="93"/>
      <c r="D30" s="93"/>
      <c r="E30" s="93"/>
      <c r="F30" s="93"/>
      <c r="H30" s="93"/>
      <c r="I30" s="93"/>
      <c r="J30" s="93"/>
      <c r="L30" s="93"/>
      <c r="M30" s="93"/>
      <c r="N30" s="93"/>
      <c r="O30" s="93"/>
      <c r="Q30" s="93"/>
      <c r="R30" s="93"/>
      <c r="S30" s="93"/>
      <c r="T30" s="93"/>
      <c r="U30" s="93"/>
      <c r="V30" s="93"/>
      <c r="W30" s="93"/>
      <c r="X30" s="93"/>
    </row>
    <row r="31" spans="1:24 16384:16384">
      <c r="A31" s="93"/>
      <c r="B31" s="93"/>
      <c r="C31" s="93"/>
      <c r="D31" s="93"/>
      <c r="E31" s="93"/>
      <c r="F31" s="93"/>
      <c r="H31" s="203"/>
      <c r="I31" s="93"/>
      <c r="J31" s="93"/>
      <c r="L31" s="93"/>
      <c r="M31" s="93"/>
      <c r="N31" s="93"/>
      <c r="O31" s="93"/>
      <c r="Q31" s="93"/>
      <c r="R31" s="93"/>
      <c r="S31" s="93"/>
      <c r="T31" s="93"/>
      <c r="U31" s="93"/>
      <c r="V31" s="93"/>
      <c r="W31" s="93"/>
      <c r="X31" s="93"/>
    </row>
    <row r="32" spans="1:24 16384:16384">
      <c r="A32" s="93"/>
      <c r="B32" s="93"/>
      <c r="C32" s="93"/>
      <c r="D32" s="93"/>
      <c r="E32" s="93"/>
      <c r="F32" s="93"/>
      <c r="L32" s="93"/>
      <c r="M32" s="93"/>
      <c r="N32" s="93"/>
      <c r="O32" s="93"/>
      <c r="Q32" s="93"/>
      <c r="R32" s="93"/>
      <c r="S32" s="93"/>
      <c r="T32" s="93"/>
      <c r="U32" s="93"/>
      <c r="V32" s="93"/>
      <c r="W32" s="93"/>
      <c r="X32" s="93"/>
    </row>
    <row r="33" spans="1:24">
      <c r="A33" s="93"/>
      <c r="B33" s="93"/>
      <c r="C33" s="93"/>
      <c r="D33" s="93"/>
      <c r="E33" s="93"/>
      <c r="F33" s="93"/>
      <c r="L33" s="93"/>
      <c r="M33" s="93"/>
      <c r="N33" s="93"/>
      <c r="O33" s="93"/>
      <c r="Q33" s="93"/>
      <c r="R33" s="93"/>
      <c r="S33" s="93"/>
      <c r="T33" s="93"/>
      <c r="U33" s="93"/>
      <c r="V33" s="93"/>
      <c r="W33" s="93"/>
      <c r="X33" s="93"/>
    </row>
    <row r="34" spans="1:24">
      <c r="A34" s="93"/>
      <c r="B34" s="93"/>
      <c r="C34" s="93"/>
      <c r="D34" s="93"/>
      <c r="E34" s="93"/>
      <c r="F34" s="93"/>
      <c r="L34" s="93"/>
      <c r="M34" s="93"/>
      <c r="N34" s="93"/>
      <c r="O34" s="93"/>
      <c r="Q34" s="93"/>
      <c r="R34" s="93"/>
      <c r="S34" s="93"/>
    </row>
    <row r="35" spans="1:24">
      <c r="A35" s="93"/>
      <c r="B35" s="93"/>
      <c r="C35" s="93"/>
      <c r="D35" s="93"/>
      <c r="E35" s="93"/>
      <c r="F35" s="93"/>
      <c r="L35" s="93"/>
      <c r="M35" s="93"/>
      <c r="N35" s="93"/>
      <c r="O35" s="93"/>
      <c r="Q35" s="93"/>
      <c r="R35" s="93"/>
      <c r="S35" s="93"/>
    </row>
    <row r="36" spans="1:24">
      <c r="A36" s="93"/>
      <c r="B36" s="93"/>
      <c r="C36" s="93"/>
      <c r="D36" s="93"/>
      <c r="E36" s="93"/>
      <c r="F36" s="93"/>
      <c r="L36" s="93"/>
      <c r="M36" s="93"/>
      <c r="N36" s="93"/>
      <c r="O36" s="93"/>
      <c r="Q36" s="93"/>
      <c r="R36" s="93"/>
      <c r="S36" s="93"/>
    </row>
    <row r="37" spans="1:24">
      <c r="A37" s="93"/>
      <c r="B37" s="93"/>
      <c r="C37" s="93"/>
      <c r="D37" s="93"/>
      <c r="E37" s="93"/>
      <c r="F37" s="93"/>
      <c r="L37" s="93"/>
      <c r="M37" s="93"/>
      <c r="N37" s="93"/>
      <c r="O37" s="93"/>
      <c r="Q37" s="93"/>
      <c r="R37" s="93"/>
      <c r="S37" s="93"/>
    </row>
    <row r="38" spans="1:24">
      <c r="A38" s="93"/>
      <c r="B38" s="93"/>
      <c r="C38" s="93"/>
      <c r="D38" s="93"/>
      <c r="E38" s="93"/>
      <c r="F38" s="93"/>
      <c r="L38" s="93"/>
      <c r="M38" s="93"/>
      <c r="N38" s="93"/>
      <c r="O38" s="93"/>
      <c r="Q38" s="93"/>
      <c r="R38" s="93"/>
      <c r="S38" s="93"/>
    </row>
    <row r="39" spans="1:24">
      <c r="A39" s="93"/>
      <c r="B39" s="93"/>
      <c r="C39" s="93"/>
      <c r="D39" s="93"/>
      <c r="E39" s="93"/>
      <c r="F39" s="93"/>
      <c r="L39" s="93"/>
      <c r="M39" s="93"/>
      <c r="N39" s="93"/>
      <c r="O39" s="93"/>
      <c r="Q39" s="93"/>
      <c r="R39" s="93"/>
      <c r="S39" s="93"/>
    </row>
    <row r="40" spans="1:24">
      <c r="A40" s="93"/>
      <c r="B40" s="93"/>
      <c r="C40" s="93"/>
      <c r="D40" s="93"/>
      <c r="E40" s="93"/>
      <c r="F40" s="93"/>
      <c r="L40" s="93"/>
      <c r="M40" s="93"/>
      <c r="N40" s="93"/>
      <c r="O40" s="93"/>
      <c r="Q40" s="93"/>
      <c r="R40" s="93"/>
      <c r="S40" s="93"/>
    </row>
    <row r="41" spans="1:24">
      <c r="A41" s="93"/>
      <c r="B41" s="93"/>
      <c r="C41" s="93"/>
      <c r="D41" s="93"/>
      <c r="E41" s="93"/>
      <c r="F41" s="93"/>
      <c r="L41" s="93"/>
      <c r="M41" s="93"/>
      <c r="N41" s="93"/>
      <c r="O41" s="93"/>
      <c r="Q41" s="93"/>
      <c r="R41" s="93"/>
      <c r="S41" s="93"/>
    </row>
    <row r="42" spans="1:24">
      <c r="A42" s="93"/>
      <c r="B42" s="93"/>
      <c r="C42" s="93"/>
      <c r="D42" s="93"/>
      <c r="E42" s="93"/>
      <c r="F42" s="93"/>
      <c r="L42" s="93"/>
      <c r="M42" s="93"/>
      <c r="N42" s="93"/>
      <c r="O42" s="93"/>
      <c r="Q42" s="93"/>
      <c r="R42" s="93"/>
      <c r="S42" s="93"/>
    </row>
    <row r="43" spans="1:24">
      <c r="A43" s="93"/>
      <c r="B43" s="93"/>
      <c r="C43" s="93"/>
      <c r="D43" s="93"/>
      <c r="E43" s="93"/>
      <c r="F43" s="93"/>
      <c r="L43" s="93"/>
      <c r="M43" s="93"/>
      <c r="N43" s="93"/>
      <c r="O43" s="93"/>
      <c r="Q43" s="93"/>
      <c r="R43" s="93"/>
      <c r="S43" s="93"/>
    </row>
    <row r="44" spans="1:24">
      <c r="A44" s="93"/>
      <c r="B44" s="93"/>
      <c r="C44" s="93"/>
      <c r="D44" s="93"/>
      <c r="E44" s="93"/>
      <c r="F44" s="93"/>
      <c r="L44" s="93"/>
      <c r="M44" s="93"/>
      <c r="N44" s="93"/>
      <c r="O44" s="93"/>
      <c r="Q44" s="93"/>
      <c r="R44" s="93"/>
      <c r="S44" s="93"/>
    </row>
    <row r="45" spans="1:24">
      <c r="A45" s="93"/>
      <c r="B45" s="93"/>
      <c r="C45" s="93"/>
      <c r="D45" s="93"/>
      <c r="E45" s="93"/>
      <c r="F45" s="93"/>
      <c r="I45" s="234"/>
      <c r="L45" s="93"/>
      <c r="M45" s="93"/>
      <c r="N45" s="93"/>
      <c r="O45" s="93"/>
      <c r="Q45" s="93"/>
      <c r="R45" s="93"/>
      <c r="S45" s="93"/>
    </row>
    <row r="50" spans="1:6">
      <c r="A50" s="211"/>
      <c r="B50" s="212"/>
      <c r="C50" s="212"/>
      <c r="D50" s="212"/>
      <c r="E50" s="212"/>
      <c r="F50" s="213"/>
    </row>
    <row r="51" spans="1:6">
      <c r="A51" s="211"/>
      <c r="B51" s="212"/>
      <c r="C51" s="212"/>
      <c r="D51" s="212"/>
      <c r="E51" s="212"/>
      <c r="F51" s="214"/>
    </row>
    <row r="52" spans="1:6">
      <c r="A52" s="211"/>
      <c r="B52" s="212"/>
      <c r="C52" s="212"/>
      <c r="D52" s="212"/>
      <c r="E52" s="212"/>
      <c r="F52" s="215"/>
    </row>
    <row r="53" spans="1:6">
      <c r="A53" s="211"/>
      <c r="B53" s="212"/>
      <c r="C53" s="212"/>
      <c r="D53" s="212"/>
      <c r="E53" s="212"/>
      <c r="F53" s="213"/>
    </row>
    <row r="54" spans="1:6">
      <c r="A54" s="216"/>
      <c r="B54" s="212"/>
      <c r="C54" s="212"/>
      <c r="D54" s="212"/>
      <c r="E54" s="212"/>
      <c r="F54" s="217"/>
    </row>
  </sheetData>
  <sheetProtection algorithmName="SHA-512" hashValue="4yMVoaRlUbvafpMaw5AcRY9CROMRMi3PW1WyMhM5TXS56fWpda26LXXEGuiZM8AThDsurZN4sFx9LE6B7vfIBg==" saltValue="2hcIODwi8I92fYxg1akzmg==" spinCount="100000" sheet="1" objects="1" scenarios="1" formatCells="0" formatColumns="0" formatRows="0"/>
  <mergeCells count="33">
    <mergeCell ref="B1:E1"/>
    <mergeCell ref="D2:E2"/>
    <mergeCell ref="D3:E3"/>
    <mergeCell ref="D4:E4"/>
    <mergeCell ref="D5:E5"/>
    <mergeCell ref="D6:E6"/>
    <mergeCell ref="D7:E7"/>
    <mergeCell ref="A9:F9"/>
    <mergeCell ref="H9:J9"/>
    <mergeCell ref="L9:O9"/>
    <mergeCell ref="Q9:R9"/>
    <mergeCell ref="I12:J12"/>
    <mergeCell ref="I13:J13"/>
    <mergeCell ref="I14:J14"/>
    <mergeCell ref="I15:J15"/>
    <mergeCell ref="I16:J16"/>
    <mergeCell ref="Q16:R16"/>
    <mergeCell ref="A17:E17"/>
    <mergeCell ref="I17:J17"/>
    <mergeCell ref="A18:E18"/>
    <mergeCell ref="I18:J18"/>
    <mergeCell ref="A19:E19"/>
    <mergeCell ref="I19:J19"/>
    <mergeCell ref="A20:E20"/>
    <mergeCell ref="I20:J20"/>
    <mergeCell ref="A21:E21"/>
    <mergeCell ref="A27:E27"/>
    <mergeCell ref="A28:E28"/>
    <mergeCell ref="A22:E22"/>
    <mergeCell ref="A23:E23"/>
    <mergeCell ref="A24:E24"/>
    <mergeCell ref="A25:E25"/>
    <mergeCell ref="A26:E26"/>
  </mergeCells>
  <dataValidations count="1">
    <dataValidation type="list" allowBlank="1" showInputMessage="1" showErrorMessage="1" sqref="F19" xr:uid="{00000000-0002-0000-0500-000000000000}">
      <formula1>$XFD$17:$XFD$19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FC23"/>
  <sheetViews>
    <sheetView workbookViewId="0">
      <selection activeCell="B14" sqref="B14"/>
    </sheetView>
  </sheetViews>
  <sheetFormatPr defaultColWidth="9" defaultRowHeight="15"/>
  <cols>
    <col min="1" max="1" width="32.7109375" customWidth="1"/>
    <col min="2" max="2" width="15.5703125" customWidth="1"/>
    <col min="3" max="3" width="15.7109375" customWidth="1"/>
    <col min="4" max="4" width="22.140625" customWidth="1"/>
    <col min="5" max="5" width="28.42578125" customWidth="1"/>
    <col min="6" max="6" width="24.5703125" customWidth="1"/>
    <col min="9" max="10" width="9.140625" hidden="1" customWidth="1"/>
  </cols>
  <sheetData>
    <row r="1" spans="1:10 16383:16383">
      <c r="A1" s="128" t="s">
        <v>289</v>
      </c>
      <c r="B1" s="574">
        <f>'Policy Parameters'!B1</f>
        <v>0</v>
      </c>
      <c r="C1" s="575"/>
      <c r="D1" s="576"/>
    </row>
    <row r="2" spans="1:10 16383:16383">
      <c r="A2" s="129" t="s">
        <v>290</v>
      </c>
      <c r="B2" s="577" t="s">
        <v>291</v>
      </c>
      <c r="C2" s="578"/>
      <c r="D2" s="579"/>
      <c r="E2" s="130"/>
      <c r="F2" s="93"/>
      <c r="XFC2" s="166" t="s">
        <v>291</v>
      </c>
    </row>
    <row r="3" spans="1:10 16383:16383">
      <c r="A3" s="131" t="s">
        <v>217</v>
      </c>
      <c r="B3" s="132" t="s">
        <v>218</v>
      </c>
      <c r="C3" s="132" t="s">
        <v>219</v>
      </c>
      <c r="D3" s="133" t="s">
        <v>220</v>
      </c>
      <c r="F3" s="134"/>
      <c r="I3" s="166">
        <f>IF(B2="CA",IF(C4&gt;48,0,1),1)</f>
        <v>1</v>
      </c>
      <c r="J3">
        <f>IF(B2="CS",IF(C4&gt;48,0,1),1)</f>
        <v>1</v>
      </c>
      <c r="XFC3" s="166" t="s">
        <v>292</v>
      </c>
    </row>
    <row r="4" spans="1:10 16383:16383">
      <c r="A4" s="135">
        <v>0</v>
      </c>
      <c r="B4" s="136">
        <v>0.16</v>
      </c>
      <c r="C4" s="137">
        <v>48</v>
      </c>
      <c r="D4" s="138">
        <f>PMT(B4/12,C4,-A4)</f>
        <v>0</v>
      </c>
      <c r="XFC4" s="166" t="s">
        <v>293</v>
      </c>
    </row>
    <row r="6" spans="1:10 16383:16383">
      <c r="A6" s="580" t="s">
        <v>294</v>
      </c>
      <c r="B6" s="581"/>
      <c r="C6" s="139"/>
      <c r="D6" s="582" t="s">
        <v>295</v>
      </c>
      <c r="E6" s="583"/>
      <c r="F6" s="139"/>
      <c r="G6" s="139"/>
    </row>
    <row r="7" spans="1:10 16383:16383">
      <c r="A7" s="140" t="s">
        <v>115</v>
      </c>
      <c r="B7" s="141">
        <f>IF(B2&lt;&gt;"",'Consolidated Financial Spread'!C25,0)</f>
        <v>0</v>
      </c>
      <c r="C7" s="142"/>
      <c r="D7" s="143" t="s">
        <v>296</v>
      </c>
      <c r="E7" s="144">
        <f>IF(B2&lt;&gt;"",IF(B2="CA",MINA('Consolidated Financial Spread'!B6*150%,'Consolidated Financial Spread'!C6),IF(B2="CS",MINA('Consolidated Financial Spread'!B6*150%,'Consolidated Financial Spread'!C6),'Consolidated Financial Spread'!C6)),0)</f>
        <v>0</v>
      </c>
      <c r="F7" s="139" t="str">
        <f>IF(AND(B2="Doctor",'Consolidated Financial Spread'!C6&lt;1500000,'Policy Parameters'!B3&lt;&gt;'Policy Parameters'!N4),"GPR less than Norms",IF(AND(B2="Doctor",'Consolidated Financial Spread'!C6&lt;1000000,'Policy Parameters'!B3='Policy Parameters'!N4),"GPR less than Norms",""))</f>
        <v/>
      </c>
      <c r="G7" s="139"/>
    </row>
    <row r="8" spans="1:10 16383:16383">
      <c r="A8" s="145" t="s">
        <v>297</v>
      </c>
      <c r="B8" s="146">
        <f>IF(B2&lt;&gt;"",'Consolidated Financial Spread'!C26,0)</f>
        <v>0</v>
      </c>
      <c r="C8" s="142"/>
      <c r="D8" s="147" t="s">
        <v>298</v>
      </c>
      <c r="E8" s="148">
        <f>IF(AND(B2="Doctor",'Consolidated Financial Spread'!C6&lt;=50000000),2,IF(AND(B2="Doctor",'Consolidated Financial Spread'!C6&lt;=100000000),1,IF(AND(B2="Doctor",'Consolidated Financial Spread'!C6&gt;100000000),0,2)))</f>
        <v>2</v>
      </c>
      <c r="F8" s="139" t="str">
        <f>IF(AND(B2="doctor",'Consolidated Financial Spread'!C6&gt;100000000),"Not Allowed under GPR","")</f>
        <v/>
      </c>
      <c r="G8" s="139"/>
    </row>
    <row r="9" spans="1:10 16383:16383">
      <c r="A9" s="145" t="s">
        <v>299</v>
      </c>
      <c r="B9" s="146">
        <f>IF(B2&lt;&gt;"",'Consolidated Financial Spread'!C27,0)</f>
        <v>0</v>
      </c>
      <c r="C9" s="142"/>
      <c r="D9" s="147" t="s">
        <v>300</v>
      </c>
      <c r="E9" s="149">
        <f>E7*E8</f>
        <v>0</v>
      </c>
      <c r="F9" s="139"/>
      <c r="G9" s="139"/>
    </row>
    <row r="10" spans="1:10 16383:16383">
      <c r="A10" s="145" t="s">
        <v>298</v>
      </c>
      <c r="B10" s="145">
        <f>IF(AND(B2="doctor",F3="yes"),2,IF(B2="Doctor",4,2))</f>
        <v>2</v>
      </c>
      <c r="C10" s="142"/>
      <c r="D10" s="150" t="s">
        <v>301</v>
      </c>
      <c r="E10" s="149">
        <f>E9</f>
        <v>0</v>
      </c>
      <c r="F10" s="139"/>
      <c r="G10" s="139"/>
    </row>
    <row r="11" spans="1:10 16383:16383">
      <c r="A11" s="145" t="s">
        <v>300</v>
      </c>
      <c r="B11" s="146">
        <f>(B9*B10)</f>
        <v>0</v>
      </c>
      <c r="C11" s="142"/>
      <c r="D11" s="147" t="s">
        <v>302</v>
      </c>
      <c r="E11" s="149">
        <f>Loandetailspreexisting!O102*12</f>
        <v>0</v>
      </c>
      <c r="F11" s="139"/>
      <c r="G11" s="139"/>
    </row>
    <row r="12" spans="1:10 16383:16383">
      <c r="A12" s="145" t="s">
        <v>303</v>
      </c>
      <c r="B12" s="146">
        <f>IF(B2&lt;&gt;"",'Consolidated Financial Spread'!C24,0)</f>
        <v>0</v>
      </c>
      <c r="C12" s="142"/>
      <c r="D12" s="151" t="s">
        <v>304</v>
      </c>
      <c r="E12" s="152">
        <f>E10-E11</f>
        <v>0</v>
      </c>
      <c r="F12" s="139"/>
      <c r="G12" s="139"/>
    </row>
    <row r="13" spans="1:10 16383:16383">
      <c r="A13" s="145" t="s">
        <v>305</v>
      </c>
      <c r="B13" s="146">
        <f>IF(B2&lt;&gt;"",'Consolidated Financial Spread'!C20,0)</f>
        <v>0</v>
      </c>
      <c r="C13" s="142"/>
      <c r="D13" s="153"/>
      <c r="E13" s="154"/>
      <c r="F13" s="139"/>
      <c r="G13" s="139"/>
    </row>
    <row r="14" spans="1:10 16383:16383">
      <c r="A14" s="145" t="s">
        <v>306</v>
      </c>
      <c r="B14" s="155"/>
      <c r="C14" s="142"/>
      <c r="D14" s="153"/>
      <c r="E14" s="153"/>
      <c r="F14" s="139"/>
      <c r="G14" s="139"/>
    </row>
    <row r="15" spans="1:10 16383:16383">
      <c r="A15" s="145" t="s">
        <v>307</v>
      </c>
      <c r="B15" s="146">
        <f>(B13+B12+B11+B14)</f>
        <v>0</v>
      </c>
      <c r="C15" s="142"/>
      <c r="D15" s="156" t="str">
        <f>IF(OR(D16&lt;&gt;"",D17&lt;&gt;""),"Additional Norms","")</f>
        <v>Additional Norms</v>
      </c>
      <c r="E15" s="153"/>
      <c r="F15" s="139"/>
      <c r="G15" s="139"/>
    </row>
    <row r="16" spans="1:10 16383:16383">
      <c r="A16" s="145" t="s">
        <v>308</v>
      </c>
      <c r="B16" s="146">
        <f>B15/12</f>
        <v>0</v>
      </c>
      <c r="C16" s="142"/>
      <c r="D16" s="153" t="str">
        <f>IF(AND(B2="Doctor",'Consolidated Financial Spread'!C6&lt;800000,'Policy Parameters'!B3&lt;&gt;'Policy Parameters'!N4),"Min GPR below norms",IF(AND(B2="Doctor",'Consolidated Financial Spread'!C6&lt;600000,'Policy Parameters'!B3='Policy Parameters'!N4),"Min GPR below norms",IF(AND(OR(B2="CA",B2="CS"),'Consolidated Financial Spread'!C6&lt;1000000,'Policy Parameters'!B3&lt;&gt;'Policy Parameters'!N4),"Min GPR below norms",IF(AND(OR(B2="CA",B2="CS"),'Consolidated Financial Spread'!C6&lt;750000,'Policy Parameters'!B3='Policy Parameters'!N4),"Min GPR below norms",""))))</f>
        <v>Min GPR below norms</v>
      </c>
      <c r="E16" s="153"/>
      <c r="F16" s="139"/>
      <c r="G16" s="139"/>
    </row>
    <row r="17" spans="1:8">
      <c r="A17" s="145" t="s">
        <v>309</v>
      </c>
      <c r="B17" s="146">
        <f>Loandetailspreexisting!O102</f>
        <v>0</v>
      </c>
      <c r="C17" s="142"/>
      <c r="D17" s="139"/>
      <c r="E17" s="139"/>
      <c r="F17" s="139"/>
      <c r="G17" s="139"/>
      <c r="H17" s="157"/>
    </row>
    <row r="18" spans="1:8">
      <c r="A18" s="158" t="s">
        <v>310</v>
      </c>
      <c r="B18" s="159">
        <f>B16-B17</f>
        <v>0</v>
      </c>
      <c r="C18" s="139"/>
      <c r="D18" s="139"/>
      <c r="E18" s="139"/>
      <c r="F18" s="139"/>
      <c r="G18" s="139"/>
    </row>
    <row r="19" spans="1:8">
      <c r="A19" s="160"/>
      <c r="B19" s="161"/>
      <c r="C19" s="139"/>
      <c r="D19" s="139"/>
      <c r="E19" s="139"/>
      <c r="F19" s="139"/>
      <c r="G19" s="139"/>
    </row>
    <row r="20" spans="1:8">
      <c r="A20" s="162" t="s">
        <v>284</v>
      </c>
      <c r="B20" s="163">
        <f>B18</f>
        <v>0</v>
      </c>
      <c r="C20" s="139"/>
      <c r="D20" s="139"/>
      <c r="E20" s="139"/>
      <c r="F20" s="139"/>
      <c r="G20" s="139"/>
    </row>
    <row r="21" spans="1:8">
      <c r="A21" s="162" t="s">
        <v>242</v>
      </c>
      <c r="B21" s="162">
        <f>IF(B2="Doctor",MINA(C4,60),MINA(C4,48))</f>
        <v>48</v>
      </c>
      <c r="C21" s="139"/>
      <c r="F21" s="139"/>
      <c r="G21" s="139"/>
    </row>
    <row r="22" spans="1:8">
      <c r="A22" s="162" t="s">
        <v>218</v>
      </c>
      <c r="B22" s="164">
        <f>B4</f>
        <v>0.16</v>
      </c>
    </row>
    <row r="23" spans="1:8">
      <c r="A23" s="162" t="s">
        <v>311</v>
      </c>
      <c r="B23" s="165">
        <f>B20/PMT(B22/12,B21,-100000)</f>
        <v>0</v>
      </c>
    </row>
  </sheetData>
  <sheetProtection algorithmName="SHA-512" hashValue="A/SjOYM4xoPoUeF0/W6SOnRq9dn17/sxTa7PKi8OZHgcPrhFvOCSwJ0MksaIrwzudsvsIaa4BlyO/nHll2uypw==" saltValue="8vDCY7YKu2TJZPsmqlXhJQ==" spinCount="100000" sheet="1" objects="1" scenarios="1" formatCells="0" formatColumns="0" formatRows="0"/>
  <mergeCells count="4">
    <mergeCell ref="B1:D1"/>
    <mergeCell ref="B2:D2"/>
    <mergeCell ref="A6:B6"/>
    <mergeCell ref="D6:E6"/>
  </mergeCells>
  <conditionalFormatting sqref="C4">
    <cfRule type="expression" dxfId="268" priority="48">
      <formula>$J$3=0</formula>
    </cfRule>
    <cfRule type="expression" dxfId="267" priority="49">
      <formula>$I$3=0</formula>
    </cfRule>
  </conditionalFormatting>
  <conditionalFormatting sqref="F7">
    <cfRule type="containsText" dxfId="266" priority="2" operator="containsText" text="GPR less than Norm">
      <formula>NOT(ISERROR(SEARCH("GPR less than Norm",F7)))</formula>
    </cfRule>
  </conditionalFormatting>
  <conditionalFormatting sqref="F8">
    <cfRule type="containsText" dxfId="265" priority="1" operator="containsText" text="Not Allowed">
      <formula>NOT(ISERROR(SEARCH("Not Allowed",F8)))</formula>
    </cfRule>
  </conditionalFormatting>
  <conditionalFormatting sqref="D16">
    <cfRule type="containsText" dxfId="264" priority="3" operator="containsText" text="Min GPR below norms">
      <formula>NOT(ISERROR(SEARCH("Min GPR below norms",D16)))</formula>
    </cfRule>
  </conditionalFormatting>
  <dataValidations count="2">
    <dataValidation type="list" allowBlank="1" showInputMessage="1" showErrorMessage="1" sqref="B2:D2" xr:uid="{00000000-0002-0000-0600-000000000000}">
      <formula1>$XFC$2:$XFC$4</formula1>
    </dataValidation>
    <dataValidation type="list" allowBlank="1" showInputMessage="1" showErrorMessage="1" sqref="F2:F3" xr:uid="{00000000-0002-0000-0600-000001000000}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111"/>
  <sheetViews>
    <sheetView topLeftCell="A10" workbookViewId="0">
      <selection activeCell="F17" sqref="F17:I17"/>
    </sheetView>
  </sheetViews>
  <sheetFormatPr defaultColWidth="9" defaultRowHeight="15"/>
  <cols>
    <col min="1" max="1" width="5.42578125" style="92" customWidth="1"/>
    <col min="2" max="2" width="7.7109375" style="92" customWidth="1"/>
    <col min="3" max="3" width="18.28515625" style="92" customWidth="1"/>
    <col min="4" max="4" width="10.5703125" style="92" customWidth="1"/>
    <col min="5" max="5" width="2.140625" style="92" customWidth="1"/>
    <col min="6" max="6" width="5.42578125" style="92" customWidth="1"/>
    <col min="7" max="7" width="7.42578125" style="92" customWidth="1"/>
    <col min="8" max="8" width="18.28515625" style="92" customWidth="1"/>
    <col min="9" max="9" width="8.42578125" style="92" customWidth="1"/>
    <col min="10" max="10" width="1.7109375" style="92" customWidth="1"/>
    <col min="11" max="11" width="14" style="92" customWidth="1"/>
    <col min="12" max="12" width="18.28515625" style="92" customWidth="1"/>
    <col min="13" max="13" width="3.42578125" style="92" customWidth="1"/>
    <col min="14" max="14" width="13.85546875" style="92" customWidth="1"/>
    <col min="15" max="15" width="19.140625" style="92" customWidth="1"/>
    <col min="16" max="16" width="17.5703125" style="92" customWidth="1"/>
    <col min="17" max="17" width="15.42578125" style="92" customWidth="1"/>
    <col min="18" max="18" width="2.85546875" style="92" customWidth="1"/>
    <col min="19" max="19" width="5.5703125" style="92" customWidth="1"/>
    <col min="20" max="20" width="3" style="92" customWidth="1"/>
    <col min="21" max="21" width="5.42578125" style="92" customWidth="1"/>
    <col min="22" max="22" width="7.42578125" style="92" customWidth="1"/>
    <col min="23" max="23" width="18.5703125" style="92" customWidth="1"/>
    <col min="24" max="24" width="5.5703125" style="92" customWidth="1"/>
    <col min="25" max="25" width="3" style="92" customWidth="1"/>
    <col min="26" max="26" width="5.42578125" style="92" customWidth="1"/>
    <col min="27" max="27" width="7.42578125" style="92" customWidth="1"/>
    <col min="28" max="28" width="18.5703125" style="92" customWidth="1"/>
    <col min="29" max="29" width="5.5703125" style="92" customWidth="1"/>
    <col min="30" max="16384" width="9" style="92"/>
  </cols>
  <sheetData>
    <row r="1" spans="1:18" ht="18" customHeight="1">
      <c r="A1" s="593" t="s">
        <v>312</v>
      </c>
      <c r="B1" s="594"/>
      <c r="C1" s="594"/>
      <c r="D1" s="594"/>
      <c r="E1" s="93"/>
      <c r="F1" s="593" t="s">
        <v>313</v>
      </c>
      <c r="G1" s="594"/>
      <c r="H1" s="594"/>
      <c r="I1" s="594"/>
      <c r="K1" s="589" t="s">
        <v>314</v>
      </c>
      <c r="L1" s="590"/>
      <c r="N1" s="584" t="s">
        <v>315</v>
      </c>
      <c r="O1" s="584"/>
      <c r="P1" s="584"/>
      <c r="Q1" s="584"/>
    </row>
    <row r="2" spans="1:18" ht="34.5" customHeight="1">
      <c r="A2" s="94" t="s">
        <v>316</v>
      </c>
      <c r="B2" s="94" t="s">
        <v>317</v>
      </c>
      <c r="C2" s="95" t="s">
        <v>318</v>
      </c>
      <c r="D2" s="95" t="s">
        <v>319</v>
      </c>
      <c r="E2" s="93"/>
      <c r="F2" s="94" t="s">
        <v>316</v>
      </c>
      <c r="G2" s="94" t="s">
        <v>317</v>
      </c>
      <c r="H2" s="95" t="s">
        <v>318</v>
      </c>
      <c r="I2" s="95" t="s">
        <v>319</v>
      </c>
      <c r="K2" s="92" t="s">
        <v>320</v>
      </c>
      <c r="L2" s="95" t="s">
        <v>318</v>
      </c>
      <c r="N2" s="106"/>
      <c r="O2" s="107" t="s">
        <v>321</v>
      </c>
      <c r="P2" s="107" t="s">
        <v>322</v>
      </c>
      <c r="Q2" s="125" t="str">
        <f>IF(Q3&lt;0,"Turnover/Profit Degrowth","Turnover/Profit Growth")</f>
        <v>Turnover/Profit Growth</v>
      </c>
    </row>
    <row r="3" spans="1:18">
      <c r="A3" s="96">
        <v>1</v>
      </c>
      <c r="B3" s="97">
        <f>B19</f>
        <v>43556</v>
      </c>
      <c r="C3" s="98">
        <f>+C19+C35+C51+C67+C83+C99</f>
        <v>0</v>
      </c>
      <c r="D3" s="99" t="str">
        <f>IFERROR(C3/C15,"")</f>
        <v/>
      </c>
      <c r="E3" s="93"/>
      <c r="F3" s="96">
        <v>1</v>
      </c>
      <c r="G3" s="97">
        <f>G19</f>
        <v>43922</v>
      </c>
      <c r="H3" s="98">
        <f>H19+H35+H51+H67+H83+H99</f>
        <v>0</v>
      </c>
      <c r="I3" s="99" t="str">
        <f>IFERROR(H3/H15,"")</f>
        <v/>
      </c>
      <c r="K3" s="108">
        <v>44197</v>
      </c>
      <c r="L3" s="103"/>
      <c r="N3" s="109" t="s">
        <v>323</v>
      </c>
      <c r="O3" s="110">
        <f>'Consolidated Financial Spread'!C6</f>
        <v>0</v>
      </c>
      <c r="P3" s="111">
        <f>L15</f>
        <v>0</v>
      </c>
      <c r="Q3" s="126" t="str">
        <f>IFERROR(+(P3-O3)/O3,"")</f>
        <v/>
      </c>
    </row>
    <row r="4" spans="1:18">
      <c r="A4" s="96">
        <v>2</v>
      </c>
      <c r="B4" s="97">
        <f>B3+31</f>
        <v>43587</v>
      </c>
      <c r="C4" s="98">
        <f t="shared" ref="C4:C14" si="0">+C20+C36+C52+C68+C84+C100</f>
        <v>0</v>
      </c>
      <c r="D4" s="99" t="str">
        <f>IFERROR(C4/C15,"")</f>
        <v/>
      </c>
      <c r="E4" s="93"/>
      <c r="F4" s="96">
        <v>2</v>
      </c>
      <c r="G4" s="97">
        <f>G3+31</f>
        <v>43953</v>
      </c>
      <c r="H4" s="98">
        <f t="shared" ref="H4:H14" si="1">H20+H36+H52+H68+H84+H100</f>
        <v>0</v>
      </c>
      <c r="I4" s="99" t="str">
        <f>IFERROR(H4/H15,"")</f>
        <v/>
      </c>
      <c r="K4" s="112">
        <f>EDATE(K3,1)</f>
        <v>44228</v>
      </c>
      <c r="L4" s="103"/>
    </row>
    <row r="5" spans="1:18">
      <c r="A5" s="96">
        <v>3</v>
      </c>
      <c r="B5" s="97">
        <f t="shared" ref="B5:B14" si="2">B4+31</f>
        <v>43618</v>
      </c>
      <c r="C5" s="98">
        <f t="shared" si="0"/>
        <v>0</v>
      </c>
      <c r="D5" s="99" t="str">
        <f>IFERROR(C5/C15,"")</f>
        <v/>
      </c>
      <c r="E5" s="93"/>
      <c r="F5" s="96">
        <v>3</v>
      </c>
      <c r="G5" s="97">
        <f t="shared" ref="G5:G14" si="3">G4+31</f>
        <v>43984</v>
      </c>
      <c r="H5" s="98">
        <f t="shared" si="1"/>
        <v>0</v>
      </c>
      <c r="I5" s="99" t="str">
        <f>IFERROR(H5/H15,"")</f>
        <v/>
      </c>
      <c r="K5" s="112">
        <f t="shared" ref="K5:K14" si="4">EDATE(K4,1)</f>
        <v>44256</v>
      </c>
      <c r="L5" s="103"/>
    </row>
    <row r="6" spans="1:18">
      <c r="A6" s="96">
        <v>4</v>
      </c>
      <c r="B6" s="97">
        <f t="shared" si="2"/>
        <v>43649</v>
      </c>
      <c r="C6" s="98">
        <f t="shared" si="0"/>
        <v>0</v>
      </c>
      <c r="D6" s="99" t="str">
        <f>IFERROR(C6/C15,"")</f>
        <v/>
      </c>
      <c r="E6" s="93"/>
      <c r="F6" s="96">
        <v>4</v>
      </c>
      <c r="G6" s="97">
        <f t="shared" si="3"/>
        <v>44015</v>
      </c>
      <c r="H6" s="98">
        <f t="shared" si="1"/>
        <v>0</v>
      </c>
      <c r="I6" s="99" t="str">
        <f>IFERROR(H6/H15,"")</f>
        <v/>
      </c>
      <c r="K6" s="112">
        <f t="shared" si="4"/>
        <v>44287</v>
      </c>
      <c r="L6" s="103"/>
      <c r="N6" s="113"/>
      <c r="O6" s="114"/>
      <c r="P6" s="115"/>
    </row>
    <row r="7" spans="1:18">
      <c r="A7" s="96">
        <v>5</v>
      </c>
      <c r="B7" s="97">
        <f t="shared" si="2"/>
        <v>43680</v>
      </c>
      <c r="C7" s="98">
        <f t="shared" si="0"/>
        <v>0</v>
      </c>
      <c r="D7" s="99" t="str">
        <f>IFERROR(C7/C15,"")</f>
        <v/>
      </c>
      <c r="E7" s="93"/>
      <c r="F7" s="96">
        <v>5</v>
      </c>
      <c r="G7" s="97">
        <f t="shared" si="3"/>
        <v>44046</v>
      </c>
      <c r="H7" s="98">
        <f t="shared" si="1"/>
        <v>0</v>
      </c>
      <c r="I7" s="99" t="str">
        <f>IFERROR(H7/H15,"")</f>
        <v/>
      </c>
      <c r="K7" s="112">
        <f t="shared" si="4"/>
        <v>44317</v>
      </c>
      <c r="L7" s="103"/>
      <c r="N7" s="113"/>
      <c r="O7" s="114"/>
      <c r="P7" s="115"/>
      <c r="R7" s="127"/>
    </row>
    <row r="8" spans="1:18">
      <c r="A8" s="96">
        <v>6</v>
      </c>
      <c r="B8" s="97">
        <f t="shared" si="2"/>
        <v>43711</v>
      </c>
      <c r="C8" s="98">
        <f t="shared" si="0"/>
        <v>0</v>
      </c>
      <c r="D8" s="99" t="str">
        <f>IFERROR(C8/C15,"")</f>
        <v/>
      </c>
      <c r="E8" s="93"/>
      <c r="F8" s="96">
        <v>6</v>
      </c>
      <c r="G8" s="97">
        <f t="shared" si="3"/>
        <v>44077</v>
      </c>
      <c r="H8" s="98">
        <f t="shared" si="1"/>
        <v>0</v>
      </c>
      <c r="I8" s="99" t="str">
        <f>IFERROR(H8/H15,"")</f>
        <v/>
      </c>
      <c r="K8" s="112">
        <f t="shared" si="4"/>
        <v>44348</v>
      </c>
      <c r="L8" s="103"/>
      <c r="N8" s="113"/>
      <c r="O8" s="114"/>
      <c r="P8" s="116"/>
    </row>
    <row r="9" spans="1:18" ht="34.5">
      <c r="A9" s="96">
        <v>7</v>
      </c>
      <c r="B9" s="97">
        <f t="shared" si="2"/>
        <v>43742</v>
      </c>
      <c r="C9" s="98">
        <f t="shared" si="0"/>
        <v>0</v>
      </c>
      <c r="D9" s="99" t="str">
        <f>IFERROR(C9/C15,"")</f>
        <v/>
      </c>
      <c r="E9" s="93"/>
      <c r="F9" s="96">
        <v>7</v>
      </c>
      <c r="G9" s="97">
        <f t="shared" si="3"/>
        <v>44108</v>
      </c>
      <c r="H9" s="98">
        <f t="shared" si="1"/>
        <v>0</v>
      </c>
      <c r="I9" s="99" t="str">
        <f>IFERROR(H9/H15,"")</f>
        <v/>
      </c>
      <c r="K9" s="112">
        <f t="shared" si="4"/>
        <v>44378</v>
      </c>
      <c r="L9" s="103"/>
      <c r="N9" s="117" t="s">
        <v>324</v>
      </c>
      <c r="O9" s="75">
        <v>9</v>
      </c>
    </row>
    <row r="10" spans="1:18">
      <c r="A10" s="96">
        <v>8</v>
      </c>
      <c r="B10" s="97">
        <f t="shared" si="2"/>
        <v>43773</v>
      </c>
      <c r="C10" s="98">
        <f t="shared" si="0"/>
        <v>0</v>
      </c>
      <c r="D10" s="99" t="str">
        <f>IFERROR(C10/C15,"")</f>
        <v/>
      </c>
      <c r="E10" s="93"/>
      <c r="F10" s="96">
        <v>8</v>
      </c>
      <c r="G10" s="97">
        <f t="shared" si="3"/>
        <v>44139</v>
      </c>
      <c r="H10" s="98">
        <f t="shared" si="1"/>
        <v>0</v>
      </c>
      <c r="I10" s="99" t="str">
        <f>IFERROR(H10/H15,"")</f>
        <v/>
      </c>
      <c r="K10" s="112">
        <f t="shared" si="4"/>
        <v>44409</v>
      </c>
      <c r="L10" s="103"/>
      <c r="N10" s="117" t="s">
        <v>325</v>
      </c>
      <c r="O10" s="118">
        <f>IFERROR(H15/O9*12,"")</f>
        <v>0</v>
      </c>
      <c r="P10" s="119"/>
    </row>
    <row r="11" spans="1:18" ht="23.25">
      <c r="A11" s="96">
        <v>9</v>
      </c>
      <c r="B11" s="97">
        <f t="shared" si="2"/>
        <v>43804</v>
      </c>
      <c r="C11" s="98">
        <f t="shared" si="0"/>
        <v>0</v>
      </c>
      <c r="D11" s="99" t="str">
        <f>IFERROR(C11/C15,"")</f>
        <v/>
      </c>
      <c r="E11" s="93"/>
      <c r="F11" s="96">
        <v>9</v>
      </c>
      <c r="G11" s="97">
        <f t="shared" si="3"/>
        <v>44170</v>
      </c>
      <c r="H11" s="98">
        <f t="shared" si="1"/>
        <v>0</v>
      </c>
      <c r="I11" s="99" t="str">
        <f>IFERROR(H11/H15,"")</f>
        <v/>
      </c>
      <c r="K11" s="112">
        <f t="shared" si="4"/>
        <v>44440</v>
      </c>
      <c r="L11" s="103"/>
      <c r="N11" s="117" t="s">
        <v>326</v>
      </c>
      <c r="O11" s="120">
        <f>'Consolidated Financial Spread'!C6</f>
        <v>0</v>
      </c>
    </row>
    <row r="12" spans="1:18">
      <c r="A12" s="96">
        <v>10</v>
      </c>
      <c r="B12" s="97">
        <f t="shared" si="2"/>
        <v>43835</v>
      </c>
      <c r="C12" s="98">
        <f t="shared" si="0"/>
        <v>0</v>
      </c>
      <c r="D12" s="99" t="str">
        <f>IFERROR(C12/C15,"")</f>
        <v/>
      </c>
      <c r="E12" s="93"/>
      <c r="F12" s="96">
        <v>10</v>
      </c>
      <c r="G12" s="97">
        <f t="shared" si="3"/>
        <v>44201</v>
      </c>
      <c r="H12" s="98">
        <f t="shared" si="1"/>
        <v>0</v>
      </c>
      <c r="I12" s="99" t="str">
        <f>IFERROR(H12/H15,"")</f>
        <v/>
      </c>
      <c r="K12" s="112">
        <f t="shared" si="4"/>
        <v>44470</v>
      </c>
      <c r="L12" s="103"/>
      <c r="N12" s="117" t="s">
        <v>327</v>
      </c>
      <c r="O12" s="120">
        <f>IFERROR(O10-O11,"")</f>
        <v>0</v>
      </c>
    </row>
    <row r="13" spans="1:18" ht="23.25">
      <c r="A13" s="96">
        <v>11</v>
      </c>
      <c r="B13" s="97">
        <f t="shared" si="2"/>
        <v>43866</v>
      </c>
      <c r="C13" s="98">
        <f t="shared" si="0"/>
        <v>0</v>
      </c>
      <c r="D13" s="99" t="str">
        <f>IFERROR(C13/C15,"")</f>
        <v/>
      </c>
      <c r="E13" s="93"/>
      <c r="F13" s="96">
        <v>11</v>
      </c>
      <c r="G13" s="97">
        <f t="shared" si="3"/>
        <v>44232</v>
      </c>
      <c r="H13" s="98">
        <f t="shared" si="1"/>
        <v>0</v>
      </c>
      <c r="I13" s="99" t="str">
        <f>IFERROR(H13/H15,"")</f>
        <v/>
      </c>
      <c r="K13" s="112">
        <f t="shared" si="4"/>
        <v>44501</v>
      </c>
      <c r="L13" s="103"/>
      <c r="N13" s="117" t="s">
        <v>328</v>
      </c>
      <c r="O13" s="121" t="str">
        <f>IFERROR(O12/O11,"")</f>
        <v/>
      </c>
    </row>
    <row r="14" spans="1:18">
      <c r="A14" s="96">
        <v>12</v>
      </c>
      <c r="B14" s="97">
        <f t="shared" si="2"/>
        <v>43897</v>
      </c>
      <c r="C14" s="98">
        <f t="shared" si="0"/>
        <v>0</v>
      </c>
      <c r="D14" s="99" t="str">
        <f>IFERROR(C14/C15,"")</f>
        <v/>
      </c>
      <c r="E14" s="93"/>
      <c r="F14" s="96">
        <v>12</v>
      </c>
      <c r="G14" s="97">
        <f t="shared" si="3"/>
        <v>44263</v>
      </c>
      <c r="H14" s="98">
        <f t="shared" si="1"/>
        <v>0</v>
      </c>
      <c r="I14" s="99" t="str">
        <f>IFERROR(H14/H15,"")</f>
        <v/>
      </c>
      <c r="K14" s="112">
        <f t="shared" si="4"/>
        <v>44531</v>
      </c>
      <c r="L14" s="103"/>
    </row>
    <row r="15" spans="1:18">
      <c r="A15" s="584" t="s">
        <v>194</v>
      </c>
      <c r="B15" s="584"/>
      <c r="C15" s="100">
        <f>SUM(C3:C14)</f>
        <v>0</v>
      </c>
      <c r="D15" s="99">
        <f>IFERROR(SUM(D3:D14),"")</f>
        <v>0</v>
      </c>
      <c r="E15" s="93"/>
      <c r="F15" s="584" t="s">
        <v>194</v>
      </c>
      <c r="G15" s="584"/>
      <c r="H15" s="100">
        <f t="shared" ref="H15:L15" si="5">SUM(H3:H14)</f>
        <v>0</v>
      </c>
      <c r="I15" s="122">
        <f t="shared" si="5"/>
        <v>0</v>
      </c>
      <c r="K15" s="123" t="s">
        <v>323</v>
      </c>
      <c r="L15" s="123">
        <f t="shared" si="5"/>
        <v>0</v>
      </c>
    </row>
    <row r="17" spans="1:17">
      <c r="A17" s="586" t="s">
        <v>329</v>
      </c>
      <c r="B17" s="587"/>
      <c r="C17" s="587"/>
      <c r="D17" s="588"/>
      <c r="F17" s="586" t="s">
        <v>329</v>
      </c>
      <c r="G17" s="587"/>
      <c r="H17" s="587"/>
      <c r="I17" s="588"/>
      <c r="K17" s="589" t="s">
        <v>330</v>
      </c>
      <c r="L17" s="590"/>
      <c r="N17" s="591" t="s">
        <v>331</v>
      </c>
      <c r="O17" s="592"/>
      <c r="P17" s="592"/>
      <c r="Q17" s="592"/>
    </row>
    <row r="18" spans="1:17">
      <c r="A18" s="94" t="s">
        <v>316</v>
      </c>
      <c r="B18" s="94" t="s">
        <v>317</v>
      </c>
      <c r="C18" s="95" t="s">
        <v>318</v>
      </c>
      <c r="D18" s="96"/>
      <c r="F18" s="94" t="s">
        <v>316</v>
      </c>
      <c r="G18" s="94" t="s">
        <v>317</v>
      </c>
      <c r="H18" s="95" t="s">
        <v>318</v>
      </c>
      <c r="I18" s="96"/>
      <c r="K18" s="92" t="s">
        <v>320</v>
      </c>
      <c r="L18" s="95" t="s">
        <v>318</v>
      </c>
      <c r="N18" s="585"/>
      <c r="O18" s="585"/>
      <c r="P18" s="585"/>
      <c r="Q18" s="585"/>
    </row>
    <row r="19" spans="1:17">
      <c r="A19" s="96">
        <v>1</v>
      </c>
      <c r="B19" s="101">
        <v>43556</v>
      </c>
      <c r="C19" s="81"/>
      <c r="D19" s="102" t="str">
        <f>IFERROR(C19/C31,"")</f>
        <v/>
      </c>
      <c r="F19" s="96">
        <v>1</v>
      </c>
      <c r="G19" s="101">
        <v>43922</v>
      </c>
      <c r="H19" s="103"/>
      <c r="I19" s="102" t="str">
        <f>IFERROR(H19/H31,"")</f>
        <v/>
      </c>
      <c r="K19" s="108">
        <v>44287</v>
      </c>
      <c r="L19" s="103"/>
      <c r="N19" s="585"/>
      <c r="O19" s="585"/>
      <c r="P19" s="585"/>
      <c r="Q19" s="585"/>
    </row>
    <row r="20" spans="1:17">
      <c r="A20" s="96">
        <v>2</v>
      </c>
      <c r="B20" s="97">
        <f>B19+31</f>
        <v>43587</v>
      </c>
      <c r="C20" s="81"/>
      <c r="D20" s="102" t="str">
        <f>IFERROR(C20/C31,"")</f>
        <v/>
      </c>
      <c r="F20" s="96">
        <v>2</v>
      </c>
      <c r="G20" s="97">
        <f>G19+31</f>
        <v>43953</v>
      </c>
      <c r="H20" s="103"/>
      <c r="I20" s="102" t="str">
        <f>IFERROR(H20/H31,"")</f>
        <v/>
      </c>
      <c r="K20" s="112">
        <f>EDATE(K19,1)</f>
        <v>44317</v>
      </c>
      <c r="L20" s="103"/>
      <c r="N20" s="585"/>
      <c r="O20" s="585"/>
      <c r="P20" s="585"/>
      <c r="Q20" s="585"/>
    </row>
    <row r="21" spans="1:17">
      <c r="A21" s="96">
        <v>3</v>
      </c>
      <c r="B21" s="97">
        <f t="shared" ref="B21:B30" si="6">B20+31</f>
        <v>43618</v>
      </c>
      <c r="C21" s="81"/>
      <c r="D21" s="102" t="str">
        <f>IFERROR(C21/C31,"")</f>
        <v/>
      </c>
      <c r="F21" s="96">
        <v>3</v>
      </c>
      <c r="G21" s="97">
        <f t="shared" ref="G21:G30" si="7">G20+31</f>
        <v>43984</v>
      </c>
      <c r="H21" s="103"/>
      <c r="I21" s="102" t="str">
        <f>IFERROR(H21/H31,"")</f>
        <v/>
      </c>
      <c r="K21" s="112">
        <f t="shared" ref="K21:K30" si="8">EDATE(K20,1)</f>
        <v>44348</v>
      </c>
      <c r="L21" s="103"/>
      <c r="N21" s="585"/>
      <c r="O21" s="585"/>
      <c r="P21" s="585"/>
      <c r="Q21" s="585"/>
    </row>
    <row r="22" spans="1:17">
      <c r="A22" s="96">
        <v>4</v>
      </c>
      <c r="B22" s="97">
        <f t="shared" si="6"/>
        <v>43649</v>
      </c>
      <c r="C22" s="81"/>
      <c r="D22" s="102" t="str">
        <f>IFERROR(C22/C31,"")</f>
        <v/>
      </c>
      <c r="F22" s="96">
        <v>4</v>
      </c>
      <c r="G22" s="97">
        <f t="shared" si="7"/>
        <v>44015</v>
      </c>
      <c r="H22" s="103"/>
      <c r="I22" s="102" t="str">
        <f>IFERROR(H22/H31,"")</f>
        <v/>
      </c>
      <c r="K22" s="112">
        <f t="shared" si="8"/>
        <v>44378</v>
      </c>
      <c r="L22" s="103"/>
      <c r="N22" s="585"/>
      <c r="O22" s="585"/>
      <c r="P22" s="585"/>
      <c r="Q22" s="585"/>
    </row>
    <row r="23" spans="1:17">
      <c r="A23" s="96">
        <v>5</v>
      </c>
      <c r="B23" s="97">
        <f t="shared" si="6"/>
        <v>43680</v>
      </c>
      <c r="C23" s="81"/>
      <c r="D23" s="102" t="str">
        <f>IFERROR(C23/C31,"")</f>
        <v/>
      </c>
      <c r="F23" s="96">
        <v>5</v>
      </c>
      <c r="G23" s="97">
        <f t="shared" si="7"/>
        <v>44046</v>
      </c>
      <c r="H23" s="103"/>
      <c r="I23" s="102" t="str">
        <f>IFERROR(H23/H31,"")</f>
        <v/>
      </c>
      <c r="K23" s="112">
        <f t="shared" si="8"/>
        <v>44409</v>
      </c>
      <c r="L23" s="103"/>
      <c r="N23" s="585"/>
      <c r="O23" s="585"/>
      <c r="P23" s="585"/>
      <c r="Q23" s="585"/>
    </row>
    <row r="24" spans="1:17">
      <c r="A24" s="96">
        <v>6</v>
      </c>
      <c r="B24" s="97">
        <f t="shared" si="6"/>
        <v>43711</v>
      </c>
      <c r="C24" s="81"/>
      <c r="D24" s="102" t="str">
        <f>IFERROR(C24/C31,"")</f>
        <v/>
      </c>
      <c r="F24" s="96">
        <v>6</v>
      </c>
      <c r="G24" s="97">
        <f t="shared" si="7"/>
        <v>44077</v>
      </c>
      <c r="H24" s="103"/>
      <c r="I24" s="102" t="str">
        <f>IFERROR(H24/H31,"")</f>
        <v/>
      </c>
      <c r="K24" s="112">
        <f t="shared" si="8"/>
        <v>44440</v>
      </c>
      <c r="L24" s="103"/>
      <c r="N24" s="585"/>
      <c r="O24" s="585"/>
      <c r="P24" s="585"/>
      <c r="Q24" s="585"/>
    </row>
    <row r="25" spans="1:17">
      <c r="A25" s="96">
        <v>7</v>
      </c>
      <c r="B25" s="97">
        <f t="shared" si="6"/>
        <v>43742</v>
      </c>
      <c r="C25" s="81"/>
      <c r="D25" s="102" t="str">
        <f>IFERROR(C25/C31,"")</f>
        <v/>
      </c>
      <c r="F25" s="96">
        <v>7</v>
      </c>
      <c r="G25" s="97">
        <f t="shared" si="7"/>
        <v>44108</v>
      </c>
      <c r="H25" s="103"/>
      <c r="I25" s="102" t="str">
        <f>IFERROR(H25/H31,"")</f>
        <v/>
      </c>
      <c r="K25" s="112">
        <f t="shared" si="8"/>
        <v>44470</v>
      </c>
      <c r="L25" s="103"/>
      <c r="N25" s="585"/>
      <c r="O25" s="585"/>
      <c r="P25" s="585"/>
      <c r="Q25" s="585"/>
    </row>
    <row r="26" spans="1:17">
      <c r="A26" s="96">
        <v>8</v>
      </c>
      <c r="B26" s="97">
        <f t="shared" si="6"/>
        <v>43773</v>
      </c>
      <c r="C26" s="81"/>
      <c r="D26" s="102" t="str">
        <f>IFERROR(C26/C31,"")</f>
        <v/>
      </c>
      <c r="F26" s="96">
        <v>8</v>
      </c>
      <c r="G26" s="97">
        <f t="shared" si="7"/>
        <v>44139</v>
      </c>
      <c r="H26" s="103"/>
      <c r="I26" s="102" t="str">
        <f>IFERROR(H26/H31,"")</f>
        <v/>
      </c>
      <c r="K26" s="112">
        <f t="shared" si="8"/>
        <v>44501</v>
      </c>
      <c r="L26" s="103"/>
      <c r="N26" s="585"/>
      <c r="O26" s="585"/>
      <c r="P26" s="585"/>
      <c r="Q26" s="585"/>
    </row>
    <row r="27" spans="1:17">
      <c r="A27" s="96">
        <v>9</v>
      </c>
      <c r="B27" s="97">
        <f t="shared" si="6"/>
        <v>43804</v>
      </c>
      <c r="C27" s="81"/>
      <c r="D27" s="102" t="str">
        <f>IFERROR(C27/C31,"")</f>
        <v/>
      </c>
      <c r="F27" s="96">
        <v>9</v>
      </c>
      <c r="G27" s="97">
        <f t="shared" si="7"/>
        <v>44170</v>
      </c>
      <c r="H27" s="103"/>
      <c r="I27" s="102" t="str">
        <f>IFERROR(H27/H31,"")</f>
        <v/>
      </c>
      <c r="K27" s="112">
        <f t="shared" si="8"/>
        <v>44531</v>
      </c>
      <c r="L27" s="103"/>
      <c r="N27" s="585"/>
      <c r="O27" s="585"/>
      <c r="P27" s="585"/>
      <c r="Q27" s="585"/>
    </row>
    <row r="28" spans="1:17">
      <c r="A28" s="96">
        <v>10</v>
      </c>
      <c r="B28" s="97">
        <f t="shared" si="6"/>
        <v>43835</v>
      </c>
      <c r="C28" s="81"/>
      <c r="D28" s="102" t="str">
        <f>IFERROR(C28/C31,"")</f>
        <v/>
      </c>
      <c r="F28" s="96">
        <v>10</v>
      </c>
      <c r="G28" s="97">
        <f t="shared" si="7"/>
        <v>44201</v>
      </c>
      <c r="H28" s="103"/>
      <c r="I28" s="102" t="str">
        <f>IFERROR(H28/H31,"")</f>
        <v/>
      </c>
      <c r="K28" s="112">
        <f t="shared" si="8"/>
        <v>44562</v>
      </c>
      <c r="L28" s="103"/>
      <c r="N28" s="585"/>
      <c r="O28" s="585"/>
      <c r="P28" s="585"/>
      <c r="Q28" s="585"/>
    </row>
    <row r="29" spans="1:17">
      <c r="A29" s="96">
        <v>11</v>
      </c>
      <c r="B29" s="97">
        <f t="shared" si="6"/>
        <v>43866</v>
      </c>
      <c r="C29" s="81"/>
      <c r="D29" s="102" t="str">
        <f>IFERROR(C29/C31,"")</f>
        <v/>
      </c>
      <c r="F29" s="96">
        <v>11</v>
      </c>
      <c r="G29" s="97">
        <f t="shared" si="7"/>
        <v>44232</v>
      </c>
      <c r="H29" s="103"/>
      <c r="I29" s="102" t="str">
        <f>IFERROR(H29/H31,"")</f>
        <v/>
      </c>
      <c r="K29" s="112">
        <f t="shared" si="8"/>
        <v>44593</v>
      </c>
      <c r="L29" s="103"/>
      <c r="N29" s="585"/>
      <c r="O29" s="585"/>
      <c r="P29" s="585"/>
      <c r="Q29" s="585"/>
    </row>
    <row r="30" spans="1:17">
      <c r="A30" s="96">
        <v>12</v>
      </c>
      <c r="B30" s="97">
        <f t="shared" si="6"/>
        <v>43897</v>
      </c>
      <c r="C30" s="81"/>
      <c r="D30" s="102" t="str">
        <f>IFERROR(C30/C31,"")</f>
        <v/>
      </c>
      <c r="F30" s="96">
        <v>12</v>
      </c>
      <c r="G30" s="97">
        <f t="shared" si="7"/>
        <v>44263</v>
      </c>
      <c r="H30" s="103"/>
      <c r="I30" s="102" t="str">
        <f>IFERROR(H30/H31,"")</f>
        <v/>
      </c>
      <c r="K30" s="112">
        <f t="shared" si="8"/>
        <v>44621</v>
      </c>
      <c r="L30" s="103"/>
      <c r="N30" s="585"/>
      <c r="O30" s="585"/>
      <c r="P30" s="585"/>
      <c r="Q30" s="585"/>
    </row>
    <row r="31" spans="1:17">
      <c r="A31" s="584" t="s">
        <v>194</v>
      </c>
      <c r="B31" s="584"/>
      <c r="C31" s="100">
        <f t="shared" ref="C31:I31" si="9">SUM(C19:C30)</f>
        <v>0</v>
      </c>
      <c r="D31" s="104">
        <f t="shared" si="9"/>
        <v>0</v>
      </c>
      <c r="F31" s="584" t="s">
        <v>194</v>
      </c>
      <c r="G31" s="584"/>
      <c r="H31" s="100">
        <f t="shared" si="9"/>
        <v>0</v>
      </c>
      <c r="I31" s="104">
        <f t="shared" si="9"/>
        <v>0</v>
      </c>
      <c r="K31" s="123" t="s">
        <v>323</v>
      </c>
      <c r="L31" s="124">
        <f>SUM(L19:L30)</f>
        <v>0</v>
      </c>
      <c r="N31" s="585"/>
      <c r="O31" s="585"/>
      <c r="P31" s="585"/>
      <c r="Q31" s="585"/>
    </row>
    <row r="33" spans="1:9">
      <c r="A33" s="586" t="s">
        <v>332</v>
      </c>
      <c r="B33" s="587"/>
      <c r="C33" s="587"/>
      <c r="D33" s="588"/>
      <c r="F33" s="586" t="s">
        <v>332</v>
      </c>
      <c r="G33" s="587"/>
      <c r="H33" s="587"/>
      <c r="I33" s="588"/>
    </row>
    <row r="34" spans="1:9">
      <c r="A34" s="94" t="s">
        <v>316</v>
      </c>
      <c r="B34" s="94" t="s">
        <v>317</v>
      </c>
      <c r="C34" s="95" t="s">
        <v>318</v>
      </c>
      <c r="D34" s="96"/>
      <c r="F34" s="94" t="s">
        <v>316</v>
      </c>
      <c r="G34" s="94" t="s">
        <v>317</v>
      </c>
      <c r="H34" s="95" t="s">
        <v>318</v>
      </c>
      <c r="I34" s="96"/>
    </row>
    <row r="35" spans="1:9">
      <c r="A35" s="96">
        <v>1</v>
      </c>
      <c r="B35" s="101">
        <f>B19</f>
        <v>43556</v>
      </c>
      <c r="C35" s="105"/>
      <c r="D35" s="102" t="str">
        <f>IFERROR(C35/C47,"")</f>
        <v/>
      </c>
      <c r="F35" s="96">
        <v>1</v>
      </c>
      <c r="G35" s="101">
        <f>G19</f>
        <v>43922</v>
      </c>
      <c r="H35" s="103"/>
      <c r="I35" s="102" t="str">
        <f>IFERROR(H35/H47,"")</f>
        <v/>
      </c>
    </row>
    <row r="36" spans="1:9">
      <c r="A36" s="96">
        <v>2</v>
      </c>
      <c r="B36" s="97">
        <f>B35+31</f>
        <v>43587</v>
      </c>
      <c r="C36" s="105"/>
      <c r="D36" s="102" t="str">
        <f>IFERROR(C36/C47,"")</f>
        <v/>
      </c>
      <c r="F36" s="96">
        <v>2</v>
      </c>
      <c r="G36" s="97">
        <f>G35+31</f>
        <v>43953</v>
      </c>
      <c r="H36" s="103"/>
      <c r="I36" s="102" t="str">
        <f>IFERROR(H36/H47,"")</f>
        <v/>
      </c>
    </row>
    <row r="37" spans="1:9">
      <c r="A37" s="96">
        <v>3</v>
      </c>
      <c r="B37" s="97">
        <f t="shared" ref="B37:B46" si="10">B36+31</f>
        <v>43618</v>
      </c>
      <c r="C37" s="105"/>
      <c r="D37" s="102" t="str">
        <f>IFERROR(C37/C47,"")</f>
        <v/>
      </c>
      <c r="F37" s="96">
        <v>3</v>
      </c>
      <c r="G37" s="97">
        <f t="shared" ref="G37:G46" si="11">G36+31</f>
        <v>43984</v>
      </c>
      <c r="H37" s="103"/>
      <c r="I37" s="102" t="str">
        <f>IFERROR(H37/H47,"")</f>
        <v/>
      </c>
    </row>
    <row r="38" spans="1:9">
      <c r="A38" s="96">
        <v>4</v>
      </c>
      <c r="B38" s="97">
        <f t="shared" si="10"/>
        <v>43649</v>
      </c>
      <c r="C38" s="105"/>
      <c r="D38" s="102" t="str">
        <f>IFERROR(C38/C47,"")</f>
        <v/>
      </c>
      <c r="F38" s="96">
        <v>4</v>
      </c>
      <c r="G38" s="97">
        <f t="shared" si="11"/>
        <v>44015</v>
      </c>
      <c r="H38" s="103"/>
      <c r="I38" s="102" t="str">
        <f>IFERROR(H38/H47,"")</f>
        <v/>
      </c>
    </row>
    <row r="39" spans="1:9">
      <c r="A39" s="96">
        <v>5</v>
      </c>
      <c r="B39" s="97">
        <f t="shared" si="10"/>
        <v>43680</v>
      </c>
      <c r="C39" s="105"/>
      <c r="D39" s="102" t="str">
        <f>IFERROR(C39/C47,"")</f>
        <v/>
      </c>
      <c r="F39" s="96">
        <v>5</v>
      </c>
      <c r="G39" s="97">
        <f t="shared" si="11"/>
        <v>44046</v>
      </c>
      <c r="H39" s="103"/>
      <c r="I39" s="102" t="str">
        <f>IFERROR(H39/H47,"")</f>
        <v/>
      </c>
    </row>
    <row r="40" spans="1:9">
      <c r="A40" s="96">
        <v>6</v>
      </c>
      <c r="B40" s="97">
        <f t="shared" si="10"/>
        <v>43711</v>
      </c>
      <c r="C40" s="105"/>
      <c r="D40" s="102" t="str">
        <f>IFERROR(C40/C47,"")</f>
        <v/>
      </c>
      <c r="F40" s="96">
        <v>6</v>
      </c>
      <c r="G40" s="97">
        <f t="shared" si="11"/>
        <v>44077</v>
      </c>
      <c r="H40" s="103"/>
      <c r="I40" s="102" t="str">
        <f>IFERROR(H40/H47,"")</f>
        <v/>
      </c>
    </row>
    <row r="41" spans="1:9">
      <c r="A41" s="96">
        <v>7</v>
      </c>
      <c r="B41" s="97">
        <f t="shared" si="10"/>
        <v>43742</v>
      </c>
      <c r="C41" s="105"/>
      <c r="D41" s="102" t="str">
        <f>IFERROR(C41/C47,"")</f>
        <v/>
      </c>
      <c r="F41" s="96">
        <v>7</v>
      </c>
      <c r="G41" s="97">
        <f t="shared" si="11"/>
        <v>44108</v>
      </c>
      <c r="H41" s="103"/>
      <c r="I41" s="102" t="str">
        <f>IFERROR(H41/H47,"")</f>
        <v/>
      </c>
    </row>
    <row r="42" spans="1:9">
      <c r="A42" s="96">
        <v>8</v>
      </c>
      <c r="B42" s="97">
        <f t="shared" si="10"/>
        <v>43773</v>
      </c>
      <c r="C42" s="105"/>
      <c r="D42" s="102" t="str">
        <f>IFERROR(C42/C47,"")</f>
        <v/>
      </c>
      <c r="F42" s="96">
        <v>8</v>
      </c>
      <c r="G42" s="97">
        <f t="shared" si="11"/>
        <v>44139</v>
      </c>
      <c r="H42" s="103"/>
      <c r="I42" s="102" t="str">
        <f>IFERROR(H42/H47,"")</f>
        <v/>
      </c>
    </row>
    <row r="43" spans="1:9">
      <c r="A43" s="96">
        <v>9</v>
      </c>
      <c r="B43" s="97">
        <f t="shared" si="10"/>
        <v>43804</v>
      </c>
      <c r="C43" s="105"/>
      <c r="D43" s="102" t="str">
        <f>IFERROR(C43/C47,"")</f>
        <v/>
      </c>
      <c r="F43" s="96">
        <v>9</v>
      </c>
      <c r="G43" s="97">
        <f t="shared" si="11"/>
        <v>44170</v>
      </c>
      <c r="H43" s="103"/>
      <c r="I43" s="102" t="str">
        <f>IFERROR(H43/H47,"")</f>
        <v/>
      </c>
    </row>
    <row r="44" spans="1:9">
      <c r="A44" s="96">
        <v>10</v>
      </c>
      <c r="B44" s="97">
        <f t="shared" si="10"/>
        <v>43835</v>
      </c>
      <c r="C44" s="105"/>
      <c r="D44" s="102" t="str">
        <f>IFERROR(C44/C47,"")</f>
        <v/>
      </c>
      <c r="F44" s="96">
        <v>10</v>
      </c>
      <c r="G44" s="97">
        <f t="shared" si="11"/>
        <v>44201</v>
      </c>
      <c r="H44" s="103"/>
      <c r="I44" s="102" t="str">
        <f>IFERROR(H44/H47,"")</f>
        <v/>
      </c>
    </row>
    <row r="45" spans="1:9">
      <c r="A45" s="96">
        <v>11</v>
      </c>
      <c r="B45" s="97">
        <f t="shared" si="10"/>
        <v>43866</v>
      </c>
      <c r="C45" s="105"/>
      <c r="D45" s="102" t="str">
        <f>IFERROR(C45/C47,"")</f>
        <v/>
      </c>
      <c r="F45" s="96">
        <v>11</v>
      </c>
      <c r="G45" s="97">
        <f t="shared" si="11"/>
        <v>44232</v>
      </c>
      <c r="H45" s="103"/>
      <c r="I45" s="102" t="str">
        <f>IFERROR(H45/H47,"")</f>
        <v/>
      </c>
    </row>
    <row r="46" spans="1:9">
      <c r="A46" s="96">
        <v>12</v>
      </c>
      <c r="B46" s="97">
        <f t="shared" si="10"/>
        <v>43897</v>
      </c>
      <c r="C46" s="105"/>
      <c r="D46" s="102" t="str">
        <f>IFERROR(C46/C47,"")</f>
        <v/>
      </c>
      <c r="F46" s="96">
        <v>12</v>
      </c>
      <c r="G46" s="97">
        <f t="shared" si="11"/>
        <v>44263</v>
      </c>
      <c r="H46" s="103"/>
      <c r="I46" s="102" t="str">
        <f>IFERROR(H46/H47,"")</f>
        <v/>
      </c>
    </row>
    <row r="47" spans="1:9">
      <c r="A47" s="589" t="s">
        <v>194</v>
      </c>
      <c r="B47" s="590"/>
      <c r="C47" s="100">
        <f t="shared" ref="C47:I47" si="12">SUM(C35:C46)</f>
        <v>0</v>
      </c>
      <c r="D47" s="104">
        <f t="shared" si="12"/>
        <v>0</v>
      </c>
      <c r="F47" s="584" t="s">
        <v>194</v>
      </c>
      <c r="G47" s="584"/>
      <c r="H47" s="100">
        <f t="shared" si="12"/>
        <v>0</v>
      </c>
      <c r="I47" s="104">
        <f t="shared" si="12"/>
        <v>0</v>
      </c>
    </row>
    <row r="49" spans="1:9">
      <c r="A49" s="586" t="s">
        <v>333</v>
      </c>
      <c r="B49" s="587"/>
      <c r="C49" s="587"/>
      <c r="D49" s="588"/>
      <c r="F49" s="586" t="s">
        <v>333</v>
      </c>
      <c r="G49" s="587"/>
      <c r="H49" s="587"/>
      <c r="I49" s="588"/>
    </row>
    <row r="50" spans="1:9">
      <c r="A50" s="94" t="s">
        <v>316</v>
      </c>
      <c r="B50" s="94" t="s">
        <v>317</v>
      </c>
      <c r="C50" s="95" t="s">
        <v>318</v>
      </c>
      <c r="D50" s="96"/>
      <c r="F50" s="94" t="s">
        <v>316</v>
      </c>
      <c r="G50" s="94" t="s">
        <v>317</v>
      </c>
      <c r="H50" s="95" t="s">
        <v>318</v>
      </c>
      <c r="I50" s="96"/>
    </row>
    <row r="51" spans="1:9">
      <c r="A51" s="96">
        <v>1</v>
      </c>
      <c r="B51" s="101">
        <f>B35</f>
        <v>43556</v>
      </c>
      <c r="C51" s="105"/>
      <c r="D51" s="102" t="str">
        <f>IFERROR(C51/C63,"")</f>
        <v/>
      </c>
      <c r="F51" s="96">
        <v>1</v>
      </c>
      <c r="G51" s="101">
        <f>G35</f>
        <v>43922</v>
      </c>
      <c r="H51" s="103"/>
      <c r="I51" s="102" t="str">
        <f>IFERROR(H51/H63,"")</f>
        <v/>
      </c>
    </row>
    <row r="52" spans="1:9">
      <c r="A52" s="96">
        <v>2</v>
      </c>
      <c r="B52" s="97">
        <f>B51+31</f>
        <v>43587</v>
      </c>
      <c r="C52" s="105"/>
      <c r="D52" s="102" t="str">
        <f>IFERROR(C52/C63,"")</f>
        <v/>
      </c>
      <c r="F52" s="96">
        <v>2</v>
      </c>
      <c r="G52" s="97">
        <f>G51+31</f>
        <v>43953</v>
      </c>
      <c r="H52" s="105"/>
      <c r="I52" s="102" t="str">
        <f>IFERROR(H52/H63,"")</f>
        <v/>
      </c>
    </row>
    <row r="53" spans="1:9">
      <c r="A53" s="96">
        <v>3</v>
      </c>
      <c r="B53" s="97">
        <f t="shared" ref="B53:B62" si="13">B52+31</f>
        <v>43618</v>
      </c>
      <c r="C53" s="105"/>
      <c r="D53" s="102" t="str">
        <f>IFERROR(C53/C63,"")</f>
        <v/>
      </c>
      <c r="F53" s="96">
        <v>3</v>
      </c>
      <c r="G53" s="97">
        <f t="shared" ref="G53:G62" si="14">G52+31</f>
        <v>43984</v>
      </c>
      <c r="H53" s="105"/>
      <c r="I53" s="102" t="str">
        <f>IFERROR(H53/H63,"")</f>
        <v/>
      </c>
    </row>
    <row r="54" spans="1:9">
      <c r="A54" s="96">
        <v>4</v>
      </c>
      <c r="B54" s="97">
        <f t="shared" si="13"/>
        <v>43649</v>
      </c>
      <c r="C54" s="105"/>
      <c r="D54" s="102" t="str">
        <f>IFERROR(C54/C63,"")</f>
        <v/>
      </c>
      <c r="F54" s="96">
        <v>4</v>
      </c>
      <c r="G54" s="97">
        <f t="shared" si="14"/>
        <v>44015</v>
      </c>
      <c r="H54" s="105"/>
      <c r="I54" s="102" t="str">
        <f>IFERROR(H54/H63,"")</f>
        <v/>
      </c>
    </row>
    <row r="55" spans="1:9">
      <c r="A55" s="96">
        <v>5</v>
      </c>
      <c r="B55" s="97">
        <f t="shared" si="13"/>
        <v>43680</v>
      </c>
      <c r="C55" s="105"/>
      <c r="D55" s="102" t="str">
        <f>IFERROR(C55/C63,"")</f>
        <v/>
      </c>
      <c r="F55" s="96">
        <v>5</v>
      </c>
      <c r="G55" s="97">
        <f t="shared" si="14"/>
        <v>44046</v>
      </c>
      <c r="H55" s="105"/>
      <c r="I55" s="102" t="str">
        <f>IFERROR(H55/H63,"")</f>
        <v/>
      </c>
    </row>
    <row r="56" spans="1:9">
      <c r="A56" s="96">
        <v>6</v>
      </c>
      <c r="B56" s="97">
        <f t="shared" si="13"/>
        <v>43711</v>
      </c>
      <c r="C56" s="105"/>
      <c r="D56" s="102" t="str">
        <f>IFERROR(C56/C63,"")</f>
        <v/>
      </c>
      <c r="F56" s="96">
        <v>6</v>
      </c>
      <c r="G56" s="97">
        <f t="shared" si="14"/>
        <v>44077</v>
      </c>
      <c r="H56" s="105"/>
      <c r="I56" s="102" t="str">
        <f>IFERROR(H56/H63,"")</f>
        <v/>
      </c>
    </row>
    <row r="57" spans="1:9">
      <c r="A57" s="96">
        <v>7</v>
      </c>
      <c r="B57" s="97">
        <f t="shared" si="13"/>
        <v>43742</v>
      </c>
      <c r="C57" s="105"/>
      <c r="D57" s="102" t="str">
        <f>IFERROR(C57/C63,"")</f>
        <v/>
      </c>
      <c r="F57" s="96">
        <v>7</v>
      </c>
      <c r="G57" s="97">
        <f t="shared" si="14"/>
        <v>44108</v>
      </c>
      <c r="H57" s="105"/>
      <c r="I57" s="102" t="str">
        <f>IFERROR(H57/H63,"")</f>
        <v/>
      </c>
    </row>
    <row r="58" spans="1:9">
      <c r="A58" s="96">
        <v>8</v>
      </c>
      <c r="B58" s="97">
        <f t="shared" si="13"/>
        <v>43773</v>
      </c>
      <c r="C58" s="105"/>
      <c r="D58" s="102" t="str">
        <f>IFERROR(C58/C63,"")</f>
        <v/>
      </c>
      <c r="F58" s="96">
        <v>8</v>
      </c>
      <c r="G58" s="97">
        <f t="shared" si="14"/>
        <v>44139</v>
      </c>
      <c r="H58" s="105"/>
      <c r="I58" s="102" t="str">
        <f>IFERROR(H58/H63,"")</f>
        <v/>
      </c>
    </row>
    <row r="59" spans="1:9">
      <c r="A59" s="96">
        <v>9</v>
      </c>
      <c r="B59" s="97">
        <f t="shared" si="13"/>
        <v>43804</v>
      </c>
      <c r="C59" s="105"/>
      <c r="D59" s="102" t="str">
        <f>IFERROR(C59/C63,"")</f>
        <v/>
      </c>
      <c r="F59" s="96">
        <v>9</v>
      </c>
      <c r="G59" s="97">
        <f t="shared" si="14"/>
        <v>44170</v>
      </c>
      <c r="H59" s="105"/>
      <c r="I59" s="102" t="str">
        <f>IFERROR(H59/H63,"")</f>
        <v/>
      </c>
    </row>
    <row r="60" spans="1:9">
      <c r="A60" s="96">
        <v>10</v>
      </c>
      <c r="B60" s="97">
        <f t="shared" si="13"/>
        <v>43835</v>
      </c>
      <c r="C60" s="105"/>
      <c r="D60" s="102" t="str">
        <f>IFERROR(C60/C63,"")</f>
        <v/>
      </c>
      <c r="F60" s="96">
        <v>10</v>
      </c>
      <c r="G60" s="97">
        <f t="shared" si="14"/>
        <v>44201</v>
      </c>
      <c r="H60" s="105"/>
      <c r="I60" s="102" t="str">
        <f>IFERROR(H60/H63,"")</f>
        <v/>
      </c>
    </row>
    <row r="61" spans="1:9">
      <c r="A61" s="96">
        <v>11</v>
      </c>
      <c r="B61" s="97">
        <f t="shared" si="13"/>
        <v>43866</v>
      </c>
      <c r="C61" s="105"/>
      <c r="D61" s="102" t="str">
        <f>IFERROR(C61/C63,"")</f>
        <v/>
      </c>
      <c r="F61" s="96">
        <v>11</v>
      </c>
      <c r="G61" s="97">
        <f t="shared" si="14"/>
        <v>44232</v>
      </c>
      <c r="H61" s="105"/>
      <c r="I61" s="102" t="str">
        <f>IFERROR(H61/H63,"")</f>
        <v/>
      </c>
    </row>
    <row r="62" spans="1:9">
      <c r="A62" s="96">
        <v>12</v>
      </c>
      <c r="B62" s="97">
        <f t="shared" si="13"/>
        <v>43897</v>
      </c>
      <c r="C62" s="105"/>
      <c r="D62" s="102" t="str">
        <f>IFERROR(C62/C63,"")</f>
        <v/>
      </c>
      <c r="F62" s="96">
        <v>12</v>
      </c>
      <c r="G62" s="97">
        <f t="shared" si="14"/>
        <v>44263</v>
      </c>
      <c r="H62" s="105"/>
      <c r="I62" s="102" t="str">
        <f>IFERROR(H62/H63,"")</f>
        <v/>
      </c>
    </row>
    <row r="63" spans="1:9">
      <c r="A63" s="584" t="s">
        <v>194</v>
      </c>
      <c r="B63" s="584"/>
      <c r="C63" s="100">
        <f t="shared" ref="C63:I63" si="15">SUM(C51:C62)</f>
        <v>0</v>
      </c>
      <c r="D63" s="104">
        <f t="shared" si="15"/>
        <v>0</v>
      </c>
      <c r="F63" s="584" t="s">
        <v>194</v>
      </c>
      <c r="G63" s="584"/>
      <c r="H63" s="100">
        <f t="shared" si="15"/>
        <v>0</v>
      </c>
      <c r="I63" s="104">
        <f t="shared" si="15"/>
        <v>0</v>
      </c>
    </row>
    <row r="65" spans="1:9">
      <c r="A65" s="586" t="s">
        <v>334</v>
      </c>
      <c r="B65" s="587"/>
      <c r="C65" s="587"/>
      <c r="D65" s="588"/>
      <c r="F65" s="586" t="s">
        <v>334</v>
      </c>
      <c r="G65" s="587"/>
      <c r="H65" s="587"/>
      <c r="I65" s="588"/>
    </row>
    <row r="66" spans="1:9">
      <c r="A66" s="94" t="s">
        <v>316</v>
      </c>
      <c r="B66" s="94" t="s">
        <v>317</v>
      </c>
      <c r="C66" s="95" t="s">
        <v>318</v>
      </c>
      <c r="D66" s="96"/>
      <c r="F66" s="94" t="s">
        <v>316</v>
      </c>
      <c r="G66" s="94" t="s">
        <v>317</v>
      </c>
      <c r="H66" s="95" t="s">
        <v>318</v>
      </c>
      <c r="I66" s="96"/>
    </row>
    <row r="67" spans="1:9">
      <c r="A67" s="96">
        <v>1</v>
      </c>
      <c r="B67" s="101">
        <f>B51</f>
        <v>43556</v>
      </c>
      <c r="C67" s="105"/>
      <c r="D67" s="102" t="str">
        <f>IFERROR(C67/C79,"")</f>
        <v/>
      </c>
      <c r="F67" s="96">
        <v>1</v>
      </c>
      <c r="G67" s="101">
        <f>G51</f>
        <v>43922</v>
      </c>
      <c r="H67" s="103"/>
      <c r="I67" s="102" t="str">
        <f>IFERROR(H67/H79,"")</f>
        <v/>
      </c>
    </row>
    <row r="68" spans="1:9">
      <c r="A68" s="96">
        <v>2</v>
      </c>
      <c r="B68" s="97">
        <f>B67+31</f>
        <v>43587</v>
      </c>
      <c r="C68" s="105"/>
      <c r="D68" s="102" t="str">
        <f>IFERROR(C68/C79,"")</f>
        <v/>
      </c>
      <c r="F68" s="96">
        <v>2</v>
      </c>
      <c r="G68" s="97">
        <f>G67+31</f>
        <v>43953</v>
      </c>
      <c r="H68" s="105"/>
      <c r="I68" s="102" t="str">
        <f>IFERROR(H68/H79,"")</f>
        <v/>
      </c>
    </row>
    <row r="69" spans="1:9">
      <c r="A69" s="96">
        <v>3</v>
      </c>
      <c r="B69" s="97">
        <f t="shared" ref="B69:B78" si="16">B68+31</f>
        <v>43618</v>
      </c>
      <c r="C69" s="105"/>
      <c r="D69" s="102" t="str">
        <f>IFERROR(C69/C79,"")</f>
        <v/>
      </c>
      <c r="F69" s="96">
        <v>3</v>
      </c>
      <c r="G69" s="97">
        <f t="shared" ref="G69:G78" si="17">G68+31</f>
        <v>43984</v>
      </c>
      <c r="H69" s="105"/>
      <c r="I69" s="102" t="str">
        <f>IFERROR(H69/H79,"")</f>
        <v/>
      </c>
    </row>
    <row r="70" spans="1:9">
      <c r="A70" s="96">
        <v>4</v>
      </c>
      <c r="B70" s="97">
        <f t="shared" si="16"/>
        <v>43649</v>
      </c>
      <c r="C70" s="105"/>
      <c r="D70" s="102" t="str">
        <f>IFERROR(C70/C79,"")</f>
        <v/>
      </c>
      <c r="F70" s="96">
        <v>4</v>
      </c>
      <c r="G70" s="97">
        <f t="shared" si="17"/>
        <v>44015</v>
      </c>
      <c r="H70" s="105"/>
      <c r="I70" s="102" t="str">
        <f>IFERROR(H70/H79,"")</f>
        <v/>
      </c>
    </row>
    <row r="71" spans="1:9">
      <c r="A71" s="96">
        <v>5</v>
      </c>
      <c r="B71" s="97">
        <f t="shared" si="16"/>
        <v>43680</v>
      </c>
      <c r="C71" s="105"/>
      <c r="D71" s="102" t="str">
        <f>IFERROR(C71/C79,"")</f>
        <v/>
      </c>
      <c r="F71" s="96">
        <v>5</v>
      </c>
      <c r="G71" s="97">
        <f t="shared" si="17"/>
        <v>44046</v>
      </c>
      <c r="H71" s="105"/>
      <c r="I71" s="102" t="str">
        <f>IFERROR(H71/H79,"")</f>
        <v/>
      </c>
    </row>
    <row r="72" spans="1:9">
      <c r="A72" s="96">
        <v>6</v>
      </c>
      <c r="B72" s="97">
        <f t="shared" si="16"/>
        <v>43711</v>
      </c>
      <c r="C72" s="105"/>
      <c r="D72" s="102" t="str">
        <f>IFERROR(C72/C79,"")</f>
        <v/>
      </c>
      <c r="F72" s="96">
        <v>6</v>
      </c>
      <c r="G72" s="97">
        <f t="shared" si="17"/>
        <v>44077</v>
      </c>
      <c r="H72" s="105"/>
      <c r="I72" s="102" t="str">
        <f>IFERROR(H72/H79,"")</f>
        <v/>
      </c>
    </row>
    <row r="73" spans="1:9">
      <c r="A73" s="96">
        <v>7</v>
      </c>
      <c r="B73" s="97">
        <f t="shared" si="16"/>
        <v>43742</v>
      </c>
      <c r="C73" s="105"/>
      <c r="D73" s="102" t="str">
        <f>IFERROR(C73/C79,"")</f>
        <v/>
      </c>
      <c r="F73" s="96">
        <v>7</v>
      </c>
      <c r="G73" s="97">
        <f t="shared" si="17"/>
        <v>44108</v>
      </c>
      <c r="H73" s="105"/>
      <c r="I73" s="102" t="str">
        <f>IFERROR(H73/H79,"")</f>
        <v/>
      </c>
    </row>
    <row r="74" spans="1:9">
      <c r="A74" s="96">
        <v>8</v>
      </c>
      <c r="B74" s="97">
        <f t="shared" si="16"/>
        <v>43773</v>
      </c>
      <c r="C74" s="105"/>
      <c r="D74" s="102" t="str">
        <f>IFERROR(C74/C79,"")</f>
        <v/>
      </c>
      <c r="F74" s="96">
        <v>8</v>
      </c>
      <c r="G74" s="97">
        <f t="shared" si="17"/>
        <v>44139</v>
      </c>
      <c r="H74" s="105"/>
      <c r="I74" s="102" t="str">
        <f>IFERROR(H74/H79,"")</f>
        <v/>
      </c>
    </row>
    <row r="75" spans="1:9">
      <c r="A75" s="96">
        <v>9</v>
      </c>
      <c r="B75" s="97">
        <f t="shared" si="16"/>
        <v>43804</v>
      </c>
      <c r="C75" s="105"/>
      <c r="D75" s="102" t="str">
        <f>IFERROR(C75/C79,"")</f>
        <v/>
      </c>
      <c r="F75" s="96">
        <v>9</v>
      </c>
      <c r="G75" s="97">
        <f t="shared" si="17"/>
        <v>44170</v>
      </c>
      <c r="H75" s="105"/>
      <c r="I75" s="102" t="str">
        <f>IFERROR(H75/H79,"")</f>
        <v/>
      </c>
    </row>
    <row r="76" spans="1:9">
      <c r="A76" s="96">
        <v>10</v>
      </c>
      <c r="B76" s="97">
        <f t="shared" si="16"/>
        <v>43835</v>
      </c>
      <c r="C76" s="105"/>
      <c r="D76" s="102" t="str">
        <f>IFERROR(C76/C79,"")</f>
        <v/>
      </c>
      <c r="F76" s="96">
        <v>10</v>
      </c>
      <c r="G76" s="97">
        <f t="shared" si="17"/>
        <v>44201</v>
      </c>
      <c r="H76" s="105"/>
      <c r="I76" s="102" t="str">
        <f>IFERROR(H76/H79,"")</f>
        <v/>
      </c>
    </row>
    <row r="77" spans="1:9">
      <c r="A77" s="96">
        <v>11</v>
      </c>
      <c r="B77" s="97">
        <f t="shared" si="16"/>
        <v>43866</v>
      </c>
      <c r="C77" s="105"/>
      <c r="D77" s="102" t="str">
        <f>IFERROR(C77/C79,"")</f>
        <v/>
      </c>
      <c r="F77" s="96">
        <v>11</v>
      </c>
      <c r="G77" s="97">
        <f t="shared" si="17"/>
        <v>44232</v>
      </c>
      <c r="H77" s="105"/>
      <c r="I77" s="102" t="str">
        <f>IFERROR(H77/H79,"")</f>
        <v/>
      </c>
    </row>
    <row r="78" spans="1:9">
      <c r="A78" s="96">
        <v>12</v>
      </c>
      <c r="B78" s="97">
        <f t="shared" si="16"/>
        <v>43897</v>
      </c>
      <c r="C78" s="105"/>
      <c r="D78" s="102" t="str">
        <f>IFERROR(C78/C79,"")</f>
        <v/>
      </c>
      <c r="F78" s="96">
        <v>12</v>
      </c>
      <c r="G78" s="97">
        <f t="shared" si="17"/>
        <v>44263</v>
      </c>
      <c r="H78" s="105"/>
      <c r="I78" s="102" t="str">
        <f>IFERROR(H78/H79,"")</f>
        <v/>
      </c>
    </row>
    <row r="79" spans="1:9">
      <c r="A79" s="584" t="s">
        <v>194</v>
      </c>
      <c r="B79" s="584"/>
      <c r="C79" s="100">
        <f t="shared" ref="C79:I79" si="18">SUM(C67:C78)</f>
        <v>0</v>
      </c>
      <c r="D79" s="104">
        <f t="shared" si="18"/>
        <v>0</v>
      </c>
      <c r="F79" s="584" t="s">
        <v>194</v>
      </c>
      <c r="G79" s="584"/>
      <c r="H79" s="100">
        <f t="shared" si="18"/>
        <v>0</v>
      </c>
      <c r="I79" s="104">
        <f t="shared" si="18"/>
        <v>0</v>
      </c>
    </row>
    <row r="81" spans="1:9">
      <c r="A81" s="586" t="s">
        <v>335</v>
      </c>
      <c r="B81" s="587"/>
      <c r="C81" s="587"/>
      <c r="D81" s="588"/>
      <c r="F81" s="586" t="s">
        <v>335</v>
      </c>
      <c r="G81" s="587"/>
      <c r="H81" s="587"/>
      <c r="I81" s="588"/>
    </row>
    <row r="82" spans="1:9">
      <c r="A82" s="94" t="s">
        <v>316</v>
      </c>
      <c r="B82" s="94" t="s">
        <v>317</v>
      </c>
      <c r="C82" s="95" t="s">
        <v>318</v>
      </c>
      <c r="D82" s="96"/>
      <c r="F82" s="94" t="s">
        <v>316</v>
      </c>
      <c r="G82" s="94" t="s">
        <v>317</v>
      </c>
      <c r="H82" s="95" t="s">
        <v>318</v>
      </c>
      <c r="I82" s="96"/>
    </row>
    <row r="83" spans="1:9">
      <c r="A83" s="96">
        <v>1</v>
      </c>
      <c r="B83" s="101">
        <f>B67</f>
        <v>43556</v>
      </c>
      <c r="C83" s="105"/>
      <c r="D83" s="102" t="str">
        <f>IFERROR(C83/C95,"")</f>
        <v/>
      </c>
      <c r="F83" s="96">
        <v>1</v>
      </c>
      <c r="G83" s="101">
        <f>G67</f>
        <v>43922</v>
      </c>
      <c r="H83" s="105"/>
      <c r="I83" s="102" t="str">
        <f>IFERROR(H83/H95,"")</f>
        <v/>
      </c>
    </row>
    <row r="84" spans="1:9">
      <c r="A84" s="96">
        <v>2</v>
      </c>
      <c r="B84" s="97">
        <f>B83+31</f>
        <v>43587</v>
      </c>
      <c r="C84" s="105"/>
      <c r="D84" s="102" t="str">
        <f>IFERROR(C84/C95,"")</f>
        <v/>
      </c>
      <c r="F84" s="96">
        <v>2</v>
      </c>
      <c r="G84" s="97">
        <f>G83+31</f>
        <v>43953</v>
      </c>
      <c r="H84" s="105"/>
      <c r="I84" s="102" t="str">
        <f>IFERROR(H84/H95,"")</f>
        <v/>
      </c>
    </row>
    <row r="85" spans="1:9">
      <c r="A85" s="96">
        <v>3</v>
      </c>
      <c r="B85" s="97">
        <f t="shared" ref="B85:B94" si="19">B84+31</f>
        <v>43618</v>
      </c>
      <c r="C85" s="105"/>
      <c r="D85" s="102" t="str">
        <f>IFERROR(C85/C95,"")</f>
        <v/>
      </c>
      <c r="F85" s="96">
        <v>3</v>
      </c>
      <c r="G85" s="97">
        <f t="shared" ref="G85:G94" si="20">G84+31</f>
        <v>43984</v>
      </c>
      <c r="H85" s="105"/>
      <c r="I85" s="102" t="str">
        <f>IFERROR(H85/H95,"")</f>
        <v/>
      </c>
    </row>
    <row r="86" spans="1:9">
      <c r="A86" s="96">
        <v>4</v>
      </c>
      <c r="B86" s="97">
        <f t="shared" si="19"/>
        <v>43649</v>
      </c>
      <c r="C86" s="105"/>
      <c r="D86" s="102" t="str">
        <f>IFERROR(C86/C95,"")</f>
        <v/>
      </c>
      <c r="F86" s="96">
        <v>4</v>
      </c>
      <c r="G86" s="97">
        <f t="shared" si="20"/>
        <v>44015</v>
      </c>
      <c r="H86" s="105"/>
      <c r="I86" s="102" t="str">
        <f>IFERROR(H86/H95,"")</f>
        <v/>
      </c>
    </row>
    <row r="87" spans="1:9">
      <c r="A87" s="96">
        <v>5</v>
      </c>
      <c r="B87" s="97">
        <f t="shared" si="19"/>
        <v>43680</v>
      </c>
      <c r="C87" s="105"/>
      <c r="D87" s="102" t="str">
        <f>IFERROR(C87/C95,"")</f>
        <v/>
      </c>
      <c r="F87" s="96">
        <v>5</v>
      </c>
      <c r="G87" s="97">
        <f t="shared" si="20"/>
        <v>44046</v>
      </c>
      <c r="H87" s="105"/>
      <c r="I87" s="102" t="str">
        <f>IFERROR(H87/H95,"")</f>
        <v/>
      </c>
    </row>
    <row r="88" spans="1:9">
      <c r="A88" s="96">
        <v>6</v>
      </c>
      <c r="B88" s="97">
        <f t="shared" si="19"/>
        <v>43711</v>
      </c>
      <c r="C88" s="105"/>
      <c r="D88" s="102" t="str">
        <f>IFERROR(C88/C95,"")</f>
        <v/>
      </c>
      <c r="F88" s="96">
        <v>6</v>
      </c>
      <c r="G88" s="97">
        <f t="shared" si="20"/>
        <v>44077</v>
      </c>
      <c r="H88" s="105"/>
      <c r="I88" s="102" t="str">
        <f>IFERROR(H88/H95,"")</f>
        <v/>
      </c>
    </row>
    <row r="89" spans="1:9">
      <c r="A89" s="96">
        <v>7</v>
      </c>
      <c r="B89" s="97">
        <f t="shared" si="19"/>
        <v>43742</v>
      </c>
      <c r="C89" s="105"/>
      <c r="D89" s="102" t="str">
        <f>IFERROR(C89/C95,"")</f>
        <v/>
      </c>
      <c r="F89" s="96">
        <v>7</v>
      </c>
      <c r="G89" s="97">
        <f t="shared" si="20"/>
        <v>44108</v>
      </c>
      <c r="H89" s="105"/>
      <c r="I89" s="102" t="str">
        <f>IFERROR(H89/H95,"")</f>
        <v/>
      </c>
    </row>
    <row r="90" spans="1:9">
      <c r="A90" s="96">
        <v>8</v>
      </c>
      <c r="B90" s="97">
        <f t="shared" si="19"/>
        <v>43773</v>
      </c>
      <c r="C90" s="105"/>
      <c r="D90" s="102" t="str">
        <f>IFERROR(C90/C95,"")</f>
        <v/>
      </c>
      <c r="F90" s="96">
        <v>8</v>
      </c>
      <c r="G90" s="97">
        <f t="shared" si="20"/>
        <v>44139</v>
      </c>
      <c r="H90" s="105"/>
      <c r="I90" s="102" t="str">
        <f>IFERROR(H90/H95,"")</f>
        <v/>
      </c>
    </row>
    <row r="91" spans="1:9">
      <c r="A91" s="96">
        <v>9</v>
      </c>
      <c r="B91" s="97">
        <f t="shared" si="19"/>
        <v>43804</v>
      </c>
      <c r="C91" s="105"/>
      <c r="D91" s="102" t="str">
        <f>IFERROR(C91/C95,"")</f>
        <v/>
      </c>
      <c r="F91" s="96">
        <v>9</v>
      </c>
      <c r="G91" s="97">
        <f t="shared" si="20"/>
        <v>44170</v>
      </c>
      <c r="H91" s="105"/>
      <c r="I91" s="102" t="str">
        <f>IFERROR(H91/H95,"")</f>
        <v/>
      </c>
    </row>
    <row r="92" spans="1:9">
      <c r="A92" s="96">
        <v>10</v>
      </c>
      <c r="B92" s="97">
        <f t="shared" si="19"/>
        <v>43835</v>
      </c>
      <c r="C92" s="105"/>
      <c r="D92" s="102" t="str">
        <f>IFERROR(C92/C95,"")</f>
        <v/>
      </c>
      <c r="F92" s="96">
        <v>10</v>
      </c>
      <c r="G92" s="97">
        <f t="shared" si="20"/>
        <v>44201</v>
      </c>
      <c r="H92" s="105"/>
      <c r="I92" s="102" t="str">
        <f>IFERROR(H92/H95,"")</f>
        <v/>
      </c>
    </row>
    <row r="93" spans="1:9">
      <c r="A93" s="96">
        <v>11</v>
      </c>
      <c r="B93" s="97">
        <f t="shared" si="19"/>
        <v>43866</v>
      </c>
      <c r="C93" s="105"/>
      <c r="D93" s="102" t="str">
        <f>IFERROR(C93/C95,"")</f>
        <v/>
      </c>
      <c r="F93" s="96">
        <v>11</v>
      </c>
      <c r="G93" s="97">
        <f t="shared" si="20"/>
        <v>44232</v>
      </c>
      <c r="H93" s="105"/>
      <c r="I93" s="102" t="str">
        <f>IFERROR(H93/H95,"")</f>
        <v/>
      </c>
    </row>
    <row r="94" spans="1:9">
      <c r="A94" s="96">
        <v>12</v>
      </c>
      <c r="B94" s="97">
        <f t="shared" si="19"/>
        <v>43897</v>
      </c>
      <c r="C94" s="105"/>
      <c r="D94" s="102" t="str">
        <f>IFERROR(C94/C95,"")</f>
        <v/>
      </c>
      <c r="F94" s="96">
        <v>12</v>
      </c>
      <c r="G94" s="97">
        <f t="shared" si="20"/>
        <v>44263</v>
      </c>
      <c r="H94" s="105"/>
      <c r="I94" s="102" t="str">
        <f>IFERROR(H94/H95,"")</f>
        <v/>
      </c>
    </row>
    <row r="95" spans="1:9">
      <c r="A95" s="584" t="s">
        <v>194</v>
      </c>
      <c r="B95" s="584"/>
      <c r="C95" s="100">
        <f t="shared" ref="C95:I95" si="21">SUM(C83:C94)</f>
        <v>0</v>
      </c>
      <c r="D95" s="104">
        <f t="shared" si="21"/>
        <v>0</v>
      </c>
      <c r="F95" s="584" t="s">
        <v>194</v>
      </c>
      <c r="G95" s="584"/>
      <c r="H95" s="100">
        <f t="shared" si="21"/>
        <v>0</v>
      </c>
      <c r="I95" s="104">
        <f t="shared" si="21"/>
        <v>0</v>
      </c>
    </row>
    <row r="97" spans="1:9">
      <c r="A97" s="586" t="s">
        <v>336</v>
      </c>
      <c r="B97" s="587"/>
      <c r="C97" s="587"/>
      <c r="D97" s="588"/>
      <c r="F97" s="586" t="s">
        <v>336</v>
      </c>
      <c r="G97" s="587"/>
      <c r="H97" s="587"/>
      <c r="I97" s="588"/>
    </row>
    <row r="98" spans="1:9">
      <c r="A98" s="94" t="s">
        <v>316</v>
      </c>
      <c r="B98" s="94" t="s">
        <v>317</v>
      </c>
      <c r="C98" s="95" t="s">
        <v>318</v>
      </c>
      <c r="D98" s="96"/>
      <c r="F98" s="94" t="s">
        <v>316</v>
      </c>
      <c r="G98" s="94" t="s">
        <v>317</v>
      </c>
      <c r="H98" s="95" t="s">
        <v>318</v>
      </c>
      <c r="I98" s="96"/>
    </row>
    <row r="99" spans="1:9">
      <c r="A99" s="96">
        <v>1</v>
      </c>
      <c r="B99" s="101">
        <f>B83</f>
        <v>43556</v>
      </c>
      <c r="C99" s="105"/>
      <c r="D99" s="102" t="str">
        <f>IFERROR(C99/C111,"")</f>
        <v/>
      </c>
      <c r="F99" s="96">
        <v>1</v>
      </c>
      <c r="G99" s="101">
        <f>G83</f>
        <v>43922</v>
      </c>
      <c r="H99" s="105"/>
      <c r="I99" s="102" t="str">
        <f>IFERROR(H99/H111,"")</f>
        <v/>
      </c>
    </row>
    <row r="100" spans="1:9">
      <c r="A100" s="96">
        <v>2</v>
      </c>
      <c r="B100" s="97">
        <f>B99+31</f>
        <v>43587</v>
      </c>
      <c r="C100" s="105"/>
      <c r="D100" s="102" t="str">
        <f>IFERROR(C100/C111,"")</f>
        <v/>
      </c>
      <c r="F100" s="96">
        <v>2</v>
      </c>
      <c r="G100" s="97">
        <f>G99+31</f>
        <v>43953</v>
      </c>
      <c r="H100" s="105"/>
      <c r="I100" s="102" t="str">
        <f>IFERROR(H100/H111,"")</f>
        <v/>
      </c>
    </row>
    <row r="101" spans="1:9">
      <c r="A101" s="96">
        <v>3</v>
      </c>
      <c r="B101" s="97">
        <f t="shared" ref="B101:B110" si="22">B100+31</f>
        <v>43618</v>
      </c>
      <c r="C101" s="105"/>
      <c r="D101" s="102" t="str">
        <f>IFERROR(C101/C111,"")</f>
        <v/>
      </c>
      <c r="F101" s="96">
        <v>3</v>
      </c>
      <c r="G101" s="97">
        <f t="shared" ref="G101:G110" si="23">G100+31</f>
        <v>43984</v>
      </c>
      <c r="H101" s="105"/>
      <c r="I101" s="102" t="str">
        <f>IFERROR(H101/H111,"")</f>
        <v/>
      </c>
    </row>
    <row r="102" spans="1:9">
      <c r="A102" s="96">
        <v>4</v>
      </c>
      <c r="B102" s="97">
        <f t="shared" si="22"/>
        <v>43649</v>
      </c>
      <c r="C102" s="105"/>
      <c r="D102" s="102" t="str">
        <f>IFERROR(C102/C111,"")</f>
        <v/>
      </c>
      <c r="F102" s="96">
        <v>4</v>
      </c>
      <c r="G102" s="97">
        <f t="shared" si="23"/>
        <v>44015</v>
      </c>
      <c r="H102" s="105"/>
      <c r="I102" s="102" t="str">
        <f>IFERROR(H102/H111,"")</f>
        <v/>
      </c>
    </row>
    <row r="103" spans="1:9">
      <c r="A103" s="96">
        <v>5</v>
      </c>
      <c r="B103" s="97">
        <f t="shared" si="22"/>
        <v>43680</v>
      </c>
      <c r="C103" s="105"/>
      <c r="D103" s="102" t="str">
        <f>IFERROR(C103/C111,"")</f>
        <v/>
      </c>
      <c r="F103" s="96">
        <v>5</v>
      </c>
      <c r="G103" s="97">
        <f t="shared" si="23"/>
        <v>44046</v>
      </c>
      <c r="H103" s="105"/>
      <c r="I103" s="102" t="str">
        <f>IFERROR(H103/H111,"")</f>
        <v/>
      </c>
    </row>
    <row r="104" spans="1:9">
      <c r="A104" s="96">
        <v>6</v>
      </c>
      <c r="B104" s="97">
        <f t="shared" si="22"/>
        <v>43711</v>
      </c>
      <c r="C104" s="105"/>
      <c r="D104" s="102" t="str">
        <f>IFERROR(C104/C111,"")</f>
        <v/>
      </c>
      <c r="F104" s="96">
        <v>6</v>
      </c>
      <c r="G104" s="97">
        <f t="shared" si="23"/>
        <v>44077</v>
      </c>
      <c r="H104" s="105"/>
      <c r="I104" s="102" t="str">
        <f>IFERROR(H104/H111,"")</f>
        <v/>
      </c>
    </row>
    <row r="105" spans="1:9">
      <c r="A105" s="96">
        <v>7</v>
      </c>
      <c r="B105" s="97">
        <f t="shared" si="22"/>
        <v>43742</v>
      </c>
      <c r="C105" s="105"/>
      <c r="D105" s="102" t="str">
        <f>IFERROR(C105/C111,"")</f>
        <v/>
      </c>
      <c r="F105" s="96">
        <v>7</v>
      </c>
      <c r="G105" s="97">
        <f t="shared" si="23"/>
        <v>44108</v>
      </c>
      <c r="H105" s="105"/>
      <c r="I105" s="102" t="str">
        <f>IFERROR(H105/H111,"")</f>
        <v/>
      </c>
    </row>
    <row r="106" spans="1:9">
      <c r="A106" s="96">
        <v>8</v>
      </c>
      <c r="B106" s="97">
        <f t="shared" si="22"/>
        <v>43773</v>
      </c>
      <c r="C106" s="105"/>
      <c r="D106" s="102" t="str">
        <f>IFERROR(C106/C111,"")</f>
        <v/>
      </c>
      <c r="F106" s="96">
        <v>8</v>
      </c>
      <c r="G106" s="97">
        <f t="shared" si="23"/>
        <v>44139</v>
      </c>
      <c r="H106" s="105"/>
      <c r="I106" s="102" t="str">
        <f>IFERROR(H106/H111,"")</f>
        <v/>
      </c>
    </row>
    <row r="107" spans="1:9">
      <c r="A107" s="96">
        <v>9</v>
      </c>
      <c r="B107" s="97">
        <f t="shared" si="22"/>
        <v>43804</v>
      </c>
      <c r="C107" s="105"/>
      <c r="D107" s="102" t="str">
        <f>IFERROR(C107/C111,"")</f>
        <v/>
      </c>
      <c r="F107" s="96">
        <v>9</v>
      </c>
      <c r="G107" s="97">
        <f t="shared" si="23"/>
        <v>44170</v>
      </c>
      <c r="H107" s="105"/>
      <c r="I107" s="102" t="str">
        <f>IFERROR(H107/H111,"")</f>
        <v/>
      </c>
    </row>
    <row r="108" spans="1:9">
      <c r="A108" s="96">
        <v>10</v>
      </c>
      <c r="B108" s="97">
        <f t="shared" si="22"/>
        <v>43835</v>
      </c>
      <c r="C108" s="105"/>
      <c r="D108" s="102" t="str">
        <f>IFERROR(C108/C111,"")</f>
        <v/>
      </c>
      <c r="F108" s="96">
        <v>10</v>
      </c>
      <c r="G108" s="97">
        <f t="shared" si="23"/>
        <v>44201</v>
      </c>
      <c r="H108" s="105"/>
      <c r="I108" s="102" t="str">
        <f>IFERROR(H108/H111,"")</f>
        <v/>
      </c>
    </row>
    <row r="109" spans="1:9">
      <c r="A109" s="96">
        <v>11</v>
      </c>
      <c r="B109" s="97">
        <f t="shared" si="22"/>
        <v>43866</v>
      </c>
      <c r="C109" s="105"/>
      <c r="D109" s="102" t="str">
        <f>IFERROR(C109/C111,"")</f>
        <v/>
      </c>
      <c r="F109" s="96">
        <v>11</v>
      </c>
      <c r="G109" s="97">
        <f t="shared" si="23"/>
        <v>44232</v>
      </c>
      <c r="H109" s="105"/>
      <c r="I109" s="102" t="str">
        <f>IFERROR(H109/H111,"")</f>
        <v/>
      </c>
    </row>
    <row r="110" spans="1:9">
      <c r="A110" s="96">
        <v>12</v>
      </c>
      <c r="B110" s="97">
        <f t="shared" si="22"/>
        <v>43897</v>
      </c>
      <c r="C110" s="105"/>
      <c r="D110" s="102" t="str">
        <f>IFERROR(C110/C111,"")</f>
        <v/>
      </c>
      <c r="F110" s="96">
        <v>12</v>
      </c>
      <c r="G110" s="97">
        <f t="shared" si="23"/>
        <v>44263</v>
      </c>
      <c r="H110" s="105"/>
      <c r="I110" s="102" t="str">
        <f>IFERROR(H110/H111,"")</f>
        <v/>
      </c>
    </row>
    <row r="111" spans="1:9">
      <c r="A111" s="584" t="s">
        <v>194</v>
      </c>
      <c r="B111" s="584"/>
      <c r="C111" s="100">
        <f t="shared" ref="C111:I111" si="24">SUM(C99:C110)</f>
        <v>0</v>
      </c>
      <c r="D111" s="104">
        <f t="shared" si="24"/>
        <v>0</v>
      </c>
      <c r="F111" s="584" t="s">
        <v>194</v>
      </c>
      <c r="G111" s="584"/>
      <c r="H111" s="100">
        <f t="shared" si="24"/>
        <v>0</v>
      </c>
      <c r="I111" s="104">
        <f t="shared" si="24"/>
        <v>0</v>
      </c>
    </row>
  </sheetData>
  <sheetProtection algorithmName="SHA-512" hashValue="PWvf9en/B0jZKl9Ed1EA11NVcyw+NjcfGGKLh+KYGlMp/YTm0RPNCxDh9LjAkm7rOr/9BxMzmQUj3uldEa4uCA==" saltValue="qx/cnUO9MPF4h7YnAjnSZg==" spinCount="100000" sheet="1" objects="1" scenarios="1" formatCells="0" formatColumns="0" formatRows="0"/>
  <mergeCells count="33">
    <mergeCell ref="A1:D1"/>
    <mergeCell ref="F1:I1"/>
    <mergeCell ref="K1:L1"/>
    <mergeCell ref="N1:Q1"/>
    <mergeCell ref="A15:B15"/>
    <mergeCell ref="F15:G15"/>
    <mergeCell ref="A17:D17"/>
    <mergeCell ref="F17:I17"/>
    <mergeCell ref="K17:L17"/>
    <mergeCell ref="N17:Q17"/>
    <mergeCell ref="A31:B31"/>
    <mergeCell ref="F31:G31"/>
    <mergeCell ref="F33:I33"/>
    <mergeCell ref="A47:B47"/>
    <mergeCell ref="F47:G47"/>
    <mergeCell ref="A49:D49"/>
    <mergeCell ref="F49:I49"/>
    <mergeCell ref="A111:B111"/>
    <mergeCell ref="F111:G111"/>
    <mergeCell ref="N18:Q31"/>
    <mergeCell ref="A81:D81"/>
    <mergeCell ref="F81:I81"/>
    <mergeCell ref="A95:B95"/>
    <mergeCell ref="F95:G95"/>
    <mergeCell ref="A97:D97"/>
    <mergeCell ref="F97:I97"/>
    <mergeCell ref="A63:B63"/>
    <mergeCell ref="F63:G63"/>
    <mergeCell ref="A65:D65"/>
    <mergeCell ref="F65:I65"/>
    <mergeCell ref="A79:B79"/>
    <mergeCell ref="F79:G79"/>
    <mergeCell ref="A33:D33"/>
  </mergeCells>
  <conditionalFormatting sqref="Q3">
    <cfRule type="cellIs" dxfId="263" priority="1" operator="lessThan">
      <formula>0</formula>
    </cfRule>
  </conditionalFormatting>
  <conditionalFormatting sqref="O13">
    <cfRule type="cellIs" dxfId="262" priority="2" operator="lessThan">
      <formula>1%</formula>
    </cfRule>
    <cfRule type="cellIs" dxfId="261" priority="3" operator="greaterThanOrEqual">
      <formula>1%</formula>
    </cfRule>
  </conditionalFormatting>
  <pageMargins left="0.69930555555555596" right="0.69930555555555596" top="0.75" bottom="0.75" header="0.3" footer="0.3"/>
  <pageSetup scale="18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D118"/>
  <sheetViews>
    <sheetView workbookViewId="0">
      <pane xSplit="8" ySplit="1" topLeftCell="V2" activePane="bottomRight" state="frozen"/>
      <selection pane="topRight"/>
      <selection pane="bottomLeft"/>
      <selection pane="bottomRight" activeCell="AC2" sqref="AC2"/>
    </sheetView>
  </sheetViews>
  <sheetFormatPr defaultColWidth="9" defaultRowHeight="15"/>
  <cols>
    <col min="1" max="1" width="5.42578125" customWidth="1"/>
    <col min="2" max="2" width="17.28515625" customWidth="1"/>
    <col min="3" max="3" width="13.85546875" customWidth="1"/>
    <col min="4" max="4" width="20.5703125" customWidth="1"/>
    <col min="5" max="5" width="13.140625" customWidth="1"/>
    <col min="6" max="6" width="18.42578125" customWidth="1"/>
    <col min="7" max="8" width="15" customWidth="1"/>
    <col min="9" max="9" width="14" customWidth="1"/>
    <col min="10" max="10" width="11.7109375" customWidth="1"/>
    <col min="11" max="11" width="7.28515625" customWidth="1"/>
    <col min="12" max="12" width="4.85546875" customWidth="1"/>
    <col min="13" max="13" width="11.140625" customWidth="1"/>
    <col min="14" max="14" width="12" customWidth="1"/>
    <col min="15" max="16" width="10" customWidth="1"/>
    <col min="17" max="17" width="19" customWidth="1"/>
    <col min="18" max="18" width="7.5703125" customWidth="1"/>
    <col min="19" max="29" width="8.5703125" customWidth="1"/>
    <col min="30" max="30" width="40.5703125" customWidth="1"/>
  </cols>
  <sheetData>
    <row r="1" spans="1:30">
      <c r="A1" s="1" t="s">
        <v>316</v>
      </c>
      <c r="B1" s="1" t="s">
        <v>337</v>
      </c>
      <c r="C1" s="1" t="s">
        <v>338</v>
      </c>
      <c r="D1" s="1" t="s">
        <v>339</v>
      </c>
      <c r="E1" s="1" t="s">
        <v>340</v>
      </c>
      <c r="F1" s="1" t="s">
        <v>341</v>
      </c>
      <c r="G1" s="71" t="s">
        <v>342</v>
      </c>
      <c r="H1" s="1" t="s">
        <v>343</v>
      </c>
      <c r="I1" s="1" t="s">
        <v>344</v>
      </c>
      <c r="J1" s="1" t="s">
        <v>345</v>
      </c>
      <c r="K1" s="1" t="s">
        <v>242</v>
      </c>
      <c r="L1" s="1" t="s">
        <v>346</v>
      </c>
      <c r="M1" s="1" t="s">
        <v>347</v>
      </c>
      <c r="N1" s="595" t="s">
        <v>348</v>
      </c>
      <c r="O1" s="596"/>
      <c r="P1" s="82" t="s">
        <v>349</v>
      </c>
      <c r="Q1" s="82" t="s">
        <v>350</v>
      </c>
      <c r="R1" s="3">
        <v>44562</v>
      </c>
      <c r="S1" s="4">
        <f t="shared" ref="S1:AC1" si="0">EDATE(R1,-1)</f>
        <v>44531</v>
      </c>
      <c r="T1" s="4">
        <f t="shared" si="0"/>
        <v>44501</v>
      </c>
      <c r="U1" s="4">
        <f t="shared" si="0"/>
        <v>44470</v>
      </c>
      <c r="V1" s="4">
        <f t="shared" si="0"/>
        <v>44440</v>
      </c>
      <c r="W1" s="4">
        <f t="shared" si="0"/>
        <v>44409</v>
      </c>
      <c r="X1" s="4">
        <f t="shared" si="0"/>
        <v>44378</v>
      </c>
      <c r="Y1" s="4">
        <f t="shared" si="0"/>
        <v>44348</v>
      </c>
      <c r="Z1" s="4">
        <f t="shared" si="0"/>
        <v>44317</v>
      </c>
      <c r="AA1" s="4">
        <f t="shared" si="0"/>
        <v>44287</v>
      </c>
      <c r="AB1" s="4">
        <f t="shared" si="0"/>
        <v>44256</v>
      </c>
      <c r="AC1" s="4">
        <f t="shared" si="0"/>
        <v>44228</v>
      </c>
      <c r="AD1" s="1" t="s">
        <v>68</v>
      </c>
    </row>
    <row r="2" spans="1:30" ht="14.25" customHeight="1">
      <c r="A2" s="72">
        <v>1</v>
      </c>
      <c r="B2" s="73"/>
      <c r="C2" s="74"/>
      <c r="D2" s="75"/>
      <c r="E2" s="76"/>
      <c r="F2" s="76"/>
      <c r="G2" s="77"/>
      <c r="H2" s="78"/>
      <c r="I2" s="78"/>
      <c r="J2" s="80"/>
      <c r="K2" s="75"/>
      <c r="L2" s="75"/>
      <c r="M2" s="83">
        <f t="shared" ref="M2:M66" si="1">K2-L2</f>
        <v>0</v>
      </c>
      <c r="N2" s="79"/>
      <c r="O2" s="84">
        <f>IF(M2&lt;4,0,IF(AND(N2="Yes",M2&gt;=12),J2,IF(AND(N2="Yes",M2&lt;12),J2*M2/12,"")))</f>
        <v>0</v>
      </c>
      <c r="P2" s="85" t="str">
        <f>IFERROR(RATE(K2,J2,-H2)*12,"")</f>
        <v/>
      </c>
      <c r="Q2" s="75"/>
      <c r="R2" s="75"/>
      <c r="S2" s="80"/>
      <c r="T2" s="80"/>
      <c r="U2" s="75"/>
      <c r="V2" s="75"/>
      <c r="W2" s="75"/>
      <c r="X2" s="75"/>
      <c r="Y2" s="80"/>
      <c r="Z2" s="80"/>
      <c r="AA2" s="75"/>
      <c r="AB2" s="75"/>
      <c r="AC2" s="75"/>
      <c r="AD2" s="79"/>
    </row>
    <row r="3" spans="1:30">
      <c r="A3" s="72">
        <v>2</v>
      </c>
      <c r="B3" s="73"/>
      <c r="C3" s="74"/>
      <c r="D3" s="75"/>
      <c r="E3" s="76"/>
      <c r="F3" s="76"/>
      <c r="G3" s="77"/>
      <c r="H3" s="78"/>
      <c r="I3" s="78"/>
      <c r="J3" s="80"/>
      <c r="K3" s="75"/>
      <c r="L3" s="75"/>
      <c r="M3" s="83">
        <f t="shared" si="1"/>
        <v>0</v>
      </c>
      <c r="N3" s="79"/>
      <c r="O3" s="84">
        <f t="shared" ref="O3:O66" si="2">IF(M3&lt;4,0,IF(AND(N3="Yes",M3&gt;=12),J3,IF(AND(N3="Yes",M3&lt;12),J3*M3/12,"")))</f>
        <v>0</v>
      </c>
      <c r="P3" s="85" t="str">
        <f t="shared" ref="P3:P66" si="3">IFERROR(RATE(K3,J3,-H3)*12,"")</f>
        <v/>
      </c>
      <c r="Q3" s="75"/>
      <c r="R3" s="75"/>
      <c r="S3" s="80"/>
      <c r="T3" s="80"/>
      <c r="U3" s="75"/>
      <c r="V3" s="75"/>
      <c r="W3" s="75"/>
      <c r="X3" s="75"/>
      <c r="Y3" s="80"/>
      <c r="Z3" s="80"/>
      <c r="AA3" s="75"/>
      <c r="AB3" s="75"/>
      <c r="AC3" s="75"/>
      <c r="AD3" s="79"/>
    </row>
    <row r="4" spans="1:30">
      <c r="A4" s="72">
        <v>3</v>
      </c>
      <c r="B4" s="73"/>
      <c r="C4" s="74"/>
      <c r="D4" s="79"/>
      <c r="E4" s="76"/>
      <c r="F4" s="76"/>
      <c r="G4" s="77"/>
      <c r="H4" s="78"/>
      <c r="I4" s="78"/>
      <c r="J4" s="80"/>
      <c r="K4" s="75"/>
      <c r="L4" s="75"/>
      <c r="M4" s="83">
        <f t="shared" si="1"/>
        <v>0</v>
      </c>
      <c r="N4" s="79"/>
      <c r="O4" s="84">
        <f t="shared" si="2"/>
        <v>0</v>
      </c>
      <c r="P4" s="85" t="str">
        <f t="shared" si="3"/>
        <v/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9"/>
    </row>
    <row r="5" spans="1:30">
      <c r="A5" s="72">
        <v>4</v>
      </c>
      <c r="B5" s="73"/>
      <c r="C5" s="74"/>
      <c r="D5" s="75"/>
      <c r="E5" s="76"/>
      <c r="F5" s="76"/>
      <c r="G5" s="77"/>
      <c r="H5" s="78"/>
      <c r="I5" s="78"/>
      <c r="J5" s="80"/>
      <c r="K5" s="75"/>
      <c r="L5" s="75"/>
      <c r="M5" s="83">
        <f t="shared" si="1"/>
        <v>0</v>
      </c>
      <c r="N5" s="79"/>
      <c r="O5" s="84">
        <f t="shared" si="2"/>
        <v>0</v>
      </c>
      <c r="P5" s="85" t="str">
        <f t="shared" si="3"/>
        <v/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9"/>
    </row>
    <row r="6" spans="1:30">
      <c r="A6" s="72">
        <v>5</v>
      </c>
      <c r="B6" s="73"/>
      <c r="C6" s="74"/>
      <c r="D6" s="75"/>
      <c r="E6" s="76"/>
      <c r="F6" s="76"/>
      <c r="G6" s="77"/>
      <c r="H6" s="80"/>
      <c r="I6" s="80"/>
      <c r="J6" s="80"/>
      <c r="K6" s="75"/>
      <c r="L6" s="75"/>
      <c r="M6" s="83">
        <f t="shared" si="1"/>
        <v>0</v>
      </c>
      <c r="N6" s="79"/>
      <c r="O6" s="84">
        <f t="shared" si="2"/>
        <v>0</v>
      </c>
      <c r="P6" s="85" t="str">
        <f t="shared" si="3"/>
        <v/>
      </c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</row>
    <row r="7" spans="1:30">
      <c r="A7" s="72">
        <v>6</v>
      </c>
      <c r="B7" s="73"/>
      <c r="C7" s="74"/>
      <c r="D7" s="75"/>
      <c r="E7" s="76"/>
      <c r="F7" s="76"/>
      <c r="G7" s="77"/>
      <c r="H7" s="80"/>
      <c r="I7" s="80"/>
      <c r="J7" s="80"/>
      <c r="K7" s="75"/>
      <c r="L7" s="75"/>
      <c r="M7" s="83">
        <f t="shared" si="1"/>
        <v>0</v>
      </c>
      <c r="N7" s="79"/>
      <c r="O7" s="84">
        <f t="shared" si="2"/>
        <v>0</v>
      </c>
      <c r="P7" s="85" t="str">
        <f t="shared" si="3"/>
        <v/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9"/>
    </row>
    <row r="8" spans="1:30">
      <c r="A8" s="72">
        <v>7</v>
      </c>
      <c r="B8" s="73"/>
      <c r="C8" s="74"/>
      <c r="D8" s="75"/>
      <c r="E8" s="76"/>
      <c r="F8" s="76"/>
      <c r="G8" s="77"/>
      <c r="H8" s="80"/>
      <c r="I8" s="80"/>
      <c r="J8" s="80"/>
      <c r="K8" s="75"/>
      <c r="L8" s="75"/>
      <c r="M8" s="83">
        <f t="shared" si="1"/>
        <v>0</v>
      </c>
      <c r="N8" s="79"/>
      <c r="O8" s="84">
        <f t="shared" si="2"/>
        <v>0</v>
      </c>
      <c r="P8" s="85" t="str">
        <f t="shared" si="3"/>
        <v/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</row>
    <row r="9" spans="1:30">
      <c r="A9" s="72">
        <v>8</v>
      </c>
      <c r="B9" s="73"/>
      <c r="C9" s="74"/>
      <c r="D9" s="75"/>
      <c r="E9" s="76"/>
      <c r="F9" s="76"/>
      <c r="G9" s="77"/>
      <c r="H9" s="81"/>
      <c r="I9" s="81"/>
      <c r="J9" s="80"/>
      <c r="K9" s="75"/>
      <c r="L9" s="75"/>
      <c r="M9" s="83">
        <f t="shared" si="1"/>
        <v>0</v>
      </c>
      <c r="N9" s="79"/>
      <c r="O9" s="84">
        <f t="shared" si="2"/>
        <v>0</v>
      </c>
      <c r="P9" s="85" t="str">
        <f t="shared" si="3"/>
        <v/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</row>
    <row r="10" spans="1:30">
      <c r="A10" s="72">
        <v>9</v>
      </c>
      <c r="B10" s="73"/>
      <c r="C10" s="74"/>
      <c r="D10" s="75"/>
      <c r="E10" s="76"/>
      <c r="F10" s="76"/>
      <c r="G10" s="77"/>
      <c r="H10" s="80"/>
      <c r="I10" s="80"/>
      <c r="J10" s="80"/>
      <c r="K10" s="75"/>
      <c r="L10" s="75"/>
      <c r="M10" s="83">
        <f t="shared" si="1"/>
        <v>0</v>
      </c>
      <c r="N10" s="79"/>
      <c r="O10" s="84">
        <f t="shared" si="2"/>
        <v>0</v>
      </c>
      <c r="P10" s="85" t="str">
        <f t="shared" si="3"/>
        <v/>
      </c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9"/>
    </row>
    <row r="11" spans="1:30">
      <c r="A11" s="72">
        <v>10</v>
      </c>
      <c r="B11" s="73"/>
      <c r="C11" s="74"/>
      <c r="D11" s="75"/>
      <c r="E11" s="76"/>
      <c r="F11" s="76"/>
      <c r="G11" s="77"/>
      <c r="H11" s="80"/>
      <c r="I11" s="80"/>
      <c r="J11" s="80"/>
      <c r="K11" s="75"/>
      <c r="L11" s="75"/>
      <c r="M11" s="83">
        <f t="shared" si="1"/>
        <v>0</v>
      </c>
      <c r="N11" s="79"/>
      <c r="O11" s="84">
        <f t="shared" si="2"/>
        <v>0</v>
      </c>
      <c r="P11" s="85" t="str">
        <f t="shared" si="3"/>
        <v/>
      </c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</row>
    <row r="12" spans="1:30">
      <c r="A12" s="72">
        <v>11</v>
      </c>
      <c r="B12" s="73"/>
      <c r="C12" s="74"/>
      <c r="D12" s="75"/>
      <c r="E12" s="76"/>
      <c r="F12" s="76"/>
      <c r="G12" s="77"/>
      <c r="H12" s="80"/>
      <c r="I12" s="80"/>
      <c r="J12" s="80"/>
      <c r="K12" s="75"/>
      <c r="L12" s="75"/>
      <c r="M12" s="83">
        <f t="shared" si="1"/>
        <v>0</v>
      </c>
      <c r="N12" s="79"/>
      <c r="O12" s="84">
        <f t="shared" si="2"/>
        <v>0</v>
      </c>
      <c r="P12" s="85" t="str">
        <f t="shared" si="3"/>
        <v/>
      </c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1:30">
      <c r="A13" s="72">
        <v>12</v>
      </c>
      <c r="B13" s="73"/>
      <c r="C13" s="74"/>
      <c r="D13" s="75"/>
      <c r="E13" s="76"/>
      <c r="F13" s="76"/>
      <c r="G13" s="77"/>
      <c r="H13" s="80"/>
      <c r="I13" s="80"/>
      <c r="J13" s="80"/>
      <c r="K13" s="75"/>
      <c r="L13" s="75"/>
      <c r="M13" s="83">
        <f t="shared" si="1"/>
        <v>0</v>
      </c>
      <c r="N13" s="79"/>
      <c r="O13" s="84">
        <f t="shared" si="2"/>
        <v>0</v>
      </c>
      <c r="P13" s="85" t="str">
        <f t="shared" si="3"/>
        <v/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</row>
    <row r="14" spans="1:30">
      <c r="A14" s="72">
        <v>13</v>
      </c>
      <c r="B14" s="73"/>
      <c r="C14" s="74"/>
      <c r="D14" s="75"/>
      <c r="E14" s="76"/>
      <c r="F14" s="76"/>
      <c r="G14" s="77"/>
      <c r="H14" s="80"/>
      <c r="I14" s="80"/>
      <c r="J14" s="80"/>
      <c r="K14" s="75"/>
      <c r="L14" s="75"/>
      <c r="M14" s="83">
        <f t="shared" si="1"/>
        <v>0</v>
      </c>
      <c r="N14" s="79"/>
      <c r="O14" s="84">
        <f t="shared" si="2"/>
        <v>0</v>
      </c>
      <c r="P14" s="85" t="str">
        <f t="shared" si="3"/>
        <v/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5" spans="1:30">
      <c r="A15" s="72">
        <v>14</v>
      </c>
      <c r="B15" s="73"/>
      <c r="C15" s="74"/>
      <c r="D15" s="75"/>
      <c r="E15" s="76"/>
      <c r="F15" s="76"/>
      <c r="G15" s="77"/>
      <c r="H15" s="80"/>
      <c r="I15" s="80"/>
      <c r="J15" s="80"/>
      <c r="K15" s="75"/>
      <c r="L15" s="75"/>
      <c r="M15" s="83">
        <f t="shared" si="1"/>
        <v>0</v>
      </c>
      <c r="N15" s="79"/>
      <c r="O15" s="84">
        <f t="shared" si="2"/>
        <v>0</v>
      </c>
      <c r="P15" s="85" t="str">
        <f t="shared" si="3"/>
        <v/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</row>
    <row r="16" spans="1:30">
      <c r="A16" s="72">
        <v>15</v>
      </c>
      <c r="B16" s="73"/>
      <c r="C16" s="74"/>
      <c r="D16" s="75"/>
      <c r="E16" s="76"/>
      <c r="F16" s="76"/>
      <c r="G16" s="77"/>
      <c r="H16" s="80"/>
      <c r="I16" s="80"/>
      <c r="J16" s="80"/>
      <c r="K16" s="75"/>
      <c r="L16" s="75"/>
      <c r="M16" s="83">
        <f t="shared" si="1"/>
        <v>0</v>
      </c>
      <c r="N16" s="79"/>
      <c r="O16" s="84">
        <f t="shared" si="2"/>
        <v>0</v>
      </c>
      <c r="P16" s="85" t="str">
        <f t="shared" si="3"/>
        <v/>
      </c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</row>
    <row r="17" spans="1:30">
      <c r="A17" s="72">
        <v>16</v>
      </c>
      <c r="B17" s="73"/>
      <c r="C17" s="74"/>
      <c r="D17" s="75"/>
      <c r="E17" s="76"/>
      <c r="F17" s="76"/>
      <c r="G17" s="77"/>
      <c r="H17" s="80"/>
      <c r="I17" s="80"/>
      <c r="J17" s="80"/>
      <c r="K17" s="75"/>
      <c r="L17" s="75"/>
      <c r="M17" s="83">
        <f t="shared" si="1"/>
        <v>0</v>
      </c>
      <c r="N17" s="79"/>
      <c r="O17" s="84">
        <f t="shared" si="2"/>
        <v>0</v>
      </c>
      <c r="P17" s="85" t="str">
        <f t="shared" si="3"/>
        <v/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</row>
    <row r="18" spans="1:30">
      <c r="A18" s="72">
        <v>17</v>
      </c>
      <c r="B18" s="73"/>
      <c r="C18" s="74"/>
      <c r="D18" s="75"/>
      <c r="E18" s="76"/>
      <c r="F18" s="76"/>
      <c r="G18" s="77"/>
      <c r="H18" s="80"/>
      <c r="I18" s="80"/>
      <c r="J18" s="80"/>
      <c r="K18" s="75"/>
      <c r="L18" s="75"/>
      <c r="M18" s="83">
        <f t="shared" si="1"/>
        <v>0</v>
      </c>
      <c r="N18" s="79"/>
      <c r="O18" s="84">
        <f t="shared" si="2"/>
        <v>0</v>
      </c>
      <c r="P18" s="85" t="str">
        <f t="shared" si="3"/>
        <v/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19" spans="1:30">
      <c r="A19" s="72">
        <v>18</v>
      </c>
      <c r="B19" s="73"/>
      <c r="C19" s="74"/>
      <c r="D19" s="75"/>
      <c r="E19" s="76"/>
      <c r="F19" s="76"/>
      <c r="G19" s="77"/>
      <c r="H19" s="80"/>
      <c r="I19" s="80"/>
      <c r="J19" s="80"/>
      <c r="K19" s="75"/>
      <c r="L19" s="75"/>
      <c r="M19" s="83">
        <f t="shared" si="1"/>
        <v>0</v>
      </c>
      <c r="N19" s="79"/>
      <c r="O19" s="84">
        <f t="shared" si="2"/>
        <v>0</v>
      </c>
      <c r="P19" s="85" t="str">
        <f t="shared" si="3"/>
        <v/>
      </c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</row>
    <row r="20" spans="1:30">
      <c r="A20" s="72">
        <v>19</v>
      </c>
      <c r="B20" s="73"/>
      <c r="C20" s="74"/>
      <c r="D20" s="75"/>
      <c r="E20" s="76"/>
      <c r="F20" s="76"/>
      <c r="G20" s="77"/>
      <c r="H20" s="80"/>
      <c r="I20" s="80"/>
      <c r="J20" s="80"/>
      <c r="K20" s="75"/>
      <c r="L20" s="75"/>
      <c r="M20" s="83">
        <f t="shared" si="1"/>
        <v>0</v>
      </c>
      <c r="N20" s="79"/>
      <c r="O20" s="84">
        <f t="shared" si="2"/>
        <v>0</v>
      </c>
      <c r="P20" s="85" t="str">
        <f t="shared" si="3"/>
        <v/>
      </c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</row>
    <row r="21" spans="1:30">
      <c r="A21" s="72">
        <v>20</v>
      </c>
      <c r="B21" s="73"/>
      <c r="C21" s="74"/>
      <c r="D21" s="75"/>
      <c r="E21" s="76"/>
      <c r="F21" s="76"/>
      <c r="G21" s="77"/>
      <c r="H21" s="80"/>
      <c r="I21" s="80"/>
      <c r="J21" s="80"/>
      <c r="K21" s="75"/>
      <c r="L21" s="75"/>
      <c r="M21" s="83">
        <f t="shared" si="1"/>
        <v>0</v>
      </c>
      <c r="N21" s="79"/>
      <c r="O21" s="84">
        <f t="shared" si="2"/>
        <v>0</v>
      </c>
      <c r="P21" s="85" t="str">
        <f t="shared" si="3"/>
        <v/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</row>
    <row r="22" spans="1:30">
      <c r="A22" s="72">
        <v>21</v>
      </c>
      <c r="B22" s="73"/>
      <c r="C22" s="74"/>
      <c r="D22" s="75"/>
      <c r="E22" s="76"/>
      <c r="F22" s="76"/>
      <c r="G22" s="77"/>
      <c r="H22" s="80"/>
      <c r="I22" s="80"/>
      <c r="J22" s="80"/>
      <c r="K22" s="75"/>
      <c r="L22" s="75"/>
      <c r="M22" s="83">
        <f t="shared" si="1"/>
        <v>0</v>
      </c>
      <c r="N22" s="79"/>
      <c r="O22" s="84">
        <f t="shared" si="2"/>
        <v>0</v>
      </c>
      <c r="P22" s="85" t="str">
        <f t="shared" si="3"/>
        <v/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</row>
    <row r="23" spans="1:30">
      <c r="A23" s="72">
        <v>22</v>
      </c>
      <c r="B23" s="73"/>
      <c r="C23" s="74"/>
      <c r="D23" s="75"/>
      <c r="E23" s="76"/>
      <c r="F23" s="76"/>
      <c r="G23" s="77"/>
      <c r="H23" s="80"/>
      <c r="I23" s="80"/>
      <c r="J23" s="80"/>
      <c r="K23" s="75"/>
      <c r="L23" s="75"/>
      <c r="M23" s="83">
        <f t="shared" si="1"/>
        <v>0</v>
      </c>
      <c r="N23" s="79"/>
      <c r="O23" s="84">
        <f t="shared" si="2"/>
        <v>0</v>
      </c>
      <c r="P23" s="85" t="str">
        <f t="shared" si="3"/>
        <v/>
      </c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</row>
    <row r="24" spans="1:30">
      <c r="A24" s="72">
        <v>23</v>
      </c>
      <c r="B24" s="73"/>
      <c r="C24" s="74"/>
      <c r="D24" s="75"/>
      <c r="E24" s="76"/>
      <c r="F24" s="76"/>
      <c r="G24" s="77"/>
      <c r="H24" s="80"/>
      <c r="I24" s="80"/>
      <c r="J24" s="80"/>
      <c r="K24" s="75"/>
      <c r="L24" s="75"/>
      <c r="M24" s="83">
        <f t="shared" si="1"/>
        <v>0</v>
      </c>
      <c r="N24" s="79"/>
      <c r="O24" s="84">
        <f t="shared" si="2"/>
        <v>0</v>
      </c>
      <c r="P24" s="85" t="str">
        <f t="shared" si="3"/>
        <v/>
      </c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</row>
    <row r="25" spans="1:30">
      <c r="A25" s="72">
        <v>24</v>
      </c>
      <c r="B25" s="73"/>
      <c r="C25" s="74"/>
      <c r="D25" s="75"/>
      <c r="E25" s="76"/>
      <c r="F25" s="76"/>
      <c r="G25" s="77"/>
      <c r="H25" s="80"/>
      <c r="I25" s="80"/>
      <c r="J25" s="80"/>
      <c r="K25" s="75"/>
      <c r="L25" s="75"/>
      <c r="M25" s="83">
        <f t="shared" si="1"/>
        <v>0</v>
      </c>
      <c r="N25" s="79"/>
      <c r="O25" s="84">
        <f t="shared" si="2"/>
        <v>0</v>
      </c>
      <c r="P25" s="85" t="str">
        <f t="shared" si="3"/>
        <v/>
      </c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</row>
    <row r="26" spans="1:30">
      <c r="A26" s="72">
        <v>25</v>
      </c>
      <c r="B26" s="73"/>
      <c r="C26" s="74"/>
      <c r="D26" s="75"/>
      <c r="E26" s="76"/>
      <c r="F26" s="76"/>
      <c r="G26" s="77"/>
      <c r="H26" s="80"/>
      <c r="I26" s="80"/>
      <c r="J26" s="80"/>
      <c r="K26" s="75"/>
      <c r="L26" s="75"/>
      <c r="M26" s="83">
        <f t="shared" si="1"/>
        <v>0</v>
      </c>
      <c r="N26" s="79"/>
      <c r="O26" s="84">
        <f t="shared" si="2"/>
        <v>0</v>
      </c>
      <c r="P26" s="85" t="str">
        <f t="shared" si="3"/>
        <v/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</row>
    <row r="27" spans="1:30">
      <c r="A27" s="72">
        <v>26</v>
      </c>
      <c r="B27" s="73"/>
      <c r="C27" s="74"/>
      <c r="D27" s="75"/>
      <c r="E27" s="76"/>
      <c r="F27" s="76"/>
      <c r="G27" s="77"/>
      <c r="H27" s="80"/>
      <c r="I27" s="80"/>
      <c r="J27" s="80"/>
      <c r="K27" s="75"/>
      <c r="L27" s="75"/>
      <c r="M27" s="83">
        <f t="shared" si="1"/>
        <v>0</v>
      </c>
      <c r="N27" s="79"/>
      <c r="O27" s="84">
        <f t="shared" si="2"/>
        <v>0</v>
      </c>
      <c r="P27" s="85" t="str">
        <f t="shared" si="3"/>
        <v/>
      </c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</row>
    <row r="28" spans="1:30">
      <c r="A28" s="72">
        <v>27</v>
      </c>
      <c r="B28" s="73"/>
      <c r="C28" s="74"/>
      <c r="D28" s="75"/>
      <c r="E28" s="76"/>
      <c r="F28" s="76"/>
      <c r="G28" s="77"/>
      <c r="H28" s="80"/>
      <c r="I28" s="80"/>
      <c r="J28" s="80"/>
      <c r="K28" s="75"/>
      <c r="L28" s="75"/>
      <c r="M28" s="83">
        <f t="shared" si="1"/>
        <v>0</v>
      </c>
      <c r="N28" s="79"/>
      <c r="O28" s="84">
        <f t="shared" si="2"/>
        <v>0</v>
      </c>
      <c r="P28" s="85" t="str">
        <f t="shared" si="3"/>
        <v/>
      </c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</row>
    <row r="29" spans="1:30">
      <c r="A29" s="72">
        <v>28</v>
      </c>
      <c r="B29" s="73"/>
      <c r="C29" s="74"/>
      <c r="D29" s="75"/>
      <c r="E29" s="76"/>
      <c r="F29" s="76"/>
      <c r="G29" s="77"/>
      <c r="H29" s="80"/>
      <c r="I29" s="80"/>
      <c r="J29" s="80"/>
      <c r="K29" s="75"/>
      <c r="L29" s="75"/>
      <c r="M29" s="83">
        <f t="shared" si="1"/>
        <v>0</v>
      </c>
      <c r="N29" s="79"/>
      <c r="O29" s="84">
        <f t="shared" si="2"/>
        <v>0</v>
      </c>
      <c r="P29" s="85" t="str">
        <f t="shared" si="3"/>
        <v/>
      </c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</row>
    <row r="30" spans="1:30">
      <c r="A30" s="72">
        <v>29</v>
      </c>
      <c r="B30" s="73"/>
      <c r="C30" s="74"/>
      <c r="D30" s="75"/>
      <c r="E30" s="76"/>
      <c r="F30" s="76"/>
      <c r="G30" s="77"/>
      <c r="H30" s="80"/>
      <c r="I30" s="80"/>
      <c r="J30" s="80"/>
      <c r="K30" s="75"/>
      <c r="L30" s="75"/>
      <c r="M30" s="83">
        <f t="shared" si="1"/>
        <v>0</v>
      </c>
      <c r="N30" s="79"/>
      <c r="O30" s="84">
        <f t="shared" si="2"/>
        <v>0</v>
      </c>
      <c r="P30" s="85" t="str">
        <f t="shared" si="3"/>
        <v/>
      </c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</row>
    <row r="31" spans="1:30">
      <c r="A31" s="72">
        <v>30</v>
      </c>
      <c r="B31" s="73"/>
      <c r="C31" s="74"/>
      <c r="D31" s="75"/>
      <c r="E31" s="76"/>
      <c r="F31" s="76"/>
      <c r="G31" s="77"/>
      <c r="H31" s="80"/>
      <c r="I31" s="80"/>
      <c r="J31" s="80"/>
      <c r="K31" s="75"/>
      <c r="L31" s="75"/>
      <c r="M31" s="83">
        <f t="shared" si="1"/>
        <v>0</v>
      </c>
      <c r="N31" s="79"/>
      <c r="O31" s="84">
        <f t="shared" si="2"/>
        <v>0</v>
      </c>
      <c r="P31" s="85" t="str">
        <f t="shared" si="3"/>
        <v/>
      </c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</row>
    <row r="32" spans="1:30">
      <c r="A32" s="72">
        <v>31</v>
      </c>
      <c r="B32" s="73"/>
      <c r="C32" s="74"/>
      <c r="D32" s="75"/>
      <c r="E32" s="76"/>
      <c r="F32" s="76"/>
      <c r="G32" s="77"/>
      <c r="H32" s="80"/>
      <c r="I32" s="80"/>
      <c r="J32" s="80"/>
      <c r="K32" s="75"/>
      <c r="L32" s="75"/>
      <c r="M32" s="83">
        <f t="shared" si="1"/>
        <v>0</v>
      </c>
      <c r="N32" s="79"/>
      <c r="O32" s="84">
        <f t="shared" si="2"/>
        <v>0</v>
      </c>
      <c r="P32" s="85" t="str">
        <f t="shared" si="3"/>
        <v/>
      </c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</row>
    <row r="33" spans="1:30">
      <c r="A33" s="72">
        <v>32</v>
      </c>
      <c r="B33" s="73"/>
      <c r="C33" s="74"/>
      <c r="D33" s="75"/>
      <c r="E33" s="76"/>
      <c r="F33" s="76"/>
      <c r="G33" s="77"/>
      <c r="H33" s="80"/>
      <c r="I33" s="80"/>
      <c r="J33" s="80"/>
      <c r="K33" s="75"/>
      <c r="L33" s="75"/>
      <c r="M33" s="83">
        <f t="shared" si="1"/>
        <v>0</v>
      </c>
      <c r="N33" s="79"/>
      <c r="O33" s="84">
        <f t="shared" si="2"/>
        <v>0</v>
      </c>
      <c r="P33" s="85" t="str">
        <f t="shared" si="3"/>
        <v/>
      </c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</row>
    <row r="34" spans="1:30">
      <c r="A34" s="72">
        <v>33</v>
      </c>
      <c r="B34" s="73"/>
      <c r="C34" s="74"/>
      <c r="D34" s="75"/>
      <c r="E34" s="76"/>
      <c r="F34" s="76"/>
      <c r="G34" s="77"/>
      <c r="H34" s="80"/>
      <c r="I34" s="80"/>
      <c r="J34" s="80"/>
      <c r="K34" s="75"/>
      <c r="L34" s="75"/>
      <c r="M34" s="83">
        <f t="shared" si="1"/>
        <v>0</v>
      </c>
      <c r="N34" s="79"/>
      <c r="O34" s="84">
        <f t="shared" si="2"/>
        <v>0</v>
      </c>
      <c r="P34" s="85" t="str">
        <f t="shared" si="3"/>
        <v/>
      </c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</row>
    <row r="35" spans="1:30">
      <c r="A35" s="72">
        <v>34</v>
      </c>
      <c r="B35" s="73"/>
      <c r="C35" s="74"/>
      <c r="D35" s="75"/>
      <c r="E35" s="76"/>
      <c r="F35" s="76"/>
      <c r="G35" s="77"/>
      <c r="H35" s="80"/>
      <c r="I35" s="80"/>
      <c r="J35" s="80"/>
      <c r="K35" s="75"/>
      <c r="L35" s="75"/>
      <c r="M35" s="83">
        <f t="shared" si="1"/>
        <v>0</v>
      </c>
      <c r="N35" s="79"/>
      <c r="O35" s="84">
        <f t="shared" si="2"/>
        <v>0</v>
      </c>
      <c r="P35" s="85" t="str">
        <f t="shared" si="3"/>
        <v/>
      </c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</row>
    <row r="36" spans="1:30">
      <c r="A36" s="72">
        <v>35</v>
      </c>
      <c r="B36" s="73"/>
      <c r="C36" s="74"/>
      <c r="D36" s="75"/>
      <c r="E36" s="76"/>
      <c r="F36" s="76"/>
      <c r="G36" s="77"/>
      <c r="H36" s="80"/>
      <c r="I36" s="80"/>
      <c r="J36" s="80"/>
      <c r="K36" s="75"/>
      <c r="L36" s="75"/>
      <c r="M36" s="83">
        <f t="shared" si="1"/>
        <v>0</v>
      </c>
      <c r="N36" s="79"/>
      <c r="O36" s="84">
        <f t="shared" si="2"/>
        <v>0</v>
      </c>
      <c r="P36" s="85" t="str">
        <f t="shared" si="3"/>
        <v/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</row>
    <row r="37" spans="1:30">
      <c r="A37" s="72">
        <v>36</v>
      </c>
      <c r="B37" s="73"/>
      <c r="C37" s="74"/>
      <c r="D37" s="75"/>
      <c r="E37" s="76"/>
      <c r="F37" s="76"/>
      <c r="G37" s="77"/>
      <c r="H37" s="80"/>
      <c r="I37" s="80"/>
      <c r="J37" s="80"/>
      <c r="K37" s="75"/>
      <c r="L37" s="75"/>
      <c r="M37" s="83">
        <f t="shared" si="1"/>
        <v>0</v>
      </c>
      <c r="N37" s="79"/>
      <c r="O37" s="84">
        <f t="shared" si="2"/>
        <v>0</v>
      </c>
      <c r="P37" s="85" t="str">
        <f t="shared" si="3"/>
        <v/>
      </c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</row>
    <row r="38" spans="1:30">
      <c r="A38" s="72">
        <v>37</v>
      </c>
      <c r="B38" s="73"/>
      <c r="C38" s="74"/>
      <c r="D38" s="75"/>
      <c r="E38" s="76"/>
      <c r="F38" s="76"/>
      <c r="G38" s="77"/>
      <c r="H38" s="80"/>
      <c r="I38" s="80"/>
      <c r="J38" s="80"/>
      <c r="K38" s="75"/>
      <c r="L38" s="75"/>
      <c r="M38" s="83">
        <f t="shared" si="1"/>
        <v>0</v>
      </c>
      <c r="N38" s="79"/>
      <c r="O38" s="84">
        <f t="shared" si="2"/>
        <v>0</v>
      </c>
      <c r="P38" s="85" t="str">
        <f t="shared" si="3"/>
        <v/>
      </c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</row>
    <row r="39" spans="1:30">
      <c r="A39" s="72">
        <v>38</v>
      </c>
      <c r="B39" s="73"/>
      <c r="C39" s="74"/>
      <c r="D39" s="75"/>
      <c r="E39" s="76"/>
      <c r="F39" s="76"/>
      <c r="G39" s="77"/>
      <c r="H39" s="80"/>
      <c r="I39" s="80"/>
      <c r="J39" s="80"/>
      <c r="K39" s="75"/>
      <c r="L39" s="75"/>
      <c r="M39" s="83">
        <f t="shared" si="1"/>
        <v>0</v>
      </c>
      <c r="N39" s="79"/>
      <c r="O39" s="84">
        <f t="shared" si="2"/>
        <v>0</v>
      </c>
      <c r="P39" s="85" t="str">
        <f t="shared" si="3"/>
        <v/>
      </c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spans="1:30">
      <c r="A40" s="72">
        <v>39</v>
      </c>
      <c r="B40" s="73"/>
      <c r="C40" s="74"/>
      <c r="D40" s="75"/>
      <c r="E40" s="76"/>
      <c r="F40" s="76"/>
      <c r="G40" s="77"/>
      <c r="H40" s="80"/>
      <c r="I40" s="80"/>
      <c r="J40" s="80"/>
      <c r="K40" s="75"/>
      <c r="L40" s="75"/>
      <c r="M40" s="83">
        <f t="shared" si="1"/>
        <v>0</v>
      </c>
      <c r="N40" s="79"/>
      <c r="O40" s="84">
        <f t="shared" si="2"/>
        <v>0</v>
      </c>
      <c r="P40" s="85" t="str">
        <f t="shared" si="3"/>
        <v/>
      </c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</row>
    <row r="41" spans="1:30">
      <c r="A41" s="72">
        <v>40</v>
      </c>
      <c r="B41" s="73"/>
      <c r="C41" s="74"/>
      <c r="D41" s="75"/>
      <c r="E41" s="76"/>
      <c r="F41" s="76"/>
      <c r="G41" s="77"/>
      <c r="H41" s="80"/>
      <c r="I41" s="80"/>
      <c r="J41" s="80"/>
      <c r="K41" s="75"/>
      <c r="L41" s="75"/>
      <c r="M41" s="83">
        <f t="shared" si="1"/>
        <v>0</v>
      </c>
      <c r="N41" s="79"/>
      <c r="O41" s="84">
        <f t="shared" si="2"/>
        <v>0</v>
      </c>
      <c r="P41" s="85" t="str">
        <f t="shared" si="3"/>
        <v/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</row>
    <row r="42" spans="1:30">
      <c r="A42" s="72">
        <v>41</v>
      </c>
      <c r="B42" s="73"/>
      <c r="C42" s="74"/>
      <c r="D42" s="75"/>
      <c r="E42" s="76"/>
      <c r="F42" s="76"/>
      <c r="G42" s="77"/>
      <c r="H42" s="80"/>
      <c r="I42" s="80"/>
      <c r="J42" s="80"/>
      <c r="K42" s="75"/>
      <c r="L42" s="75"/>
      <c r="M42" s="83">
        <f t="shared" si="1"/>
        <v>0</v>
      </c>
      <c r="N42" s="79"/>
      <c r="O42" s="84">
        <f t="shared" si="2"/>
        <v>0</v>
      </c>
      <c r="P42" s="85" t="str">
        <f t="shared" si="3"/>
        <v/>
      </c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</row>
    <row r="43" spans="1:30">
      <c r="A43" s="72">
        <v>42</v>
      </c>
      <c r="B43" s="73"/>
      <c r="C43" s="74"/>
      <c r="D43" s="75"/>
      <c r="E43" s="76"/>
      <c r="F43" s="76"/>
      <c r="G43" s="77"/>
      <c r="H43" s="80"/>
      <c r="I43" s="80"/>
      <c r="J43" s="80"/>
      <c r="K43" s="75"/>
      <c r="L43" s="75"/>
      <c r="M43" s="83">
        <f t="shared" si="1"/>
        <v>0</v>
      </c>
      <c r="N43" s="79"/>
      <c r="O43" s="84">
        <f t="shared" si="2"/>
        <v>0</v>
      </c>
      <c r="P43" s="85" t="str">
        <f t="shared" si="3"/>
        <v/>
      </c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</row>
    <row r="44" spans="1:30">
      <c r="A44" s="72">
        <v>43</v>
      </c>
      <c r="B44" s="73"/>
      <c r="C44" s="74"/>
      <c r="D44" s="75"/>
      <c r="E44" s="76"/>
      <c r="F44" s="76"/>
      <c r="G44" s="77"/>
      <c r="H44" s="80"/>
      <c r="I44" s="80"/>
      <c r="J44" s="80"/>
      <c r="K44" s="75"/>
      <c r="L44" s="75"/>
      <c r="M44" s="83">
        <f t="shared" si="1"/>
        <v>0</v>
      </c>
      <c r="N44" s="79"/>
      <c r="O44" s="84">
        <f t="shared" si="2"/>
        <v>0</v>
      </c>
      <c r="P44" s="85" t="str">
        <f t="shared" si="3"/>
        <v/>
      </c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30">
      <c r="A45" s="72">
        <v>44</v>
      </c>
      <c r="B45" s="73"/>
      <c r="C45" s="74"/>
      <c r="D45" s="75"/>
      <c r="E45" s="76"/>
      <c r="F45" s="76"/>
      <c r="G45" s="77"/>
      <c r="H45" s="80"/>
      <c r="I45" s="80"/>
      <c r="J45" s="80"/>
      <c r="K45" s="75"/>
      <c r="L45" s="75"/>
      <c r="M45" s="83">
        <f t="shared" si="1"/>
        <v>0</v>
      </c>
      <c r="N45" s="79"/>
      <c r="O45" s="84">
        <f t="shared" si="2"/>
        <v>0</v>
      </c>
      <c r="P45" s="85" t="str">
        <f t="shared" si="3"/>
        <v/>
      </c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</row>
    <row r="46" spans="1:30">
      <c r="A46" s="72">
        <v>45</v>
      </c>
      <c r="B46" s="73"/>
      <c r="C46" s="74"/>
      <c r="D46" s="75"/>
      <c r="E46" s="76"/>
      <c r="F46" s="76"/>
      <c r="G46" s="77"/>
      <c r="H46" s="80"/>
      <c r="I46" s="80"/>
      <c r="J46" s="80"/>
      <c r="K46" s="75"/>
      <c r="L46" s="75"/>
      <c r="M46" s="83">
        <f t="shared" si="1"/>
        <v>0</v>
      </c>
      <c r="N46" s="79"/>
      <c r="O46" s="84">
        <f t="shared" si="2"/>
        <v>0</v>
      </c>
      <c r="P46" s="85" t="str">
        <f t="shared" si="3"/>
        <v/>
      </c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</row>
    <row r="47" spans="1:30">
      <c r="A47" s="72">
        <v>46</v>
      </c>
      <c r="B47" s="73"/>
      <c r="C47" s="74"/>
      <c r="D47" s="75"/>
      <c r="E47" s="76"/>
      <c r="F47" s="76"/>
      <c r="G47" s="77"/>
      <c r="H47" s="80"/>
      <c r="I47" s="80"/>
      <c r="J47" s="80"/>
      <c r="K47" s="75"/>
      <c r="L47" s="75"/>
      <c r="M47" s="83">
        <f t="shared" si="1"/>
        <v>0</v>
      </c>
      <c r="N47" s="79"/>
      <c r="O47" s="84">
        <f t="shared" si="2"/>
        <v>0</v>
      </c>
      <c r="P47" s="85" t="str">
        <f t="shared" si="3"/>
        <v/>
      </c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</row>
    <row r="48" spans="1:30">
      <c r="A48" s="72">
        <v>47</v>
      </c>
      <c r="B48" s="73"/>
      <c r="C48" s="74"/>
      <c r="D48" s="75"/>
      <c r="E48" s="76"/>
      <c r="F48" s="76"/>
      <c r="G48" s="77"/>
      <c r="H48" s="80"/>
      <c r="I48" s="80"/>
      <c r="J48" s="80"/>
      <c r="K48" s="75"/>
      <c r="L48" s="75"/>
      <c r="M48" s="83">
        <f t="shared" si="1"/>
        <v>0</v>
      </c>
      <c r="N48" s="79"/>
      <c r="O48" s="84">
        <f t="shared" si="2"/>
        <v>0</v>
      </c>
      <c r="P48" s="85" t="str">
        <f t="shared" si="3"/>
        <v/>
      </c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</row>
    <row r="49" spans="1:30">
      <c r="A49" s="72">
        <v>48</v>
      </c>
      <c r="B49" s="73"/>
      <c r="C49" s="74"/>
      <c r="D49" s="75"/>
      <c r="E49" s="76"/>
      <c r="F49" s="76"/>
      <c r="G49" s="77"/>
      <c r="H49" s="80"/>
      <c r="I49" s="80"/>
      <c r="J49" s="80"/>
      <c r="K49" s="75"/>
      <c r="L49" s="75"/>
      <c r="M49" s="83">
        <f t="shared" si="1"/>
        <v>0</v>
      </c>
      <c r="N49" s="79"/>
      <c r="O49" s="84">
        <f t="shared" si="2"/>
        <v>0</v>
      </c>
      <c r="P49" s="85" t="str">
        <f t="shared" si="3"/>
        <v/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0">
      <c r="A50" s="72">
        <v>49</v>
      </c>
      <c r="B50" s="73"/>
      <c r="C50" s="74"/>
      <c r="D50" s="75"/>
      <c r="E50" s="76"/>
      <c r="F50" s="76"/>
      <c r="G50" s="77"/>
      <c r="H50" s="80"/>
      <c r="I50" s="80"/>
      <c r="J50" s="80"/>
      <c r="K50" s="75"/>
      <c r="L50" s="75"/>
      <c r="M50" s="83">
        <f t="shared" si="1"/>
        <v>0</v>
      </c>
      <c r="N50" s="79"/>
      <c r="O50" s="84">
        <f t="shared" si="2"/>
        <v>0</v>
      </c>
      <c r="P50" s="85" t="str">
        <f t="shared" si="3"/>
        <v/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</row>
    <row r="51" spans="1:30">
      <c r="A51" s="72">
        <v>50</v>
      </c>
      <c r="B51" s="73"/>
      <c r="C51" s="74"/>
      <c r="D51" s="75"/>
      <c r="E51" s="76"/>
      <c r="F51" s="76"/>
      <c r="G51" s="77"/>
      <c r="H51" s="80"/>
      <c r="I51" s="80"/>
      <c r="J51" s="80"/>
      <c r="K51" s="75"/>
      <c r="L51" s="75"/>
      <c r="M51" s="83">
        <f t="shared" si="1"/>
        <v>0</v>
      </c>
      <c r="N51" s="79"/>
      <c r="O51" s="84">
        <f t="shared" si="2"/>
        <v>0</v>
      </c>
      <c r="P51" s="85" t="str">
        <f t="shared" si="3"/>
        <v/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</row>
    <row r="52" spans="1:30">
      <c r="A52" s="72">
        <v>51</v>
      </c>
      <c r="B52" s="73"/>
      <c r="C52" s="74"/>
      <c r="D52" s="75"/>
      <c r="E52" s="76"/>
      <c r="F52" s="76"/>
      <c r="G52" s="77"/>
      <c r="H52" s="80"/>
      <c r="I52" s="80"/>
      <c r="J52" s="80"/>
      <c r="K52" s="75"/>
      <c r="L52" s="75"/>
      <c r="M52" s="83">
        <f t="shared" si="1"/>
        <v>0</v>
      </c>
      <c r="N52" s="79"/>
      <c r="O52" s="84">
        <f t="shared" si="2"/>
        <v>0</v>
      </c>
      <c r="P52" s="85" t="str">
        <f t="shared" si="3"/>
        <v/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</row>
    <row r="53" spans="1:30">
      <c r="A53" s="72">
        <v>52</v>
      </c>
      <c r="B53" s="73"/>
      <c r="C53" s="74"/>
      <c r="D53" s="75"/>
      <c r="E53" s="76"/>
      <c r="F53" s="76"/>
      <c r="G53" s="77"/>
      <c r="H53" s="80"/>
      <c r="I53" s="80"/>
      <c r="J53" s="80"/>
      <c r="K53" s="75"/>
      <c r="L53" s="75"/>
      <c r="M53" s="83">
        <f t="shared" si="1"/>
        <v>0</v>
      </c>
      <c r="N53" s="79"/>
      <c r="O53" s="84">
        <f t="shared" si="2"/>
        <v>0</v>
      </c>
      <c r="P53" s="85" t="str">
        <f t="shared" si="3"/>
        <v/>
      </c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</row>
    <row r="54" spans="1:30">
      <c r="A54" s="72">
        <v>53</v>
      </c>
      <c r="B54" s="73"/>
      <c r="C54" s="74"/>
      <c r="D54" s="75"/>
      <c r="E54" s="76"/>
      <c r="F54" s="76"/>
      <c r="G54" s="77"/>
      <c r="H54" s="80"/>
      <c r="I54" s="80"/>
      <c r="J54" s="80"/>
      <c r="K54" s="75"/>
      <c r="L54" s="75"/>
      <c r="M54" s="83">
        <f t="shared" si="1"/>
        <v>0</v>
      </c>
      <c r="N54" s="79"/>
      <c r="O54" s="84">
        <f t="shared" si="2"/>
        <v>0</v>
      </c>
      <c r="P54" s="85" t="str">
        <f t="shared" si="3"/>
        <v/>
      </c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</row>
    <row r="55" spans="1:30">
      <c r="A55" s="72">
        <v>54</v>
      </c>
      <c r="B55" s="73"/>
      <c r="C55" s="74"/>
      <c r="D55" s="75"/>
      <c r="E55" s="76"/>
      <c r="F55" s="76"/>
      <c r="G55" s="77"/>
      <c r="H55" s="80"/>
      <c r="I55" s="80"/>
      <c r="J55" s="80"/>
      <c r="K55" s="75"/>
      <c r="L55" s="75"/>
      <c r="M55" s="83">
        <f t="shared" si="1"/>
        <v>0</v>
      </c>
      <c r="N55" s="79"/>
      <c r="O55" s="84">
        <f t="shared" si="2"/>
        <v>0</v>
      </c>
      <c r="P55" s="85" t="str">
        <f t="shared" si="3"/>
        <v/>
      </c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</row>
    <row r="56" spans="1:30">
      <c r="A56" s="72">
        <v>55</v>
      </c>
      <c r="B56" s="73"/>
      <c r="C56" s="74"/>
      <c r="D56" s="75"/>
      <c r="E56" s="76"/>
      <c r="F56" s="76"/>
      <c r="G56" s="77"/>
      <c r="H56" s="80"/>
      <c r="I56" s="80"/>
      <c r="J56" s="80"/>
      <c r="K56" s="75"/>
      <c r="L56" s="75"/>
      <c r="M56" s="83">
        <f t="shared" si="1"/>
        <v>0</v>
      </c>
      <c r="N56" s="79"/>
      <c r="O56" s="84">
        <f t="shared" si="2"/>
        <v>0</v>
      </c>
      <c r="P56" s="85" t="str">
        <f t="shared" si="3"/>
        <v/>
      </c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</row>
    <row r="57" spans="1:30">
      <c r="A57" s="72">
        <v>56</v>
      </c>
      <c r="B57" s="73"/>
      <c r="C57" s="74"/>
      <c r="D57" s="75"/>
      <c r="E57" s="76"/>
      <c r="F57" s="76"/>
      <c r="G57" s="77"/>
      <c r="H57" s="80"/>
      <c r="I57" s="80"/>
      <c r="J57" s="80"/>
      <c r="K57" s="75"/>
      <c r="L57" s="75"/>
      <c r="M57" s="83">
        <f t="shared" si="1"/>
        <v>0</v>
      </c>
      <c r="N57" s="79"/>
      <c r="O57" s="84">
        <f t="shared" si="2"/>
        <v>0</v>
      </c>
      <c r="P57" s="85" t="str">
        <f t="shared" si="3"/>
        <v/>
      </c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30">
      <c r="A58" s="72">
        <v>57</v>
      </c>
      <c r="B58" s="73"/>
      <c r="C58" s="74"/>
      <c r="D58" s="75"/>
      <c r="E58" s="76"/>
      <c r="F58" s="76"/>
      <c r="G58" s="77"/>
      <c r="H58" s="80"/>
      <c r="I58" s="80"/>
      <c r="J58" s="80"/>
      <c r="K58" s="75"/>
      <c r="L58" s="75"/>
      <c r="M58" s="83">
        <f t="shared" si="1"/>
        <v>0</v>
      </c>
      <c r="N58" s="79"/>
      <c r="O58" s="84">
        <f t="shared" si="2"/>
        <v>0</v>
      </c>
      <c r="P58" s="85" t="str">
        <f t="shared" si="3"/>
        <v/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</row>
    <row r="59" spans="1:30">
      <c r="A59" s="72">
        <v>58</v>
      </c>
      <c r="B59" s="73"/>
      <c r="C59" s="74"/>
      <c r="D59" s="75"/>
      <c r="E59" s="76"/>
      <c r="F59" s="76"/>
      <c r="G59" s="77"/>
      <c r="H59" s="80"/>
      <c r="I59" s="80"/>
      <c r="J59" s="80"/>
      <c r="K59" s="75"/>
      <c r="L59" s="75"/>
      <c r="M59" s="83">
        <f t="shared" si="1"/>
        <v>0</v>
      </c>
      <c r="N59" s="79"/>
      <c r="O59" s="84">
        <f t="shared" si="2"/>
        <v>0</v>
      </c>
      <c r="P59" s="85" t="str">
        <f t="shared" si="3"/>
        <v/>
      </c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</row>
    <row r="60" spans="1:30">
      <c r="A60" s="72">
        <v>59</v>
      </c>
      <c r="B60" s="73"/>
      <c r="C60" s="74"/>
      <c r="D60" s="75"/>
      <c r="E60" s="76"/>
      <c r="F60" s="76"/>
      <c r="G60" s="77"/>
      <c r="H60" s="80"/>
      <c r="I60" s="80"/>
      <c r="J60" s="80"/>
      <c r="K60" s="75"/>
      <c r="L60" s="75"/>
      <c r="M60" s="83">
        <f t="shared" si="1"/>
        <v>0</v>
      </c>
      <c r="N60" s="79"/>
      <c r="O60" s="84">
        <f t="shared" si="2"/>
        <v>0</v>
      </c>
      <c r="P60" s="85" t="str">
        <f t="shared" si="3"/>
        <v/>
      </c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0">
      <c r="A61" s="72">
        <v>60</v>
      </c>
      <c r="B61" s="73"/>
      <c r="C61" s="74"/>
      <c r="D61" s="75"/>
      <c r="E61" s="76"/>
      <c r="F61" s="76"/>
      <c r="G61" s="77"/>
      <c r="H61" s="80"/>
      <c r="I61" s="80"/>
      <c r="J61" s="80"/>
      <c r="K61" s="75"/>
      <c r="L61" s="75"/>
      <c r="M61" s="83">
        <f t="shared" si="1"/>
        <v>0</v>
      </c>
      <c r="N61" s="79"/>
      <c r="O61" s="84">
        <f t="shared" si="2"/>
        <v>0</v>
      </c>
      <c r="P61" s="85" t="str">
        <f t="shared" si="3"/>
        <v/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1:30">
      <c r="A62" s="72">
        <v>61</v>
      </c>
      <c r="B62" s="73"/>
      <c r="C62" s="74"/>
      <c r="D62" s="75"/>
      <c r="E62" s="76"/>
      <c r="F62" s="76"/>
      <c r="G62" s="77"/>
      <c r="H62" s="80"/>
      <c r="I62" s="80"/>
      <c r="J62" s="80"/>
      <c r="K62" s="75"/>
      <c r="L62" s="75"/>
      <c r="M62" s="83">
        <f t="shared" si="1"/>
        <v>0</v>
      </c>
      <c r="N62" s="79"/>
      <c r="O62" s="84">
        <f t="shared" si="2"/>
        <v>0</v>
      </c>
      <c r="P62" s="85" t="str">
        <f t="shared" si="3"/>
        <v/>
      </c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3" spans="1:30">
      <c r="A63" s="72">
        <v>62</v>
      </c>
      <c r="B63" s="73"/>
      <c r="C63" s="74"/>
      <c r="D63" s="75"/>
      <c r="E63" s="76"/>
      <c r="F63" s="76"/>
      <c r="G63" s="77"/>
      <c r="H63" s="80"/>
      <c r="I63" s="80"/>
      <c r="J63" s="80"/>
      <c r="K63" s="75"/>
      <c r="L63" s="75"/>
      <c r="M63" s="83">
        <f t="shared" si="1"/>
        <v>0</v>
      </c>
      <c r="N63" s="79"/>
      <c r="O63" s="84">
        <f t="shared" si="2"/>
        <v>0</v>
      </c>
      <c r="P63" s="85" t="str">
        <f t="shared" si="3"/>
        <v/>
      </c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</row>
    <row r="64" spans="1:30">
      <c r="A64" s="72">
        <v>63</v>
      </c>
      <c r="B64" s="73"/>
      <c r="C64" s="74"/>
      <c r="D64" s="75"/>
      <c r="E64" s="76"/>
      <c r="F64" s="76"/>
      <c r="G64" s="77"/>
      <c r="H64" s="80"/>
      <c r="I64" s="80"/>
      <c r="J64" s="80"/>
      <c r="K64" s="75"/>
      <c r="L64" s="75"/>
      <c r="M64" s="83">
        <f t="shared" si="1"/>
        <v>0</v>
      </c>
      <c r="N64" s="79"/>
      <c r="O64" s="84">
        <f t="shared" si="2"/>
        <v>0</v>
      </c>
      <c r="P64" s="85" t="str">
        <f t="shared" si="3"/>
        <v/>
      </c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</row>
    <row r="65" spans="1:30">
      <c r="A65" s="72">
        <v>64</v>
      </c>
      <c r="B65" s="73"/>
      <c r="C65" s="74"/>
      <c r="D65" s="75"/>
      <c r="E65" s="76"/>
      <c r="F65" s="76"/>
      <c r="G65" s="77"/>
      <c r="H65" s="80"/>
      <c r="I65" s="80"/>
      <c r="J65" s="80"/>
      <c r="K65" s="75"/>
      <c r="L65" s="75"/>
      <c r="M65" s="83">
        <f t="shared" si="1"/>
        <v>0</v>
      </c>
      <c r="N65" s="79"/>
      <c r="O65" s="84">
        <f t="shared" si="2"/>
        <v>0</v>
      </c>
      <c r="P65" s="85" t="str">
        <f t="shared" si="3"/>
        <v/>
      </c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</row>
    <row r="66" spans="1:30">
      <c r="A66" s="72">
        <v>65</v>
      </c>
      <c r="B66" s="73"/>
      <c r="C66" s="74"/>
      <c r="D66" s="75"/>
      <c r="E66" s="76"/>
      <c r="F66" s="76"/>
      <c r="G66" s="77"/>
      <c r="H66" s="80"/>
      <c r="I66" s="80"/>
      <c r="J66" s="80"/>
      <c r="K66" s="75"/>
      <c r="L66" s="75"/>
      <c r="M66" s="83">
        <f t="shared" si="1"/>
        <v>0</v>
      </c>
      <c r="N66" s="79"/>
      <c r="O66" s="84">
        <f t="shared" si="2"/>
        <v>0</v>
      </c>
      <c r="P66" s="85" t="str">
        <f t="shared" si="3"/>
        <v/>
      </c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</row>
    <row r="67" spans="1:30">
      <c r="A67" s="72">
        <v>66</v>
      </c>
      <c r="B67" s="73"/>
      <c r="C67" s="74"/>
      <c r="D67" s="75"/>
      <c r="E67" s="76"/>
      <c r="F67" s="76"/>
      <c r="G67" s="77"/>
      <c r="H67" s="80"/>
      <c r="I67" s="80"/>
      <c r="J67" s="80"/>
      <c r="K67" s="75"/>
      <c r="L67" s="75"/>
      <c r="M67" s="83">
        <f t="shared" ref="M67:M69" si="4">K67-L67</f>
        <v>0</v>
      </c>
      <c r="N67" s="79"/>
      <c r="O67" s="84">
        <f t="shared" ref="O67:O101" si="5">IF(M67&lt;4,0,IF(AND(N67="Yes",M67&gt;=12),J67,IF(AND(N67="Yes",M67&lt;12),J67*M67/12,"")))</f>
        <v>0</v>
      </c>
      <c r="P67" s="85" t="str">
        <f t="shared" ref="P67:P101" si="6">IFERROR(RATE(K67,J67,-H67)*12,"")</f>
        <v/>
      </c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</row>
    <row r="68" spans="1:30">
      <c r="A68" s="72">
        <v>67</v>
      </c>
      <c r="B68" s="73"/>
      <c r="C68" s="74"/>
      <c r="D68" s="75"/>
      <c r="E68" s="76"/>
      <c r="F68" s="76"/>
      <c r="G68" s="77"/>
      <c r="H68" s="80"/>
      <c r="I68" s="80"/>
      <c r="J68" s="80"/>
      <c r="K68" s="75"/>
      <c r="L68" s="75"/>
      <c r="M68" s="83">
        <f t="shared" si="4"/>
        <v>0</v>
      </c>
      <c r="N68" s="79"/>
      <c r="O68" s="84">
        <f t="shared" si="5"/>
        <v>0</v>
      </c>
      <c r="P68" s="85" t="str">
        <f t="shared" si="6"/>
        <v/>
      </c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</row>
    <row r="69" spans="1:30">
      <c r="A69" s="72">
        <v>68</v>
      </c>
      <c r="B69" s="73"/>
      <c r="C69" s="74"/>
      <c r="D69" s="75"/>
      <c r="E69" s="76"/>
      <c r="F69" s="76"/>
      <c r="G69" s="77"/>
      <c r="H69" s="80"/>
      <c r="I69" s="80"/>
      <c r="J69" s="80"/>
      <c r="K69" s="75"/>
      <c r="L69" s="75"/>
      <c r="M69" s="83">
        <f t="shared" si="4"/>
        <v>0</v>
      </c>
      <c r="N69" s="79"/>
      <c r="O69" s="84">
        <f t="shared" si="5"/>
        <v>0</v>
      </c>
      <c r="P69" s="85" t="str">
        <f t="shared" si="6"/>
        <v/>
      </c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</row>
    <row r="70" spans="1:30">
      <c r="A70" s="72">
        <v>69</v>
      </c>
      <c r="B70" s="73"/>
      <c r="C70" s="74"/>
      <c r="D70" s="75"/>
      <c r="E70" s="76"/>
      <c r="F70" s="76"/>
      <c r="G70" s="77"/>
      <c r="H70" s="80"/>
      <c r="I70" s="80"/>
      <c r="J70" s="80"/>
      <c r="K70" s="75"/>
      <c r="L70" s="75"/>
      <c r="M70" s="83">
        <f t="shared" ref="M70:M101" si="7">K70-L70</f>
        <v>0</v>
      </c>
      <c r="N70" s="79"/>
      <c r="O70" s="84">
        <f t="shared" si="5"/>
        <v>0</v>
      </c>
      <c r="P70" s="85" t="str">
        <f t="shared" si="6"/>
        <v/>
      </c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</row>
    <row r="71" spans="1:30">
      <c r="A71" s="72">
        <v>70</v>
      </c>
      <c r="B71" s="73"/>
      <c r="C71" s="74"/>
      <c r="D71" s="75"/>
      <c r="E71" s="76"/>
      <c r="F71" s="76"/>
      <c r="G71" s="77"/>
      <c r="H71" s="80"/>
      <c r="I71" s="80"/>
      <c r="J71" s="80"/>
      <c r="K71" s="75"/>
      <c r="L71" s="75"/>
      <c r="M71" s="83">
        <f t="shared" si="7"/>
        <v>0</v>
      </c>
      <c r="N71" s="79"/>
      <c r="O71" s="84">
        <f t="shared" si="5"/>
        <v>0</v>
      </c>
      <c r="P71" s="85" t="str">
        <f t="shared" si="6"/>
        <v/>
      </c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</row>
    <row r="72" spans="1:30">
      <c r="A72" s="72">
        <v>71</v>
      </c>
      <c r="B72" s="73"/>
      <c r="C72" s="74"/>
      <c r="D72" s="75"/>
      <c r="E72" s="76"/>
      <c r="F72" s="76"/>
      <c r="G72" s="77"/>
      <c r="H72" s="80"/>
      <c r="I72" s="80"/>
      <c r="J72" s="80"/>
      <c r="K72" s="75"/>
      <c r="L72" s="75"/>
      <c r="M72" s="83">
        <f t="shared" si="7"/>
        <v>0</v>
      </c>
      <c r="N72" s="79"/>
      <c r="O72" s="84">
        <f t="shared" si="5"/>
        <v>0</v>
      </c>
      <c r="P72" s="85" t="str">
        <f t="shared" si="6"/>
        <v/>
      </c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</row>
    <row r="73" spans="1:30">
      <c r="A73" s="72">
        <v>72</v>
      </c>
      <c r="B73" s="73"/>
      <c r="C73" s="74"/>
      <c r="D73" s="75"/>
      <c r="E73" s="76"/>
      <c r="F73" s="76"/>
      <c r="G73" s="77"/>
      <c r="H73" s="80"/>
      <c r="I73" s="80"/>
      <c r="J73" s="80"/>
      <c r="K73" s="75"/>
      <c r="L73" s="75"/>
      <c r="M73" s="83">
        <f t="shared" si="7"/>
        <v>0</v>
      </c>
      <c r="N73" s="79"/>
      <c r="O73" s="84">
        <f t="shared" si="5"/>
        <v>0</v>
      </c>
      <c r="P73" s="85" t="str">
        <f t="shared" si="6"/>
        <v/>
      </c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</row>
    <row r="74" spans="1:30">
      <c r="A74" s="72">
        <v>73</v>
      </c>
      <c r="B74" s="73"/>
      <c r="C74" s="74"/>
      <c r="D74" s="75"/>
      <c r="E74" s="76"/>
      <c r="F74" s="76"/>
      <c r="G74" s="77"/>
      <c r="H74" s="80"/>
      <c r="I74" s="80"/>
      <c r="J74" s="80"/>
      <c r="K74" s="75"/>
      <c r="L74" s="75"/>
      <c r="M74" s="83">
        <f t="shared" si="7"/>
        <v>0</v>
      </c>
      <c r="N74" s="79"/>
      <c r="O74" s="84">
        <f t="shared" si="5"/>
        <v>0</v>
      </c>
      <c r="P74" s="85" t="str">
        <f t="shared" si="6"/>
        <v/>
      </c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>
      <c r="A75" s="72">
        <v>74</v>
      </c>
      <c r="B75" s="73"/>
      <c r="C75" s="74"/>
      <c r="D75" s="75"/>
      <c r="E75" s="76"/>
      <c r="F75" s="76"/>
      <c r="G75" s="77"/>
      <c r="H75" s="80"/>
      <c r="I75" s="80"/>
      <c r="J75" s="80"/>
      <c r="K75" s="75"/>
      <c r="L75" s="75"/>
      <c r="M75" s="83">
        <f t="shared" si="7"/>
        <v>0</v>
      </c>
      <c r="N75" s="79"/>
      <c r="O75" s="84">
        <f t="shared" si="5"/>
        <v>0</v>
      </c>
      <c r="P75" s="85" t="str">
        <f t="shared" si="6"/>
        <v/>
      </c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>
      <c r="A76" s="72">
        <v>75</v>
      </c>
      <c r="B76" s="73"/>
      <c r="C76" s="74"/>
      <c r="D76" s="75"/>
      <c r="E76" s="76"/>
      <c r="F76" s="76"/>
      <c r="G76" s="77"/>
      <c r="H76" s="80"/>
      <c r="I76" s="80"/>
      <c r="J76" s="80"/>
      <c r="K76" s="75"/>
      <c r="L76" s="75"/>
      <c r="M76" s="83">
        <f t="shared" si="7"/>
        <v>0</v>
      </c>
      <c r="N76" s="79"/>
      <c r="O76" s="84">
        <f t="shared" si="5"/>
        <v>0</v>
      </c>
      <c r="P76" s="85" t="str">
        <f t="shared" si="6"/>
        <v/>
      </c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>
      <c r="A77" s="72">
        <v>76</v>
      </c>
      <c r="B77" s="73"/>
      <c r="C77" s="74"/>
      <c r="D77" s="75"/>
      <c r="E77" s="76"/>
      <c r="F77" s="76"/>
      <c r="G77" s="77"/>
      <c r="H77" s="80"/>
      <c r="I77" s="80"/>
      <c r="J77" s="80"/>
      <c r="K77" s="75"/>
      <c r="L77" s="75"/>
      <c r="M77" s="83">
        <f t="shared" si="7"/>
        <v>0</v>
      </c>
      <c r="N77" s="79"/>
      <c r="O77" s="84">
        <f t="shared" si="5"/>
        <v>0</v>
      </c>
      <c r="P77" s="85" t="str">
        <f t="shared" si="6"/>
        <v/>
      </c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>
      <c r="A78" s="72">
        <v>77</v>
      </c>
      <c r="B78" s="73"/>
      <c r="C78" s="74"/>
      <c r="D78" s="75"/>
      <c r="E78" s="76"/>
      <c r="F78" s="76"/>
      <c r="G78" s="77"/>
      <c r="H78" s="80"/>
      <c r="I78" s="80"/>
      <c r="J78" s="80"/>
      <c r="K78" s="75"/>
      <c r="L78" s="75"/>
      <c r="M78" s="83">
        <f t="shared" si="7"/>
        <v>0</v>
      </c>
      <c r="N78" s="79"/>
      <c r="O78" s="84">
        <f t="shared" si="5"/>
        <v>0</v>
      </c>
      <c r="P78" s="85" t="str">
        <f t="shared" si="6"/>
        <v/>
      </c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>
      <c r="A79" s="72">
        <v>78</v>
      </c>
      <c r="B79" s="73"/>
      <c r="C79" s="74"/>
      <c r="D79" s="75"/>
      <c r="E79" s="76"/>
      <c r="F79" s="76"/>
      <c r="G79" s="77"/>
      <c r="H79" s="80"/>
      <c r="I79" s="80"/>
      <c r="J79" s="80"/>
      <c r="K79" s="75"/>
      <c r="L79" s="75"/>
      <c r="M79" s="83">
        <f t="shared" si="7"/>
        <v>0</v>
      </c>
      <c r="N79" s="79"/>
      <c r="O79" s="84">
        <f t="shared" si="5"/>
        <v>0</v>
      </c>
      <c r="P79" s="85" t="str">
        <f t="shared" si="6"/>
        <v/>
      </c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>
      <c r="A80" s="72">
        <v>79</v>
      </c>
      <c r="B80" s="73"/>
      <c r="C80" s="74"/>
      <c r="D80" s="75"/>
      <c r="E80" s="76"/>
      <c r="F80" s="76"/>
      <c r="G80" s="77"/>
      <c r="H80" s="80"/>
      <c r="I80" s="80"/>
      <c r="J80" s="80"/>
      <c r="K80" s="75"/>
      <c r="L80" s="75"/>
      <c r="M80" s="83">
        <f t="shared" si="7"/>
        <v>0</v>
      </c>
      <c r="N80" s="79"/>
      <c r="O80" s="84">
        <f t="shared" si="5"/>
        <v>0</v>
      </c>
      <c r="P80" s="85" t="str">
        <f t="shared" si="6"/>
        <v/>
      </c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>
      <c r="A81" s="72">
        <v>80</v>
      </c>
      <c r="B81" s="73"/>
      <c r="C81" s="74"/>
      <c r="D81" s="75"/>
      <c r="E81" s="76"/>
      <c r="F81" s="76"/>
      <c r="G81" s="77"/>
      <c r="H81" s="80"/>
      <c r="I81" s="80"/>
      <c r="J81" s="80"/>
      <c r="K81" s="75"/>
      <c r="L81" s="75"/>
      <c r="M81" s="83">
        <f t="shared" si="7"/>
        <v>0</v>
      </c>
      <c r="N81" s="79"/>
      <c r="O81" s="84">
        <f t="shared" si="5"/>
        <v>0</v>
      </c>
      <c r="P81" s="85" t="str">
        <f t="shared" si="6"/>
        <v/>
      </c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>
      <c r="A82" s="72">
        <v>81</v>
      </c>
      <c r="B82" s="73"/>
      <c r="C82" s="74"/>
      <c r="D82" s="75"/>
      <c r="E82" s="76"/>
      <c r="F82" s="76"/>
      <c r="G82" s="77"/>
      <c r="H82" s="80"/>
      <c r="I82" s="80"/>
      <c r="J82" s="80"/>
      <c r="K82" s="75"/>
      <c r="L82" s="75"/>
      <c r="M82" s="83">
        <f t="shared" si="7"/>
        <v>0</v>
      </c>
      <c r="N82" s="79"/>
      <c r="O82" s="84">
        <f t="shared" si="5"/>
        <v>0</v>
      </c>
      <c r="P82" s="85" t="str">
        <f t="shared" si="6"/>
        <v/>
      </c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>
      <c r="A83" s="72">
        <v>82</v>
      </c>
      <c r="B83" s="73"/>
      <c r="C83" s="74"/>
      <c r="D83" s="75"/>
      <c r="E83" s="76"/>
      <c r="F83" s="76"/>
      <c r="G83" s="77"/>
      <c r="H83" s="80"/>
      <c r="I83" s="80"/>
      <c r="J83" s="80"/>
      <c r="K83" s="75"/>
      <c r="L83" s="75"/>
      <c r="M83" s="83">
        <f t="shared" si="7"/>
        <v>0</v>
      </c>
      <c r="N83" s="79"/>
      <c r="O83" s="84">
        <f t="shared" si="5"/>
        <v>0</v>
      </c>
      <c r="P83" s="85" t="str">
        <f t="shared" si="6"/>
        <v/>
      </c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>
      <c r="A84" s="72">
        <v>83</v>
      </c>
      <c r="B84" s="73"/>
      <c r="C84" s="74"/>
      <c r="D84" s="75"/>
      <c r="E84" s="76"/>
      <c r="F84" s="76"/>
      <c r="G84" s="77"/>
      <c r="H84" s="80"/>
      <c r="I84" s="80"/>
      <c r="J84" s="80"/>
      <c r="K84" s="75"/>
      <c r="L84" s="75"/>
      <c r="M84" s="83">
        <f t="shared" si="7"/>
        <v>0</v>
      </c>
      <c r="N84" s="79"/>
      <c r="O84" s="84">
        <f t="shared" si="5"/>
        <v>0</v>
      </c>
      <c r="P84" s="85" t="str">
        <f t="shared" si="6"/>
        <v/>
      </c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>
      <c r="A85" s="72">
        <v>84</v>
      </c>
      <c r="B85" s="73"/>
      <c r="C85" s="74"/>
      <c r="D85" s="75"/>
      <c r="E85" s="76"/>
      <c r="F85" s="76"/>
      <c r="G85" s="77"/>
      <c r="H85" s="80"/>
      <c r="I85" s="80"/>
      <c r="J85" s="80"/>
      <c r="K85" s="75"/>
      <c r="L85" s="75"/>
      <c r="M85" s="83">
        <f t="shared" si="7"/>
        <v>0</v>
      </c>
      <c r="N85" s="79"/>
      <c r="O85" s="84">
        <f t="shared" si="5"/>
        <v>0</v>
      </c>
      <c r="P85" s="85" t="str">
        <f t="shared" si="6"/>
        <v/>
      </c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>
      <c r="A86" s="72">
        <v>85</v>
      </c>
      <c r="B86" s="73"/>
      <c r="C86" s="74"/>
      <c r="D86" s="75"/>
      <c r="E86" s="76"/>
      <c r="F86" s="76"/>
      <c r="G86" s="77"/>
      <c r="H86" s="80"/>
      <c r="I86" s="80"/>
      <c r="J86" s="80"/>
      <c r="K86" s="75"/>
      <c r="L86" s="75"/>
      <c r="M86" s="83">
        <f t="shared" si="7"/>
        <v>0</v>
      </c>
      <c r="N86" s="79"/>
      <c r="O86" s="84">
        <f t="shared" si="5"/>
        <v>0</v>
      </c>
      <c r="P86" s="85" t="str">
        <f t="shared" si="6"/>
        <v/>
      </c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>
      <c r="A87" s="72">
        <v>86</v>
      </c>
      <c r="B87" s="73"/>
      <c r="C87" s="74"/>
      <c r="D87" s="75"/>
      <c r="E87" s="76"/>
      <c r="F87" s="76"/>
      <c r="G87" s="77"/>
      <c r="H87" s="80"/>
      <c r="I87" s="80"/>
      <c r="J87" s="80"/>
      <c r="K87" s="75"/>
      <c r="L87" s="75"/>
      <c r="M87" s="83">
        <f t="shared" si="7"/>
        <v>0</v>
      </c>
      <c r="N87" s="79"/>
      <c r="O87" s="84">
        <f t="shared" si="5"/>
        <v>0</v>
      </c>
      <c r="P87" s="85" t="str">
        <f t="shared" si="6"/>
        <v/>
      </c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>
      <c r="A88" s="72">
        <v>87</v>
      </c>
      <c r="B88" s="73"/>
      <c r="C88" s="74"/>
      <c r="D88" s="75"/>
      <c r="E88" s="76"/>
      <c r="F88" s="76"/>
      <c r="G88" s="77"/>
      <c r="H88" s="80"/>
      <c r="I88" s="80"/>
      <c r="J88" s="80"/>
      <c r="K88" s="75"/>
      <c r="L88" s="75"/>
      <c r="M88" s="83">
        <f t="shared" si="7"/>
        <v>0</v>
      </c>
      <c r="N88" s="79"/>
      <c r="O88" s="84">
        <f t="shared" si="5"/>
        <v>0</v>
      </c>
      <c r="P88" s="85" t="str">
        <f t="shared" si="6"/>
        <v/>
      </c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</row>
    <row r="89" spans="1:30">
      <c r="A89" s="72">
        <v>88</v>
      </c>
      <c r="B89" s="73"/>
      <c r="C89" s="74"/>
      <c r="D89" s="75"/>
      <c r="E89" s="76"/>
      <c r="F89" s="76"/>
      <c r="G89" s="77"/>
      <c r="H89" s="80"/>
      <c r="I89" s="80"/>
      <c r="J89" s="80"/>
      <c r="K89" s="75"/>
      <c r="L89" s="75"/>
      <c r="M89" s="83">
        <f t="shared" si="7"/>
        <v>0</v>
      </c>
      <c r="N89" s="79"/>
      <c r="O89" s="84">
        <f t="shared" si="5"/>
        <v>0</v>
      </c>
      <c r="P89" s="85" t="str">
        <f t="shared" si="6"/>
        <v/>
      </c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</row>
    <row r="90" spans="1:30">
      <c r="A90" s="72">
        <v>89</v>
      </c>
      <c r="B90" s="73"/>
      <c r="C90" s="74"/>
      <c r="D90" s="75"/>
      <c r="E90" s="76"/>
      <c r="F90" s="76"/>
      <c r="G90" s="77"/>
      <c r="H90" s="80"/>
      <c r="I90" s="80"/>
      <c r="J90" s="80"/>
      <c r="K90" s="75"/>
      <c r="L90" s="75"/>
      <c r="M90" s="83">
        <f t="shared" si="7"/>
        <v>0</v>
      </c>
      <c r="N90" s="79"/>
      <c r="O90" s="84">
        <f t="shared" si="5"/>
        <v>0</v>
      </c>
      <c r="P90" s="85" t="str">
        <f t="shared" si="6"/>
        <v/>
      </c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</row>
    <row r="91" spans="1:30">
      <c r="A91" s="72">
        <v>90</v>
      </c>
      <c r="B91" s="73"/>
      <c r="C91" s="74"/>
      <c r="D91" s="75"/>
      <c r="E91" s="76"/>
      <c r="F91" s="76"/>
      <c r="G91" s="77"/>
      <c r="H91" s="80"/>
      <c r="I91" s="80"/>
      <c r="J91" s="80"/>
      <c r="K91" s="75"/>
      <c r="L91" s="75"/>
      <c r="M91" s="83">
        <f t="shared" si="7"/>
        <v>0</v>
      </c>
      <c r="N91" s="79"/>
      <c r="O91" s="84">
        <f t="shared" si="5"/>
        <v>0</v>
      </c>
      <c r="P91" s="85" t="str">
        <f t="shared" si="6"/>
        <v/>
      </c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</row>
    <row r="92" spans="1:30">
      <c r="A92" s="72">
        <v>91</v>
      </c>
      <c r="B92" s="73"/>
      <c r="C92" s="74"/>
      <c r="D92" s="75"/>
      <c r="E92" s="76"/>
      <c r="F92" s="76"/>
      <c r="G92" s="77"/>
      <c r="H92" s="80"/>
      <c r="I92" s="80"/>
      <c r="J92" s="80"/>
      <c r="K92" s="75"/>
      <c r="L92" s="75"/>
      <c r="M92" s="83">
        <f t="shared" si="7"/>
        <v>0</v>
      </c>
      <c r="N92" s="79"/>
      <c r="O92" s="84">
        <f t="shared" si="5"/>
        <v>0</v>
      </c>
      <c r="P92" s="85" t="str">
        <f t="shared" si="6"/>
        <v/>
      </c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</row>
    <row r="93" spans="1:30">
      <c r="A93" s="72">
        <v>92</v>
      </c>
      <c r="B93" s="73"/>
      <c r="C93" s="74"/>
      <c r="D93" s="75"/>
      <c r="E93" s="76"/>
      <c r="F93" s="76"/>
      <c r="G93" s="77"/>
      <c r="H93" s="80"/>
      <c r="I93" s="80"/>
      <c r="J93" s="80"/>
      <c r="K93" s="75"/>
      <c r="L93" s="75"/>
      <c r="M93" s="83">
        <f t="shared" si="7"/>
        <v>0</v>
      </c>
      <c r="N93" s="79"/>
      <c r="O93" s="84">
        <f t="shared" si="5"/>
        <v>0</v>
      </c>
      <c r="P93" s="85" t="str">
        <f t="shared" si="6"/>
        <v/>
      </c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</row>
    <row r="94" spans="1:30">
      <c r="A94" s="72">
        <v>93</v>
      </c>
      <c r="B94" s="73"/>
      <c r="C94" s="74"/>
      <c r="D94" s="75"/>
      <c r="E94" s="76"/>
      <c r="F94" s="76"/>
      <c r="G94" s="77"/>
      <c r="H94" s="80"/>
      <c r="I94" s="80"/>
      <c r="J94" s="80"/>
      <c r="K94" s="75"/>
      <c r="L94" s="75"/>
      <c r="M94" s="83">
        <f t="shared" si="7"/>
        <v>0</v>
      </c>
      <c r="N94" s="79"/>
      <c r="O94" s="84">
        <f t="shared" si="5"/>
        <v>0</v>
      </c>
      <c r="P94" s="85" t="str">
        <f t="shared" si="6"/>
        <v/>
      </c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</row>
    <row r="95" spans="1:30">
      <c r="A95" s="72">
        <v>94</v>
      </c>
      <c r="B95" s="73"/>
      <c r="C95" s="74"/>
      <c r="D95" s="75"/>
      <c r="E95" s="76"/>
      <c r="F95" s="76"/>
      <c r="G95" s="77"/>
      <c r="H95" s="80"/>
      <c r="I95" s="80"/>
      <c r="J95" s="80"/>
      <c r="K95" s="75"/>
      <c r="L95" s="75"/>
      <c r="M95" s="83">
        <f t="shared" si="7"/>
        <v>0</v>
      </c>
      <c r="N95" s="79"/>
      <c r="O95" s="84">
        <f t="shared" si="5"/>
        <v>0</v>
      </c>
      <c r="P95" s="85" t="str">
        <f t="shared" si="6"/>
        <v/>
      </c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</row>
    <row r="96" spans="1:30">
      <c r="A96" s="72">
        <v>95</v>
      </c>
      <c r="B96" s="73"/>
      <c r="C96" s="74"/>
      <c r="D96" s="75"/>
      <c r="E96" s="76"/>
      <c r="F96" s="76"/>
      <c r="G96" s="77"/>
      <c r="H96" s="80"/>
      <c r="I96" s="80"/>
      <c r="J96" s="80"/>
      <c r="K96" s="75"/>
      <c r="L96" s="75"/>
      <c r="M96" s="83">
        <f t="shared" si="7"/>
        <v>0</v>
      </c>
      <c r="N96" s="79"/>
      <c r="O96" s="84">
        <f t="shared" si="5"/>
        <v>0</v>
      </c>
      <c r="P96" s="85" t="str">
        <f t="shared" si="6"/>
        <v/>
      </c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</row>
    <row r="97" spans="1:30">
      <c r="A97" s="72">
        <v>96</v>
      </c>
      <c r="B97" s="73"/>
      <c r="C97" s="74"/>
      <c r="D97" s="75"/>
      <c r="E97" s="76"/>
      <c r="F97" s="76"/>
      <c r="G97" s="77"/>
      <c r="H97" s="80"/>
      <c r="I97" s="80"/>
      <c r="J97" s="80"/>
      <c r="K97" s="75"/>
      <c r="L97" s="75"/>
      <c r="M97" s="83">
        <f t="shared" si="7"/>
        <v>0</v>
      </c>
      <c r="N97" s="79"/>
      <c r="O97" s="84">
        <f t="shared" si="5"/>
        <v>0</v>
      </c>
      <c r="P97" s="85" t="str">
        <f t="shared" si="6"/>
        <v/>
      </c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</row>
    <row r="98" spans="1:30">
      <c r="A98" s="72">
        <v>97</v>
      </c>
      <c r="B98" s="73"/>
      <c r="C98" s="74"/>
      <c r="D98" s="75"/>
      <c r="E98" s="76"/>
      <c r="F98" s="76"/>
      <c r="G98" s="77"/>
      <c r="H98" s="80"/>
      <c r="I98" s="80"/>
      <c r="J98" s="80"/>
      <c r="K98" s="75"/>
      <c r="L98" s="75"/>
      <c r="M98" s="83">
        <f t="shared" si="7"/>
        <v>0</v>
      </c>
      <c r="N98" s="79"/>
      <c r="O98" s="84">
        <f t="shared" si="5"/>
        <v>0</v>
      </c>
      <c r="P98" s="85" t="str">
        <f t="shared" si="6"/>
        <v/>
      </c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</row>
    <row r="99" spans="1:30">
      <c r="A99" s="72">
        <v>98</v>
      </c>
      <c r="B99" s="73"/>
      <c r="C99" s="74"/>
      <c r="D99" s="75"/>
      <c r="E99" s="76"/>
      <c r="F99" s="76"/>
      <c r="G99" s="77"/>
      <c r="H99" s="80"/>
      <c r="I99" s="80"/>
      <c r="J99" s="80"/>
      <c r="K99" s="75"/>
      <c r="L99" s="75"/>
      <c r="M99" s="83">
        <f t="shared" si="7"/>
        <v>0</v>
      </c>
      <c r="N99" s="79"/>
      <c r="O99" s="84">
        <f t="shared" si="5"/>
        <v>0</v>
      </c>
      <c r="P99" s="85" t="str">
        <f t="shared" si="6"/>
        <v/>
      </c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</row>
    <row r="100" spans="1:30">
      <c r="A100" s="72">
        <v>99</v>
      </c>
      <c r="B100" s="73"/>
      <c r="C100" s="74"/>
      <c r="D100" s="75"/>
      <c r="E100" s="76"/>
      <c r="F100" s="76"/>
      <c r="G100" s="77"/>
      <c r="H100" s="80"/>
      <c r="I100" s="80"/>
      <c r="J100" s="80"/>
      <c r="K100" s="75"/>
      <c r="L100" s="75"/>
      <c r="M100" s="83">
        <f t="shared" si="7"/>
        <v>0</v>
      </c>
      <c r="N100" s="79"/>
      <c r="O100" s="84">
        <f t="shared" si="5"/>
        <v>0</v>
      </c>
      <c r="P100" s="85" t="str">
        <f t="shared" si="6"/>
        <v/>
      </c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</row>
    <row r="101" spans="1:30">
      <c r="A101" s="72">
        <v>100</v>
      </c>
      <c r="B101" s="73"/>
      <c r="C101" s="74"/>
      <c r="D101" s="75"/>
      <c r="E101" s="76"/>
      <c r="F101" s="76"/>
      <c r="G101" s="77"/>
      <c r="H101" s="80"/>
      <c r="I101" s="80"/>
      <c r="J101" s="80"/>
      <c r="K101" s="75"/>
      <c r="L101" s="75"/>
      <c r="M101" s="83">
        <f t="shared" si="7"/>
        <v>0</v>
      </c>
      <c r="N101" s="79"/>
      <c r="O101" s="84">
        <f t="shared" si="5"/>
        <v>0</v>
      </c>
      <c r="P101" s="85" t="str">
        <f t="shared" si="6"/>
        <v/>
      </c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</row>
    <row r="102" spans="1:30">
      <c r="A102" s="2"/>
      <c r="B102" s="2"/>
      <c r="C102" s="2"/>
      <c r="D102" s="2"/>
      <c r="E102" s="2"/>
      <c r="F102" s="2"/>
      <c r="G102" s="86" t="s">
        <v>194</v>
      </c>
      <c r="H102" s="87">
        <f>SUM(H2:H101)</f>
        <v>0</v>
      </c>
      <c r="I102" s="87"/>
      <c r="J102" s="87">
        <f>SUM(J2:J101)</f>
        <v>0</v>
      </c>
      <c r="K102" s="2"/>
      <c r="L102" s="2"/>
      <c r="M102" s="2"/>
      <c r="N102" s="88"/>
      <c r="O102" s="89">
        <f>SUM(O2:O101)</f>
        <v>0</v>
      </c>
      <c r="P102" s="89"/>
      <c r="Q102" s="89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8" spans="1:30">
      <c r="AD108" s="90"/>
    </row>
    <row r="109" spans="1:30">
      <c r="T109" s="91"/>
    </row>
    <row r="110" spans="1:30">
      <c r="K110" s="90"/>
      <c r="AD110" s="90"/>
    </row>
    <row r="118" spans="22:22">
      <c r="V118">
        <f>0.18</f>
        <v>0.18</v>
      </c>
    </row>
  </sheetData>
  <sheetProtection algorithmName="SHA-512" hashValue="r2r8Ozwmfcwu9olxQFw1+qSfoYy+fhI0g3HO5Iw0R96n2j/Pnp7lfiDvYqaM95+ypwrxCmZJ4nP9rW2A0+D00g==" saltValue="UsB1+hMXPuWsPgG8f8z18w==" spinCount="100000" sheet="1" objects="1" scenarios="1" formatCells="0" formatColumns="0" formatRows="0" insertRows="0" autoFilter="0"/>
  <protectedRanges>
    <protectedRange sqref="G2" name="Range5_1" securityDescriptor=""/>
  </protectedRanges>
  <autoFilter ref="A1:AE102" xr:uid="{00000000-0009-0000-0000-000008000000}"/>
  <mergeCells count="1">
    <mergeCell ref="N1:O1"/>
  </mergeCells>
  <conditionalFormatting sqref="N70">
    <cfRule type="containsText" dxfId="260" priority="9" operator="containsText" text="Yes,No">
      <formula>NOT(ISERROR(SEARCH("Yes,No",N70)))</formula>
    </cfRule>
    <cfRule type="cellIs" dxfId="259" priority="7" operator="equal">
      <formula>"No"</formula>
    </cfRule>
    <cfRule type="cellIs" dxfId="258" priority="8" operator="equal">
      <formula>"Yes"</formula>
    </cfRule>
  </conditionalFormatting>
  <conditionalFormatting sqref="P70">
    <cfRule type="containsText" dxfId="257" priority="6" operator="containsText" text="Yes,No">
      <formula>NOT(ISERROR(SEARCH("Yes,No",P70)))</formula>
    </cfRule>
  </conditionalFormatting>
  <conditionalFormatting sqref="N102">
    <cfRule type="containsText" dxfId="256" priority="13" operator="containsText" text="No">
      <formula>NOT(ISERROR(SEARCH("No",N102)))</formula>
    </cfRule>
  </conditionalFormatting>
  <conditionalFormatting sqref="N2:N69">
    <cfRule type="containsText" dxfId="255" priority="17" operator="containsText" text="Yes,No">
      <formula>NOT(ISERROR(SEARCH("Yes,No",N2)))</formula>
    </cfRule>
    <cfRule type="cellIs" dxfId="254" priority="11" operator="equal">
      <formula>"No"</formula>
    </cfRule>
    <cfRule type="cellIs" dxfId="253" priority="12" operator="equal">
      <formula>"Yes"</formula>
    </cfRule>
  </conditionalFormatting>
  <conditionalFormatting sqref="N71:N101">
    <cfRule type="containsText" dxfId="252" priority="5" operator="containsText" text="Yes,No">
      <formula>NOT(ISERROR(SEARCH("Yes,No",N71)))</formula>
    </cfRule>
    <cfRule type="cellIs" dxfId="251" priority="3" operator="equal">
      <formula>"No"</formula>
    </cfRule>
    <cfRule type="cellIs" dxfId="250" priority="4" operator="equal">
      <formula>"Yes"</formula>
    </cfRule>
  </conditionalFormatting>
  <conditionalFormatting sqref="O3:O101">
    <cfRule type="containsText" dxfId="249" priority="1" operator="containsText" text="Yes,No">
      <formula>NOT(ISERROR(SEARCH("Yes,No",O3)))</formula>
    </cfRule>
  </conditionalFormatting>
  <conditionalFormatting sqref="P3:P69">
    <cfRule type="containsText" dxfId="248" priority="10" operator="containsText" text="Yes,No">
      <formula>NOT(ISERROR(SEARCH("Yes,No",P3)))</formula>
    </cfRule>
  </conditionalFormatting>
  <conditionalFormatting sqref="P71:P101">
    <cfRule type="containsText" dxfId="247" priority="2" operator="containsText" text="Yes,No">
      <formula>NOT(ISERROR(SEARCH("Yes,No",P71)))</formula>
    </cfRule>
  </conditionalFormatting>
  <conditionalFormatting sqref="O2:P2 P2:P101">
    <cfRule type="containsText" dxfId="246" priority="18" operator="containsText" text="Yes,No">
      <formula>NOT(ISERROR(SEARCH("Yes,No",O2)))</formula>
    </cfRule>
  </conditionalFormatting>
  <dataValidations count="4">
    <dataValidation type="list" allowBlank="1" showInputMessage="1" showErrorMessage="1" sqref="D8" xr:uid="{00000000-0002-0000-0800-000000000000}">
      <formula1>"Home Loan, LAP,OTHERS,Vehicle Loan,PROPERTY LOAN,DEMAND LOAN,CVL,AUTO LOAN, Personal Loan,Business Loan, CC/OD,Term Loan,Machinery Loan,Education Loan,Consumer Loan"</formula1>
    </dataValidation>
    <dataValidation type="list" allowBlank="1" showInputMessage="1" showErrorMessage="1" sqref="B2:B101" xr:uid="{00000000-0002-0000-0800-000001000000}">
      <formula1>"Consumer CIBIL,Internal dedupe, Commercial CIBIL,Con+Com CIBIL,SOA, Banking, Customer declaration"</formula1>
    </dataValidation>
    <dataValidation type="list" allowBlank="1" showInputMessage="1" showErrorMessage="1" sqref="C2:C101" xr:uid="{00000000-0002-0000-0800-000002000000}">
      <formula1>"AL,CV/CE,HL,LAP,Consumer loan, Agri loan,Two wheeler loan,Gold loan,Professional Loan,OD/CC,TL,Flexy Loan,Machinery Loan,Educational loan,Business loan,Personal Loan,Card Swipes loan,Medical Equipment loan,Other loan"</formula1>
    </dataValidation>
    <dataValidation type="list" allowBlank="1" showInputMessage="1" showErrorMessage="1" sqref="N2:N101" xr:uid="{00000000-0002-0000-0800-000003000000}">
      <formula1>"Yes, No"</formula1>
    </dataValidation>
  </dataValidations>
  <pageMargins left="0.69930555555555596" right="0.69930555555555596" top="0.75" bottom="0.75" header="0.3" footer="0.3"/>
  <pageSetup scale="3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2021-11-08 10:16:29</KDate>
  <Classification>INTERNAL</Classification>
  <Subclassification/>
  <HostName>LAPTOP-878JVBH</HostName>
  <Domain_User>FEDBANK/15828</Domain_User>
  <IPAdd>192.168.6.63</IPAdd>
  <FilePath>D:\Fedfina\2. BL\CAM\Fedfina BL CAM - 3.3.xlsx</FilePath>
  <KID>1063C8301495637719633896814282</KID>
  <UniqueName/>
  <Suggested/>
  <Justification/>
</Klassify>
</file>

<file path=customXml/itemProps1.xml><?xml version="1.0" encoding="utf-8"?>
<ds:datastoreItem xmlns:ds="http://schemas.openxmlformats.org/officeDocument/2006/customXml" ds:itemID="{13F4D462-6E63-45EF-8C6B-47271921A0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Policy Parameters</vt:lpstr>
      <vt:lpstr>MSME</vt:lpstr>
      <vt:lpstr>Financial Spread- 1</vt:lpstr>
      <vt:lpstr>Financial Spread -2</vt:lpstr>
      <vt:lpstr>Consolidated Financial Spread</vt:lpstr>
      <vt:lpstr>SENP Eligibility </vt:lpstr>
      <vt:lpstr>SEP Eligibility </vt:lpstr>
      <vt:lpstr>GST </vt:lpstr>
      <vt:lpstr>Loandetailspreexisting</vt:lpstr>
      <vt:lpstr>NC-RTR</vt:lpstr>
      <vt:lpstr>Loan details</vt:lpstr>
      <vt:lpstr>Banking Analysis</vt:lpstr>
      <vt:lpstr>RTR (AV)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Gupta OV</dc:creator>
  <cp:lastModifiedBy>NAMASTECREDIT-TECH</cp:lastModifiedBy>
  <dcterms:created xsi:type="dcterms:W3CDTF">2015-06-05T18:17:00Z</dcterms:created>
  <dcterms:modified xsi:type="dcterms:W3CDTF">2022-03-18T18:01:10Z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  <property fmtid="{D5CDD505-2E9C-101B-9397-08002B2CF9AE}" pid="3" name="Classification">
    <vt:lpwstr>INTERNAL</vt:lpwstr>
  </property>
  <property fmtid="{D5CDD505-2E9C-101B-9397-08002B2CF9AE}" pid="4" name="Rules">
    <vt:lpwstr/>
  </property>
  <property fmtid="{D5CDD505-2E9C-101B-9397-08002B2CF9AE}" pid="5" name="KRetentionExp">
    <vt:lpwstr/>
  </property>
  <property fmtid="{D5CDD505-2E9C-101B-9397-08002B2CF9AE}" pid="6" name="KID">
    <vt:lpwstr>1063C8301495637719633896814282</vt:lpwstr>
  </property>
</Properties>
</file>